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vcen.ru\dfs\Плановый\Инвестиционная программа 2020 г\Приказ № 320 ( 2020)\+ Приказ № 320 (9 мес 2020 г.)\"/>
    </mc:Choice>
  </mc:AlternateContent>
  <xr:revisionPtr revIDLastSave="0" documentId="13_ncr:1_{706D96D3-5B92-4CB5-BC2C-209A399A082C}" xr6:coauthVersionLast="45" xr6:coauthVersionMax="45" xr10:uidLastSave="{00000000-0000-0000-0000-000000000000}"/>
  <bookViews>
    <workbookView xWindow="-120" yWindow="-120" windowWidth="29040" windowHeight="15840" tabRatio="796" xr2:uid="{00000000-000D-0000-FFFF-FFFF00000000}"/>
  </bookViews>
  <sheets>
    <sheet name="20квФп" sheetId="20" r:id="rId1"/>
  </sheets>
  <definedNames>
    <definedName name="Z_500C2F4F_1743_499A_A051_20565DBF52B2_.wvu.PrintArea" localSheetId="0" hidden="1">'20квФп'!$A$1:$H$457</definedName>
    <definedName name="_xlnm.Print_Area" localSheetId="0">'20квФп'!$A$1:$H$457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398" i="20" l="1"/>
  <c r="G171" i="20" l="1"/>
  <c r="G173" i="20"/>
  <c r="G182" i="20"/>
  <c r="G183" i="20"/>
  <c r="G184" i="20"/>
  <c r="G185" i="20"/>
  <c r="G188" i="20"/>
  <c r="G192" i="20"/>
  <c r="G193" i="20"/>
  <c r="G194" i="20"/>
  <c r="G195" i="20"/>
  <c r="G196" i="20"/>
  <c r="G200" i="20"/>
  <c r="G201" i="20"/>
  <c r="G202" i="20"/>
  <c r="G208" i="20"/>
  <c r="G209" i="20"/>
  <c r="G210" i="20"/>
  <c r="G211" i="20"/>
  <c r="G212" i="20"/>
  <c r="G213" i="20"/>
  <c r="G217" i="20"/>
  <c r="G220" i="20"/>
  <c r="G221" i="20"/>
  <c r="G227" i="20"/>
  <c r="G229" i="20"/>
  <c r="G233" i="20"/>
  <c r="G239" i="20"/>
  <c r="G240" i="20"/>
  <c r="G241" i="20"/>
  <c r="G242" i="20"/>
  <c r="G244" i="20"/>
  <c r="G248" i="20"/>
  <c r="G249" i="20"/>
  <c r="G250" i="20"/>
  <c r="G252" i="20"/>
  <c r="G263" i="20"/>
  <c r="G267" i="20"/>
  <c r="G279" i="20"/>
  <c r="G281" i="20"/>
  <c r="G284" i="20"/>
  <c r="G293" i="20"/>
  <c r="G295" i="20"/>
  <c r="G297" i="20"/>
  <c r="G301" i="20"/>
  <c r="E302" i="20"/>
  <c r="E301" i="20"/>
  <c r="D301" i="20"/>
  <c r="E297" i="20"/>
  <c r="D297" i="20"/>
  <c r="E295" i="20"/>
  <c r="D295" i="20"/>
  <c r="E293" i="20"/>
  <c r="D293" i="20"/>
  <c r="D281" i="20" s="1"/>
  <c r="E284" i="20"/>
  <c r="D284" i="20"/>
  <c r="E282" i="20"/>
  <c r="E281" i="20"/>
  <c r="E279" i="20"/>
  <c r="D279" i="20"/>
  <c r="E267" i="20"/>
  <c r="E252" i="20" s="1"/>
  <c r="D267" i="20"/>
  <c r="E264" i="20"/>
  <c r="E263" i="20"/>
  <c r="D263" i="20"/>
  <c r="D252" i="20" s="1"/>
  <c r="E250" i="20"/>
  <c r="D250" i="20"/>
  <c r="E249" i="20"/>
  <c r="D249" i="20"/>
  <c r="E239" i="20"/>
  <c r="D239" i="20"/>
  <c r="D234" i="20"/>
  <c r="E233" i="20"/>
  <c r="D233" i="20"/>
  <c r="E229" i="20"/>
  <c r="D229" i="20"/>
  <c r="E227" i="20"/>
  <c r="D227" i="20"/>
  <c r="E221" i="20"/>
  <c r="D221" i="20"/>
  <c r="E220" i="20"/>
  <c r="E244" i="20" s="1"/>
  <c r="D220" i="20"/>
  <c r="D244" i="20" s="1"/>
  <c r="D217" i="20"/>
  <c r="E213" i="20"/>
  <c r="D213" i="20"/>
  <c r="E212" i="20"/>
  <c r="D212" i="20"/>
  <c r="E211" i="20"/>
  <c r="D211" i="20"/>
  <c r="E210" i="20"/>
  <c r="E209" i="20" s="1"/>
  <c r="E208" i="20" s="1"/>
  <c r="D210" i="20"/>
  <c r="D209" i="20"/>
  <c r="D208" i="20" s="1"/>
  <c r="E202" i="20"/>
  <c r="D202" i="20"/>
  <c r="D201" i="20" s="1"/>
  <c r="D241" i="20" s="1"/>
  <c r="D242" i="20" s="1"/>
  <c r="E201" i="20"/>
  <c r="E200" i="20"/>
  <c r="D200" i="20"/>
  <c r="E197" i="20"/>
  <c r="E196" i="20"/>
  <c r="D196" i="20"/>
  <c r="E195" i="20"/>
  <c r="D195" i="20"/>
  <c r="E194" i="20"/>
  <c r="D194" i="20"/>
  <c r="E193" i="20"/>
  <c r="D193" i="20"/>
  <c r="E192" i="20"/>
  <c r="D192" i="20"/>
  <c r="E188" i="20"/>
  <c r="E185" i="20" s="1"/>
  <c r="D188" i="20"/>
  <c r="D185" i="20" s="1"/>
  <c r="E184" i="20"/>
  <c r="D184" i="20"/>
  <c r="E182" i="20"/>
  <c r="D182" i="20"/>
  <c r="E173" i="20"/>
  <c r="D173" i="20"/>
  <c r="E171" i="20"/>
  <c r="E165" i="20" s="1"/>
  <c r="D171" i="20"/>
  <c r="D165" i="20" s="1"/>
  <c r="D183" i="20" l="1"/>
  <c r="D240" i="20" s="1"/>
  <c r="D248" i="20" s="1"/>
  <c r="E183" i="20"/>
  <c r="E240" i="20" s="1"/>
  <c r="E248" i="20" s="1"/>
  <c r="E241" i="20"/>
  <c r="E242" i="20" s="1"/>
  <c r="E385" i="20" l="1"/>
  <c r="D404" i="20" l="1"/>
  <c r="E342" i="20" l="1"/>
  <c r="E339" i="20"/>
  <c r="D27" i="20" l="1"/>
  <c r="D143" i="20" l="1"/>
  <c r="E106" i="20"/>
  <c r="D106" i="20"/>
  <c r="E105" i="20"/>
  <c r="D105" i="20"/>
  <c r="E102" i="20"/>
  <c r="D102" i="20"/>
  <c r="E100" i="20" l="1"/>
  <c r="D100" i="20"/>
  <c r="E99" i="20"/>
  <c r="D99" i="20"/>
  <c r="D98" i="20" s="1"/>
  <c r="E98" i="20"/>
  <c r="E95" i="20" l="1"/>
  <c r="D95" i="20"/>
  <c r="E97" i="20" l="1"/>
  <c r="D97" i="20"/>
  <c r="D73" i="20"/>
  <c r="E73" i="20"/>
  <c r="E70" i="20"/>
  <c r="D70" i="20"/>
  <c r="E69" i="20"/>
  <c r="D69" i="20"/>
  <c r="E67" i="20"/>
  <c r="D67" i="20"/>
  <c r="D66" i="20"/>
  <c r="E66" i="20"/>
  <c r="D65" i="20"/>
  <c r="E65" i="20"/>
  <c r="E53" i="20"/>
  <c r="D53" i="20"/>
  <c r="D59" i="20"/>
  <c r="D58" i="20"/>
  <c r="D55" i="20"/>
  <c r="E59" i="20"/>
  <c r="E58" i="20"/>
  <c r="E54" i="20"/>
  <c r="E52" i="20"/>
  <c r="D54" i="20"/>
  <c r="D52" i="20"/>
  <c r="E50" i="20"/>
  <c r="D50" i="20"/>
  <c r="E44" i="20"/>
  <c r="D44" i="20"/>
  <c r="E42" i="20"/>
  <c r="D42" i="20"/>
  <c r="E397" i="20" l="1"/>
  <c r="E382" i="20"/>
  <c r="E104" i="20" l="1"/>
  <c r="E101" i="20" s="1"/>
  <c r="E71" i="20"/>
  <c r="F365" i="20" l="1"/>
  <c r="E93" i="20"/>
  <c r="E87" i="20"/>
  <c r="E85" i="20"/>
  <c r="E68" i="20"/>
  <c r="E60" i="20"/>
  <c r="E51" i="20"/>
  <c r="E36" i="20"/>
  <c r="E21" i="20"/>
  <c r="D68" i="20" l="1"/>
  <c r="E79" i="20"/>
  <c r="E94" i="20"/>
  <c r="E107" i="20" l="1"/>
  <c r="E158" i="20" s="1"/>
  <c r="E338" i="20"/>
  <c r="E137" i="20" l="1"/>
  <c r="E374" i="20"/>
  <c r="E373" i="20" s="1"/>
  <c r="E372" i="20" s="1"/>
  <c r="D425" i="20"/>
  <c r="D397" i="20"/>
  <c r="D385" i="20"/>
  <c r="D382" i="20" s="1"/>
  <c r="D380" i="20"/>
  <c r="D374" i="20" s="1"/>
  <c r="D342" i="20"/>
  <c r="D339" i="20"/>
  <c r="D338" i="20" s="1"/>
  <c r="D104" i="20"/>
  <c r="D101" i="20" s="1"/>
  <c r="D71" i="20"/>
  <c r="D60" i="20"/>
  <c r="F60" i="20" s="1"/>
  <c r="G60" i="20" s="1"/>
  <c r="D51" i="20"/>
  <c r="F51" i="20" s="1"/>
  <c r="D36" i="20"/>
  <c r="D93" i="20"/>
  <c r="D21" i="20"/>
  <c r="D85" i="20"/>
  <c r="D373" i="20" l="1"/>
  <c r="D372" i="20" s="1"/>
  <c r="D371" i="20" s="1"/>
  <c r="D94" i="20"/>
  <c r="D398" i="20"/>
  <c r="E371" i="20"/>
  <c r="D79" i="20"/>
  <c r="D87" i="20"/>
  <c r="D107" i="20" l="1"/>
  <c r="D158" i="20" s="1"/>
  <c r="D137" i="20" l="1"/>
  <c r="F404" i="20"/>
  <c r="F398" i="20" s="1"/>
  <c r="G404" i="20" l="1"/>
  <c r="G398" i="20" s="1"/>
  <c r="F380" i="20" l="1"/>
  <c r="G380" i="20" s="1"/>
  <c r="F385" i="20"/>
  <c r="G385" i="20" s="1"/>
  <c r="F425" i="20"/>
  <c r="G425" i="20" s="1"/>
  <c r="F342" i="20"/>
  <c r="G342" i="20" s="1"/>
  <c r="F347" i="20"/>
  <c r="G347" i="20" s="1"/>
  <c r="G365" i="20"/>
  <c r="F167" i="20"/>
  <c r="F168" i="20"/>
  <c r="F169" i="20"/>
  <c r="F170" i="20"/>
  <c r="F171" i="20"/>
  <c r="F172" i="20"/>
  <c r="F173" i="20"/>
  <c r="F174" i="20"/>
  <c r="F175" i="20"/>
  <c r="F177" i="20"/>
  <c r="F178" i="20"/>
  <c r="F180" i="20"/>
  <c r="F181" i="20"/>
  <c r="F184" i="20"/>
  <c r="F186" i="20"/>
  <c r="F187" i="20"/>
  <c r="F188" i="20"/>
  <c r="F189" i="20"/>
  <c r="F190" i="20"/>
  <c r="F191" i="20"/>
  <c r="F192" i="20"/>
  <c r="F193" i="20"/>
  <c r="F195" i="20"/>
  <c r="F198" i="20"/>
  <c r="F199" i="20"/>
  <c r="F202" i="20"/>
  <c r="F203" i="20"/>
  <c r="F205" i="20"/>
  <c r="F206" i="20"/>
  <c r="F207" i="20"/>
  <c r="F214" i="20"/>
  <c r="F215" i="20"/>
  <c r="F216" i="20"/>
  <c r="F217" i="20"/>
  <c r="F218" i="20"/>
  <c r="F219" i="20"/>
  <c r="F221" i="20"/>
  <c r="F223" i="20"/>
  <c r="F224" i="20"/>
  <c r="F225" i="20"/>
  <c r="F226" i="20"/>
  <c r="F228" i="20"/>
  <c r="F229" i="20"/>
  <c r="F230" i="20"/>
  <c r="F231" i="20"/>
  <c r="F232" i="20"/>
  <c r="F235" i="20"/>
  <c r="F236" i="20"/>
  <c r="F237" i="20"/>
  <c r="F238" i="20"/>
  <c r="F239" i="20"/>
  <c r="F242" i="20"/>
  <c r="F243" i="20"/>
  <c r="F245" i="20"/>
  <c r="F246" i="20"/>
  <c r="F247" i="20"/>
  <c r="F249" i="20"/>
  <c r="F251" i="20"/>
  <c r="F254" i="20"/>
  <c r="F255" i="20"/>
  <c r="F256" i="20"/>
  <c r="F257" i="20"/>
  <c r="F258" i="20"/>
  <c r="F259" i="20"/>
  <c r="F260" i="20"/>
  <c r="F261" i="20"/>
  <c r="F262" i="20"/>
  <c r="F263" i="20"/>
  <c r="F264" i="20"/>
  <c r="F265" i="20"/>
  <c r="F266" i="20"/>
  <c r="F267" i="20"/>
  <c r="F268" i="20"/>
  <c r="F269" i="20"/>
  <c r="F270" i="20"/>
  <c r="F271" i="20"/>
  <c r="F272" i="20"/>
  <c r="F273" i="20"/>
  <c r="F274" i="20"/>
  <c r="F275" i="20"/>
  <c r="F276" i="20"/>
  <c r="F277" i="20"/>
  <c r="F278" i="20"/>
  <c r="F279" i="20"/>
  <c r="F280" i="20"/>
  <c r="F281" i="20"/>
  <c r="F282" i="20"/>
  <c r="F283" i="20"/>
  <c r="F284" i="20"/>
  <c r="F285" i="20"/>
  <c r="F286" i="20"/>
  <c r="F287" i="20"/>
  <c r="F288" i="20"/>
  <c r="F289" i="20"/>
  <c r="F290" i="20"/>
  <c r="F291" i="20"/>
  <c r="F292" i="20"/>
  <c r="F293" i="20"/>
  <c r="F294" i="20"/>
  <c r="F295" i="20"/>
  <c r="F296" i="20"/>
  <c r="F297" i="20"/>
  <c r="F298" i="20"/>
  <c r="F299" i="20"/>
  <c r="F300" i="20"/>
  <c r="F301" i="20"/>
  <c r="F302" i="20"/>
  <c r="F303" i="20"/>
  <c r="F304" i="20"/>
  <c r="F305" i="20"/>
  <c r="F306" i="20"/>
  <c r="F307" i="20"/>
  <c r="F308" i="20"/>
  <c r="F310" i="20"/>
  <c r="F311" i="20"/>
  <c r="F312" i="20"/>
  <c r="F313" i="20"/>
  <c r="F314" i="20"/>
  <c r="F315" i="20"/>
  <c r="F27" i="20"/>
  <c r="G27" i="20" s="1"/>
  <c r="F29" i="20"/>
  <c r="G29" i="20" s="1"/>
  <c r="F35" i="20"/>
  <c r="G35" i="20" s="1"/>
  <c r="F42" i="20"/>
  <c r="G42" i="20" s="1"/>
  <c r="F44" i="20"/>
  <c r="G44" i="20" s="1"/>
  <c r="F50" i="20"/>
  <c r="G50" i="20" s="1"/>
  <c r="F52" i="20"/>
  <c r="G52" i="20" s="1"/>
  <c r="F55" i="20"/>
  <c r="G55" i="20" s="1"/>
  <c r="F58" i="20"/>
  <c r="G58" i="20" s="1"/>
  <c r="F65" i="20"/>
  <c r="G65" i="20" s="1"/>
  <c r="F66" i="20"/>
  <c r="G66" i="20" s="1"/>
  <c r="F67" i="20"/>
  <c r="G67" i="20" s="1"/>
  <c r="F69" i="20"/>
  <c r="G69" i="20" s="1"/>
  <c r="F70" i="20"/>
  <c r="G70" i="20" s="1"/>
  <c r="F100" i="20"/>
  <c r="G100" i="20" s="1"/>
  <c r="F102" i="20"/>
  <c r="G102" i="20" s="1"/>
  <c r="F105" i="20"/>
  <c r="G105" i="20" s="1"/>
  <c r="F106" i="20"/>
  <c r="G106" i="20" s="1"/>
  <c r="F122" i="20"/>
  <c r="G122" i="20" s="1"/>
  <c r="F137" i="20"/>
  <c r="G137" i="20" s="1"/>
  <c r="F397" i="20" l="1"/>
  <c r="G397" i="20" s="1"/>
  <c r="F382" i="20"/>
  <c r="G382" i="20" s="1"/>
  <c r="F339" i="20"/>
  <c r="G339" i="20" s="1"/>
  <c r="F309" i="20"/>
  <c r="F234" i="20"/>
  <c r="F227" i="20"/>
  <c r="F213" i="20"/>
  <c r="F212" i="20"/>
  <c r="F210" i="20"/>
  <c r="F204" i="20"/>
  <c r="F201" i="20"/>
  <c r="F200" i="20"/>
  <c r="F194" i="20"/>
  <c r="F182" i="20"/>
  <c r="F179" i="20"/>
  <c r="F176" i="20"/>
  <c r="F166" i="20"/>
  <c r="F93" i="20"/>
  <c r="G93" i="20" s="1"/>
  <c r="F87" i="20"/>
  <c r="G87" i="20" s="1"/>
  <c r="F73" i="20"/>
  <c r="G73" i="20" s="1"/>
  <c r="F68" i="20"/>
  <c r="G68" i="20" s="1"/>
  <c r="F21" i="20"/>
  <c r="G21" i="20" s="1"/>
  <c r="F54" i="20" l="1"/>
  <c r="G54" i="20" s="1"/>
  <c r="F233" i="20"/>
  <c r="F338" i="20"/>
  <c r="G338" i="20" s="1"/>
  <c r="F343" i="20"/>
  <c r="G343" i="20" s="1"/>
  <c r="F374" i="20"/>
  <c r="G374" i="20" s="1"/>
  <c r="F71" i="20"/>
  <c r="G71" i="20" s="1"/>
  <c r="F197" i="20"/>
  <c r="F196" i="20"/>
  <c r="F220" i="20"/>
  <c r="F222" i="20"/>
  <c r="F252" i="20"/>
  <c r="F253" i="20"/>
  <c r="F211" i="20"/>
  <c r="F95" i="20"/>
  <c r="G95" i="20" s="1"/>
  <c r="F97" i="20"/>
  <c r="G97" i="20" s="1"/>
  <c r="F185" i="20"/>
  <c r="F101" i="20"/>
  <c r="G101" i="20" s="1"/>
  <c r="F104" i="20"/>
  <c r="G104" i="20" s="1"/>
  <c r="F79" i="20"/>
  <c r="G79" i="20" s="1"/>
  <c r="F36" i="20"/>
  <c r="G36" i="20" s="1"/>
  <c r="F53" i="20" l="1"/>
  <c r="G53" i="20" s="1"/>
  <c r="G51" i="20"/>
  <c r="F183" i="20"/>
  <c r="F94" i="20"/>
  <c r="G94" i="20" s="1"/>
  <c r="F244" i="20"/>
  <c r="F209" i="20"/>
  <c r="F165" i="20"/>
  <c r="G165" i="20" s="1"/>
  <c r="F59" i="20" l="1"/>
  <c r="G59" i="20" s="1"/>
  <c r="F373" i="20"/>
  <c r="G373" i="20" s="1"/>
  <c r="F107" i="20"/>
  <c r="G107" i="20" s="1"/>
  <c r="F248" i="20"/>
  <c r="F240" i="20"/>
  <c r="F208" i="20"/>
  <c r="F241" i="20"/>
  <c r="F250" i="20"/>
  <c r="F371" i="20"/>
  <c r="G371" i="20" s="1"/>
  <c r="F372" i="20"/>
  <c r="G372" i="20" s="1"/>
  <c r="F158" i="20" l="1"/>
  <c r="G158" i="20" s="1"/>
</calcChain>
</file>

<file path=xl/sharedStrings.xml><?xml version="1.0" encoding="utf-8"?>
<sst xmlns="http://schemas.openxmlformats.org/spreadsheetml/2006/main" count="2570" uniqueCount="701">
  <si>
    <t>к приказу Минэнерго России</t>
  </si>
  <si>
    <t>МВт</t>
  </si>
  <si>
    <t>Причины отклонений</t>
  </si>
  <si>
    <t>%</t>
  </si>
  <si>
    <t>Факт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</si>
  <si>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</si>
  <si>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</si>
  <si>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</si>
  <si>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</si>
  <si>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</si>
  <si>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</si>
  <si>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</si>
  <si>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</si>
  <si>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</si>
  <si>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</si>
  <si>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</si>
  <si>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</si>
  <si>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</si>
  <si>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</si>
  <si>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</si>
  <si>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</si>
  <si>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</si>
  <si>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</si>
  <si>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</si>
  <si>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</si>
  <si>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</si>
  <si>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</si>
  <si>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</si>
  <si>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</si>
  <si>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</si>
  <si>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</si>
  <si>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                          полное наименование субъекта электроэнергетики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</si>
  <si>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</si>
  <si>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</si>
  <si>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</si>
  <si>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</si>
  <si>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</si>
  <si>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</si>
  <si>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</si>
  <si>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</si>
  <si>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</si>
  <si>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</si>
  <si>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</si>
  <si>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</si>
  <si>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</si>
  <si>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</si>
  <si>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</si>
  <si>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</si>
  <si>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</si>
  <si>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</si>
  <si>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</si>
  <si>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</si>
  <si>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</si>
  <si>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</si>
  <si>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</si>
  <si>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</si>
  <si>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</si>
  <si>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</si>
  <si>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</si>
  <si>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</si>
  <si>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</si>
  <si>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</si>
  <si>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</si>
  <si>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</si>
  <si>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</si>
  <si>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</si>
  <si>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</si>
  <si>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</si>
  <si>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</si>
  <si>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</si>
  <si>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</si>
  <si>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</si>
  <si>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</si>
  <si>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</si>
  <si>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</si>
  <si>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</si>
  <si>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</si>
  <si>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</si>
  <si>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</si>
  <si>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</si>
  <si>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</si>
  <si>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</si>
  <si>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</si>
  <si>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</si>
  <si>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</si>
  <si>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</si>
  <si>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</si>
  <si>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</si>
  <si>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</si>
  <si>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</si>
  <si>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</si>
  <si>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</si>
  <si>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</si>
  <si>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</si>
  <si>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</si>
  <si>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</si>
  <si>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</si>
  <si>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</si>
  <si>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</si>
  <si>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</si>
  <si>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</si>
  <si>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</si>
  <si>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</si>
  <si>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</si>
  <si>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</si>
  <si>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</si>
  <si>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</si>
  <si>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</si>
  <si>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</si>
  <si>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</si>
  <si>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</si>
  <si>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</si>
  <si>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</si>
  <si>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</si>
  <si>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</si>
  <si>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</si>
  <si>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</si>
  <si>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</si>
  <si>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</si>
  <si>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</si>
  <si>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</si>
  <si>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</si>
  <si>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</si>
  <si>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</si>
  <si>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</si>
  <si>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</si>
  <si>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</si>
  <si>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</si>
  <si>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</si>
  <si>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</si>
  <si>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</si>
  <si>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</si>
  <si>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</si>
  <si>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</si>
  <si>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</si>
  <si>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</si>
  <si>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</si>
  <si>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</si>
  <si>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</si>
  <si>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</si>
  <si>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</si>
  <si>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</si>
  <si>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</si>
  <si>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</si>
  <si>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</si>
  <si>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</si>
  <si>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</si>
  <si>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</si>
  <si>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</si>
  <si>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</si>
  <si>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</si>
  <si>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</si>
  <si>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</si>
  <si>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</si>
  <si>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</si>
  <si>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</si>
  <si>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</si>
  <si>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</si>
  <si>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</si>
  <si>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</si>
  <si>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</si>
  <si>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</si>
  <si>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</si>
  <si>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</si>
  <si>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</si>
  <si>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</si>
  <si>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</si>
  <si>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</si>
  <si>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</si>
  <si>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</si>
  <si>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</si>
  <si>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</si>
  <si>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</si>
  <si>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</si>
  <si>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</si>
  <si>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</si>
  <si>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</si>
  <si>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</si>
  <si>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</si>
  <si>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</si>
  <si>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</si>
  <si>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</si>
  <si>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</si>
  <si>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</si>
  <si>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</si>
  <si>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</si>
  <si>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</si>
  <si>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</si>
  <si>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</si>
  <si>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</si>
  <si>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</si>
  <si>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</si>
  <si>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</si>
  <si>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</si>
  <si>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</si>
  <si>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</si>
  <si>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</si>
  <si>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</si>
  <si>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</si>
  <si>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</si>
  <si>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</si>
  <si>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</si>
  <si>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</si>
  <si>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</si>
  <si>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</si>
  <si>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</si>
  <si>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</si>
  <si>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</si>
  <si>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</si>
  <si>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</si>
  <si>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</si>
  <si>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</si>
  <si>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</si>
  <si>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</si>
  <si>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</si>
  <si>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</si>
  <si>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</si>
  <si>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</si>
  <si>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</si>
  <si>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</si>
  <si>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</si>
  <si>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</si>
  <si>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</si>
  <si>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</si>
  <si>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</si>
  <si>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</si>
  <si>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</si>
  <si>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</si>
  <si>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</si>
  <si>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</si>
  <si>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</si>
  <si>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</si>
  <si>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</si>
  <si>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</si>
  <si>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</si>
  <si>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</si>
  <si>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</si>
  <si>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</si>
  <si>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</si>
  <si>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</si>
  <si>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</si>
  <si>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</si>
  <si>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</si>
  <si>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</si>
  <si>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</si>
  <si>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</si>
  <si>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</si>
  <si>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</si>
  <si>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</si>
  <si>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</si>
  <si>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</si>
  <si>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</si>
  <si>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</si>
  <si>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</si>
  <si>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</si>
  <si>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</si>
  <si>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</si>
  <si>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</si>
  <si>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</si>
  <si>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</si>
  <si>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</si>
  <si>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</si>
  <si>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</si>
  <si>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</si>
  <si>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</si>
  <si>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</si>
  <si>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</si>
  <si>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</si>
  <si>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</si>
  <si>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</si>
  <si>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</si>
  <si>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</si>
  <si>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</si>
  <si>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</si>
  <si>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</si>
  <si>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</si>
  <si>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</si>
  <si>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</si>
  <si>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</si>
  <si>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</si>
  <si>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</si>
  <si>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</si>
  <si>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</si>
  <si>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</si>
  <si>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</si>
  <si>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</si>
  <si>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</si>
  <si>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</si>
  <si>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</si>
  <si>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</si>
  <si>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</si>
  <si>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</si>
  <si>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</si>
  <si>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</si>
  <si>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</si>
  <si>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</si>
  <si>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</si>
  <si>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</si>
  <si>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</si>
  <si>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</si>
  <si>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</si>
  <si>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</si>
  <si>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</si>
  <si>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</si>
  <si>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</si>
  <si>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</si>
  <si>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</si>
  <si>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</si>
  <si>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</si>
  <si>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</si>
  <si>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</si>
  <si>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</si>
  <si>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</si>
  <si>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</si>
  <si>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</si>
  <si>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</si>
  <si>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</si>
  <si>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</si>
  <si>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</si>
  <si>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</si>
  <si>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</si>
  <si>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</si>
  <si>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</si>
  <si>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</si>
  <si>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</si>
  <si>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</si>
  <si>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</si>
  <si>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</si>
  <si>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</si>
  <si>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</si>
  <si>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</si>
  <si>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</si>
  <si>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</si>
  <si>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</si>
  <si>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</si>
  <si>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</si>
  <si>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</si>
  <si>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</si>
  <si>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</si>
  <si>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</si>
  <si>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</si>
  <si>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</si>
  <si>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</si>
  <si>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</si>
  <si>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</si>
  <si>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</si>
  <si>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</si>
  <si>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</si>
  <si>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</si>
  <si>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</si>
  <si>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</si>
  <si>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</si>
  <si>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</si>
  <si>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</si>
  <si>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</si>
  <si>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</si>
  <si>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</si>
  <si>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</si>
  <si>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</si>
  <si>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</si>
  <si>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</si>
  <si>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</si>
  <si>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</si>
  <si>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</si>
  <si>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</si>
  <si>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</si>
  <si>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</si>
  <si>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</si>
  <si>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</si>
  <si>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</si>
  <si>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</si>
  <si>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</si>
  <si>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</si>
  <si>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</si>
  <si>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</si>
  <si>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</si>
  <si>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</si>
  <si>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</si>
  <si>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</si>
  <si>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</si>
  <si>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</si>
  <si>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</si>
  <si>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</si>
  <si>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</si>
  <si>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</si>
  <si>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</si>
  <si>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</si>
  <si>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</si>
  <si>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</si>
  <si>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</si>
  <si>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</si>
  <si>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</si>
  <si>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</si>
  <si>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</si>
  <si>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</si>
  <si>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</si>
  <si>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</si>
  <si>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</si>
  <si>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</si>
  <si>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</si>
  <si>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</si>
  <si>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</si>
  <si>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</si>
  <si>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</si>
  <si>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</si>
  <si>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</si>
  <si>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</si>
  <si>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</si>
  <si>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</si>
  <si>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</si>
  <si>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</si>
  <si>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</si>
  <si>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</si>
  <si>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</si>
  <si>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</si>
  <si>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</si>
  <si>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</si>
  <si>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</si>
  <si>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</si>
  <si>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</si>
  <si>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</si>
  <si>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</si>
  <si>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</si>
  <si>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</si>
  <si>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</si>
  <si>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</si>
  <si>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</si>
  <si>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</si>
  <si>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</si>
  <si>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</si>
  <si>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</si>
  <si>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</si>
  <si>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</si>
  <si>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</si>
  <si>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</si>
  <si>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</si>
  <si>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</si>
  <si>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</si>
  <si>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</si>
  <si>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</si>
  <si>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</si>
  <si>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</si>
  <si>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</si>
  <si>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</si>
  <si>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</si>
  <si>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</si>
  <si>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</si>
  <si>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</si>
  <si>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</si>
  <si>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</si>
  <si>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</si>
  <si>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</si>
  <si>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</si>
  <si>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</si>
  <si>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</si>
  <si>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</si>
  <si>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</si>
  <si>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</si>
  <si>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</si>
  <si>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</si>
  <si>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</si>
  <si>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</si>
  <si>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</si>
  <si>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</si>
  <si>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</si>
  <si>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</si>
  <si>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</si>
  <si>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</si>
  <si>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</si>
  <si>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</si>
  <si>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</si>
  <si>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</si>
  <si>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</si>
  <si>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</si>
  <si>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</si>
  <si>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</si>
  <si>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</si>
  <si>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</si>
  <si>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</si>
  <si>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</si>
  <si>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</si>
  <si>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</si>
  <si>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</si>
  <si>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</si>
  <si>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</si>
  <si>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</si>
  <si>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</si>
  <si>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</si>
  <si>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</si>
  <si>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</si>
  <si>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</si>
  <si>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</si>
  <si>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</si>
  <si>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</si>
  <si>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</si>
  <si>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</si>
  <si>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</si>
  <si>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</si>
  <si>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</si>
  <si>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</si>
  <si>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</si>
  <si>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</si>
  <si>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</si>
  <si>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</si>
  <si>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</si>
  <si>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</si>
  <si>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</si>
  <si>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</si>
  <si>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</si>
  <si>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</si>
  <si>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</si>
  <si>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</si>
  <si>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</si>
  <si>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</si>
  <si>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</si>
  <si>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</si>
  <si>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</si>
  <si>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</si>
  <si>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</si>
  <si>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</si>
  <si>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</si>
  <si>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</si>
  <si>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</si>
  <si>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</si>
  <si>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</si>
  <si>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</si>
  <si>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</si>
  <si>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</si>
  <si>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</si>
  <si>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</si>
  <si>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</si>
  <si>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</si>
  <si>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</si>
  <si>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</si>
  <si>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</si>
  <si>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</si>
  <si>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</si>
  <si>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</si>
  <si>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</si>
  <si>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</si>
  <si>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</si>
  <si>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</si>
  <si>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</si>
  <si>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</si>
  <si>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</si>
  <si>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</si>
  <si>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</si>
  <si>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</si>
  <si>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</si>
  <si>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</si>
  <si>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</si>
  <si>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</si>
  <si>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</si>
  <si>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</si>
  <si>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</si>
  <si>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</si>
  <si>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</si>
  <si>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</si>
  <si>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</si>
  <si>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</si>
  <si>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</si>
  <si>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</si>
  <si>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</si>
  <si>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</si>
  <si>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</si>
  <si>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</si>
  <si>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</si>
  <si>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</si>
  <si>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</si>
  <si>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</si>
  <si>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</si>
  <si>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</si>
  <si>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</si>
  <si>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</si>
  <si>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</si>
  <si>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</si>
  <si>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</si>
  <si>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</si>
  <si>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</si>
  <si>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</si>
  <si>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</si>
  <si>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</si>
  <si>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</si>
  <si>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</si>
  <si>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</si>
  <si>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</si>
  <si>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</si>
  <si>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</si>
  <si>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</si>
  <si>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</si>
  <si>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</si>
  <si>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</si>
  <si>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</si>
  <si>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</si>
  <si>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</si>
  <si>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</si>
  <si>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</si>
  <si>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</si>
  <si>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</si>
  <si>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</si>
  <si>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</si>
  <si>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</si>
  <si>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</si>
  <si>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</si>
  <si>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</si>
  <si>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</si>
  <si>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</si>
  <si>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</si>
  <si>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</si>
  <si>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</si>
  <si>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</si>
  <si>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</si>
  <si>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</si>
  <si>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</si>
  <si>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</si>
  <si>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</si>
  <si>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</si>
  <si>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</si>
  <si>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</si>
  <si>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</si>
  <si>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</si>
  <si>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</si>
  <si>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</si>
  <si>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</si>
  <si>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</si>
  <si>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</si>
  <si>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</si>
  <si>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</si>
  <si>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</si>
  <si>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</si>
  <si>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</si>
  <si>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</si>
  <si>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</si>
  <si>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</si>
  <si>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</si>
  <si>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</si>
  <si>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</si>
  <si>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</si>
  <si>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</si>
  <si>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</si>
  <si>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</si>
  <si>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</si>
  <si>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</si>
  <si>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</si>
  <si>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</si>
  <si>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</si>
  <si>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</si>
  <si>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</si>
  <si>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</si>
  <si>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</si>
  <si>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</si>
  <si>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</si>
  <si>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</si>
  <si>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</si>
  <si>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</si>
  <si>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</si>
  <si>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</si>
  <si>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</si>
  <si>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</si>
  <si>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</si>
  <si>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</si>
  <si>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</si>
  <si>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</si>
  <si>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</si>
  <si>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</si>
  <si>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</si>
  <si>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</si>
  <si>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</si>
  <si>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</si>
  <si>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</si>
  <si>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</si>
  <si>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</si>
  <si>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</si>
  <si>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</si>
  <si>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</si>
  <si>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</si>
  <si>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</si>
  <si>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</si>
  <si>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</si>
  <si>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</si>
  <si>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</si>
  <si>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</si>
  <si>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</si>
  <si>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</si>
  <si>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</si>
  <si>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</si>
  <si>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</si>
  <si>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плановых значений по итогам отчетного периода</t>
  </si>
  <si>
    <t>Приложение № 20</t>
  </si>
  <si>
    <t>от « 25 » апреля 2018 г. № 320</t>
  </si>
  <si>
    <t>млн. рублей</t>
  </si>
  <si>
    <t>чел.</t>
  </si>
  <si>
    <t>Субъект Российской Федерации: город Воронеж</t>
  </si>
  <si>
    <t>Инвестиционная программа акционерного общества "Воронежская горэлектросеть"</t>
  </si>
  <si>
    <t>нд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</si>
  <si>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</si>
  <si>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Год раскрытия (предоставления) информации:2020 год</t>
  </si>
  <si>
    <t>2020 год</t>
  </si>
  <si>
    <t xml:space="preserve">Утвержденные плановые значения показателей приведены в соответствии с приказом департамента жилищно-коммунального хозяйства и энергетики Воронежской области от 05.08.2020 г. № 129.  </t>
  </si>
  <si>
    <t xml:space="preserve"> - </t>
  </si>
  <si>
    <t>Форма 20. Отчет об исполнении финансового плана субъекта электроэнергетики (квартальный) за  9 месяцев 2020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</si>
</sst>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00"/>
    <numFmt numFmtId="169" formatCode="#,##0.00000000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 CYR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 CYR"/>
    </font>
    <font>
      <sz val="10"/>
      <name val="Times New Roman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43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9" fillId="0" borderId="0"/>
    <xf numFmtId="0" fontId="30" fillId="0" borderId="0"/>
    <xf numFmtId="0" fontId="30" fillId="0" borderId="0"/>
    <xf numFmtId="165" fontId="9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3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4" fillId="0" borderId="0"/>
    <xf numFmtId="0" fontId="4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36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147">
    <xf numFmtId="0" fontId="0" fillId="0" borderId="0" xfId="0"/>
    <xf numFmtId="0" fontId="10" fillId="24" borderId="0" xfId="56" applyFont="1" applyFill="1"/>
    <xf numFmtId="0" fontId="10" fillId="24" borderId="0" xfId="56" applyFont="1" applyFill="1" applyAlignment="1">
      <alignment vertical="center"/>
    </xf>
    <xf numFmtId="0" fontId="39" fillId="24" borderId="0" xfId="56" applyFont="1" applyFill="1"/>
    <xf numFmtId="168" fontId="10" fillId="24" borderId="0" xfId="56" applyNumberFormat="1" applyFont="1" applyFill="1" applyAlignment="1">
      <alignment vertical="center"/>
    </xf>
    <xf numFmtId="0" fontId="31" fillId="0" borderId="0" xfId="54" applyFont="1" applyFill="1" applyAlignment="1">
      <alignment vertical="center"/>
    </xf>
    <xf numFmtId="0" fontId="40" fillId="0" borderId="0" xfId="54" applyFont="1" applyFill="1" applyAlignment="1">
      <alignment vertical="center"/>
    </xf>
    <xf numFmtId="0" fontId="35" fillId="0" borderId="0" xfId="56" applyFont="1" applyFill="1" applyAlignment="1">
      <alignment horizontal="center" vertical="center" wrapText="1"/>
    </xf>
    <xf numFmtId="0" fontId="37" fillId="0" borderId="23" xfId="56" applyFont="1" applyFill="1" applyBorder="1" applyAlignment="1">
      <alignment horizontal="center" vertical="center" wrapText="1"/>
    </xf>
    <xf numFmtId="49" fontId="37" fillId="0" borderId="11" xfId="56" applyNumberFormat="1" applyFont="1" applyFill="1" applyBorder="1" applyAlignment="1">
      <alignment horizontal="center" vertical="center"/>
    </xf>
    <xf numFmtId="168" fontId="35" fillId="0" borderId="17" xfId="56" applyNumberFormat="1" applyFont="1" applyFill="1" applyBorder="1" applyAlignment="1">
      <alignment horizontal="center" vertical="center"/>
    </xf>
    <xf numFmtId="168" fontId="35" fillId="0" borderId="10" xfId="56" applyNumberFormat="1" applyFont="1" applyFill="1" applyBorder="1" applyAlignment="1">
      <alignment horizontal="center" vertical="center"/>
    </xf>
    <xf numFmtId="168" fontId="35" fillId="0" borderId="23" xfId="56" applyNumberFormat="1" applyFont="1" applyFill="1" applyBorder="1" applyAlignment="1">
      <alignment horizontal="center" vertical="center"/>
    </xf>
    <xf numFmtId="0" fontId="35" fillId="0" borderId="10" xfId="56" applyFont="1" applyFill="1" applyBorder="1" applyAlignment="1">
      <alignment horizontal="center" vertical="center" wrapText="1"/>
    </xf>
    <xf numFmtId="0" fontId="35" fillId="0" borderId="14" xfId="56" applyFont="1" applyFill="1" applyBorder="1" applyAlignment="1">
      <alignment horizontal="center" vertical="center" wrapText="1"/>
    </xf>
    <xf numFmtId="168" fontId="35" fillId="0" borderId="10" xfId="0" applyNumberFormat="1" applyFont="1" applyFill="1" applyBorder="1" applyAlignment="1">
      <alignment horizontal="center" vertical="center" wrapText="1"/>
    </xf>
    <xf numFmtId="168" fontId="35" fillId="0" borderId="12" xfId="0" applyNumberFormat="1" applyFont="1" applyFill="1" applyBorder="1" applyAlignment="1">
      <alignment horizontal="center" vertical="center" wrapText="1"/>
    </xf>
    <xf numFmtId="168" fontId="35" fillId="0" borderId="17" xfId="0" applyNumberFormat="1" applyFont="1" applyFill="1" applyBorder="1" applyAlignment="1">
      <alignment horizontal="center" vertical="center"/>
    </xf>
    <xf numFmtId="168" fontId="35" fillId="0" borderId="10" xfId="0" applyNumberFormat="1" applyFont="1" applyFill="1" applyBorder="1" applyAlignment="1">
      <alignment horizontal="center" vertical="center"/>
    </xf>
    <xf numFmtId="168" fontId="35" fillId="0" borderId="11" xfId="0" applyNumberFormat="1" applyFont="1" applyFill="1" applyBorder="1" applyAlignment="1">
      <alignment horizontal="center" vertical="center"/>
    </xf>
    <xf numFmtId="168" fontId="35" fillId="0" borderId="23" xfId="0" applyNumberFormat="1" applyFont="1" applyFill="1" applyBorder="1" applyAlignment="1">
      <alignment horizontal="center" vertical="center"/>
    </xf>
    <xf numFmtId="168" fontId="35" fillId="0" borderId="12" xfId="0" applyNumberFormat="1" applyFont="1" applyFill="1" applyBorder="1" applyAlignment="1">
      <alignment horizontal="center" vertical="center"/>
    </xf>
    <xf numFmtId="0" fontId="35" fillId="0" borderId="12" xfId="0" applyFont="1" applyFill="1" applyBorder="1" applyAlignment="1">
      <alignment horizontal="center" vertical="center"/>
    </xf>
    <xf numFmtId="4" fontId="35" fillId="0" borderId="10" xfId="0" applyNumberFormat="1" applyFont="1" applyFill="1" applyBorder="1" applyAlignment="1">
      <alignment horizontal="center" vertical="center" wrapText="1"/>
    </xf>
    <xf numFmtId="49" fontId="35" fillId="0" borderId="0" xfId="56" applyNumberFormat="1" applyFont="1" applyFill="1" applyAlignment="1">
      <alignment horizontal="center" vertical="center"/>
    </xf>
    <xf numFmtId="0" fontId="35" fillId="0" borderId="0" xfId="56" applyFont="1" applyFill="1" applyAlignment="1">
      <alignment wrapText="1"/>
    </xf>
    <xf numFmtId="0" fontId="35" fillId="0" borderId="0" xfId="56" applyFont="1" applyFill="1" applyAlignment="1">
      <alignment horizontal="center"/>
    </xf>
    <xf numFmtId="0" fontId="35" fillId="0" borderId="0" xfId="37" applyFont="1" applyFill="1" applyAlignment="1">
      <alignment horizontal="center"/>
    </xf>
    <xf numFmtId="0" fontId="35" fillId="0" borderId="0" xfId="56" applyFont="1" applyFill="1" applyAlignment="1">
      <alignment horizontal="center" vertical="center" wrapText="1"/>
    </xf>
    <xf numFmtId="0" fontId="41" fillId="0" borderId="0" xfId="0" applyFont="1" applyFill="1" applyAlignment="1">
      <alignment horizontal="justify" vertical="center"/>
    </xf>
    <xf numFmtId="0" fontId="37" fillId="0" borderId="11" xfId="56" applyFont="1" applyFill="1" applyBorder="1" applyAlignment="1">
      <alignment horizontal="center" vertical="center" wrapText="1"/>
    </xf>
    <xf numFmtId="0" fontId="37" fillId="0" borderId="22" xfId="56" applyFont="1" applyFill="1" applyBorder="1" applyAlignment="1">
      <alignment horizontal="center" vertical="center" wrapText="1"/>
    </xf>
    <xf numFmtId="49" fontId="35" fillId="0" borderId="30" xfId="0" applyNumberFormat="1" applyFont="1" applyFill="1" applyBorder="1" applyAlignment="1">
      <alignment horizontal="center" vertical="center"/>
    </xf>
    <xf numFmtId="0" fontId="35" fillId="0" borderId="12" xfId="0" applyFont="1" applyFill="1" applyBorder="1" applyAlignment="1">
      <alignment vertical="center" wrapText="1"/>
    </xf>
    <xf numFmtId="0" fontId="35" fillId="0" borderId="31" xfId="56" applyFont="1" applyFill="1" applyBorder="1" applyAlignment="1">
      <alignment horizontal="center" vertical="center"/>
    </xf>
    <xf numFmtId="168" fontId="35" fillId="0" borderId="17" xfId="0" applyNumberFormat="1" applyFont="1" applyFill="1" applyBorder="1" applyAlignment="1">
      <alignment horizontal="center" vertical="center" wrapText="1"/>
    </xf>
    <xf numFmtId="4" fontId="35" fillId="0" borderId="17" xfId="621" applyNumberFormat="1" applyFont="1" applyFill="1" applyBorder="1" applyAlignment="1">
      <alignment horizontal="center" vertical="center" wrapText="1"/>
    </xf>
    <xf numFmtId="168" fontId="35" fillId="0" borderId="42" xfId="0" applyNumberFormat="1" applyFont="1" applyFill="1" applyBorder="1" applyAlignment="1">
      <alignment horizontal="center" vertical="center" wrapText="1"/>
    </xf>
    <xf numFmtId="49" fontId="35" fillId="0" borderId="20" xfId="0" applyNumberFormat="1" applyFont="1" applyFill="1" applyBorder="1" applyAlignment="1">
      <alignment horizontal="center" vertical="center"/>
    </xf>
    <xf numFmtId="0" fontId="35" fillId="0" borderId="10" xfId="56" applyFont="1" applyFill="1" applyBorder="1" applyAlignment="1">
      <alignment vertical="center" wrapText="1"/>
    </xf>
    <xf numFmtId="0" fontId="35" fillId="0" borderId="21" xfId="56" applyFont="1" applyFill="1" applyBorder="1" applyAlignment="1">
      <alignment horizontal="center" vertical="center"/>
    </xf>
    <xf numFmtId="168" fontId="35" fillId="0" borderId="37" xfId="0" applyNumberFormat="1" applyFont="1" applyFill="1" applyBorder="1" applyAlignment="1">
      <alignment horizontal="center" vertical="center" wrapText="1"/>
    </xf>
    <xf numFmtId="0" fontId="35" fillId="0" borderId="10" xfId="56" applyFont="1" applyFill="1" applyBorder="1" applyAlignment="1">
      <alignment horizontal="left" vertical="center" wrapText="1" indent="1"/>
    </xf>
    <xf numFmtId="0" fontId="35" fillId="0" borderId="10" xfId="56" applyFont="1" applyFill="1" applyBorder="1" applyAlignment="1">
      <alignment horizontal="left" vertical="center" indent="1"/>
    </xf>
    <xf numFmtId="4" fontId="35" fillId="0" borderId="10" xfId="621" applyNumberFormat="1" applyFont="1" applyFill="1" applyBorder="1" applyAlignment="1">
      <alignment horizontal="center" vertical="center" wrapText="1"/>
    </xf>
    <xf numFmtId="0" fontId="35" fillId="0" borderId="10" xfId="56" applyFont="1" applyFill="1" applyBorder="1" applyAlignment="1">
      <alignment horizontal="left" vertical="center" indent="3"/>
    </xf>
    <xf numFmtId="0" fontId="35" fillId="0" borderId="22" xfId="56" applyFont="1" applyFill="1" applyBorder="1" applyAlignment="1">
      <alignment horizontal="center" vertical="center"/>
    </xf>
    <xf numFmtId="168" fontId="35" fillId="0" borderId="23" xfId="0" applyNumberFormat="1" applyFont="1" applyFill="1" applyBorder="1" applyAlignment="1">
      <alignment horizontal="center" vertical="center" wrapText="1"/>
    </xf>
    <xf numFmtId="4" fontId="35" fillId="0" borderId="23" xfId="621" applyNumberFormat="1" applyFont="1" applyFill="1" applyBorder="1" applyAlignment="1">
      <alignment horizontal="center" vertical="center" wrapText="1"/>
    </xf>
    <xf numFmtId="168" fontId="35" fillId="0" borderId="38" xfId="0" applyNumberFormat="1" applyFont="1" applyFill="1" applyBorder="1" applyAlignment="1">
      <alignment horizontal="center" vertical="center" wrapText="1"/>
    </xf>
    <xf numFmtId="0" fontId="35" fillId="0" borderId="17" xfId="0" applyFont="1" applyFill="1" applyBorder="1" applyAlignment="1">
      <alignment vertical="center" wrapText="1"/>
    </xf>
    <xf numFmtId="4" fontId="35" fillId="0" borderId="12" xfId="621" applyNumberFormat="1" applyFont="1" applyFill="1" applyBorder="1" applyAlignment="1">
      <alignment horizontal="center" vertical="center" wrapText="1"/>
    </xf>
    <xf numFmtId="168" fontId="35" fillId="0" borderId="39" xfId="0" applyNumberFormat="1" applyFont="1" applyFill="1" applyBorder="1" applyAlignment="1">
      <alignment horizontal="center" vertical="center" wrapText="1"/>
    </xf>
    <xf numFmtId="0" fontId="35" fillId="0" borderId="10" xfId="56" applyFont="1" applyFill="1" applyBorder="1" applyAlignment="1">
      <alignment horizontal="left" vertical="center" wrapText="1" indent="3"/>
    </xf>
    <xf numFmtId="0" fontId="35" fillId="0" borderId="10" xfId="0" applyFont="1" applyFill="1" applyBorder="1" applyAlignment="1">
      <alignment horizontal="left" vertical="center" wrapText="1" indent="1"/>
    </xf>
    <xf numFmtId="0" fontId="35" fillId="0" borderId="10" xfId="56" applyFont="1" applyFill="1" applyBorder="1" applyAlignment="1">
      <alignment horizontal="left" vertical="center" wrapText="1" indent="5"/>
    </xf>
    <xf numFmtId="0" fontId="35" fillId="0" borderId="10" xfId="0" applyFont="1" applyFill="1" applyBorder="1" applyAlignment="1">
      <alignment horizontal="left" vertical="center" wrapText="1" indent="7"/>
    </xf>
    <xf numFmtId="49" fontId="35" fillId="0" borderId="27" xfId="0" applyNumberFormat="1" applyFont="1" applyFill="1" applyBorder="1" applyAlignment="1">
      <alignment horizontal="center" vertical="center"/>
    </xf>
    <xf numFmtId="0" fontId="35" fillId="0" borderId="11" xfId="56" applyFont="1" applyFill="1" applyBorder="1" applyAlignment="1">
      <alignment horizontal="left" vertical="center" indent="3"/>
    </xf>
    <xf numFmtId="0" fontId="35" fillId="0" borderId="28" xfId="56" applyFont="1" applyFill="1" applyBorder="1" applyAlignment="1">
      <alignment horizontal="center" vertical="center"/>
    </xf>
    <xf numFmtId="4" fontId="35" fillId="0" borderId="23" xfId="0" applyNumberFormat="1" applyFont="1" applyFill="1" applyBorder="1" applyAlignment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/>
    </xf>
    <xf numFmtId="0" fontId="35" fillId="0" borderId="17" xfId="0" applyFont="1" applyFill="1" applyBorder="1" applyAlignment="1">
      <alignment horizontal="left" vertical="center" wrapText="1" indent="1"/>
    </xf>
    <xf numFmtId="0" fontId="35" fillId="0" borderId="18" xfId="56" applyFont="1" applyFill="1" applyBorder="1" applyAlignment="1">
      <alignment horizontal="center" vertical="center"/>
    </xf>
    <xf numFmtId="168" fontId="35" fillId="0" borderId="15" xfId="0" applyNumberFormat="1" applyFont="1" applyFill="1" applyBorder="1" applyAlignment="1">
      <alignment horizontal="center" vertical="center" wrapText="1"/>
    </xf>
    <xf numFmtId="168" fontId="35" fillId="0" borderId="14" xfId="0" applyNumberFormat="1" applyFont="1" applyFill="1" applyBorder="1" applyAlignment="1">
      <alignment horizontal="center" vertical="center" wrapText="1"/>
    </xf>
    <xf numFmtId="49" fontId="35" fillId="0" borderId="29" xfId="0" applyNumberFormat="1" applyFont="1" applyFill="1" applyBorder="1" applyAlignment="1">
      <alignment horizontal="center" vertical="center"/>
    </xf>
    <xf numFmtId="0" fontId="35" fillId="0" borderId="23" xfId="56" applyFont="1" applyFill="1" applyBorder="1" applyAlignment="1">
      <alignment horizontal="left" vertical="center" indent="3"/>
    </xf>
    <xf numFmtId="0" fontId="35" fillId="0" borderId="10" xfId="0" applyFont="1" applyFill="1" applyBorder="1" applyAlignment="1">
      <alignment vertical="center" wrapText="1"/>
    </xf>
    <xf numFmtId="4" fontId="35" fillId="0" borderId="12" xfId="0" applyNumberFormat="1" applyFont="1" applyFill="1" applyBorder="1" applyAlignment="1">
      <alignment horizontal="center" vertical="center" wrapText="1"/>
    </xf>
    <xf numFmtId="0" fontId="35" fillId="0" borderId="23" xfId="0" applyFont="1" applyFill="1" applyBorder="1" applyAlignment="1">
      <alignment horizontal="left" vertical="center" wrapText="1" indent="1"/>
    </xf>
    <xf numFmtId="168" fontId="35" fillId="0" borderId="31" xfId="0" applyNumberFormat="1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vertical="center" wrapText="1"/>
    </xf>
    <xf numFmtId="168" fontId="35" fillId="0" borderId="22" xfId="0" applyNumberFormat="1" applyFont="1" applyFill="1" applyBorder="1" applyAlignment="1">
      <alignment horizontal="center" vertical="center" wrapText="1"/>
    </xf>
    <xf numFmtId="0" fontId="35" fillId="0" borderId="10" xfId="56" applyFont="1" applyFill="1" applyBorder="1" applyAlignment="1">
      <alignment horizontal="left" vertical="center" indent="5"/>
    </xf>
    <xf numFmtId="0" fontId="35" fillId="0" borderId="23" xfId="56" applyFont="1" applyFill="1" applyBorder="1" applyAlignment="1">
      <alignment horizontal="left" vertical="center" indent="5"/>
    </xf>
    <xf numFmtId="0" fontId="35" fillId="0" borderId="31" xfId="0" applyFont="1" applyFill="1" applyBorder="1" applyAlignment="1">
      <alignment horizontal="center" vertical="center"/>
    </xf>
    <xf numFmtId="168" fontId="35" fillId="0" borderId="21" xfId="0" applyNumberFormat="1" applyFont="1" applyFill="1" applyBorder="1" applyAlignment="1">
      <alignment horizontal="center" vertical="center" wrapText="1"/>
    </xf>
    <xf numFmtId="0" fontId="35" fillId="0" borderId="21" xfId="0" applyFont="1" applyFill="1" applyBorder="1" applyAlignment="1">
      <alignment horizontal="center" vertical="center"/>
    </xf>
    <xf numFmtId="0" fontId="35" fillId="0" borderId="23" xfId="0" applyFont="1" applyFill="1" applyBorder="1" applyAlignment="1">
      <alignment vertical="center" wrapText="1"/>
    </xf>
    <xf numFmtId="49" fontId="37" fillId="0" borderId="20" xfId="56" applyNumberFormat="1" applyFont="1" applyFill="1" applyBorder="1" applyAlignment="1">
      <alignment horizontal="center" vertical="center"/>
    </xf>
    <xf numFmtId="0" fontId="37" fillId="0" borderId="10" xfId="56" applyFont="1" applyFill="1" applyBorder="1" applyAlignment="1">
      <alignment horizontal="center" vertical="center" wrapText="1"/>
    </xf>
    <xf numFmtId="0" fontId="37" fillId="0" borderId="21" xfId="56" applyFont="1" applyFill="1" applyBorder="1" applyAlignment="1">
      <alignment horizontal="center" vertical="center" wrapText="1"/>
    </xf>
    <xf numFmtId="0" fontId="37" fillId="0" borderId="14" xfId="56" applyFont="1" applyFill="1" applyBorder="1" applyAlignment="1">
      <alignment horizontal="center" vertical="center" wrapText="1"/>
    </xf>
    <xf numFmtId="0" fontId="37" fillId="0" borderId="10" xfId="56" applyFont="1" applyFill="1" applyBorder="1" applyAlignment="1">
      <alignment horizontal="center" vertical="center"/>
    </xf>
    <xf numFmtId="0" fontId="38" fillId="0" borderId="21" xfId="56" applyFont="1" applyFill="1" applyBorder="1" applyAlignment="1">
      <alignment horizontal="center" vertical="center"/>
    </xf>
    <xf numFmtId="168" fontId="35" fillId="0" borderId="10" xfId="56" applyNumberFormat="1" applyFont="1" applyFill="1" applyBorder="1" applyAlignment="1">
      <alignment horizontal="center" vertical="center" wrapText="1"/>
    </xf>
    <xf numFmtId="4" fontId="35" fillId="0" borderId="10" xfId="56" applyNumberFormat="1" applyFont="1" applyFill="1" applyBorder="1" applyAlignment="1">
      <alignment horizontal="center" vertical="center" wrapText="1"/>
    </xf>
    <xf numFmtId="168" fontId="35" fillId="0" borderId="21" xfId="56" applyNumberFormat="1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vertical="center"/>
    </xf>
    <xf numFmtId="0" fontId="35" fillId="0" borderId="10" xfId="56" applyFont="1" applyFill="1" applyBorder="1" applyAlignment="1">
      <alignment horizontal="left" vertical="center" indent="7"/>
    </xf>
    <xf numFmtId="0" fontId="35" fillId="0" borderId="21" xfId="56" applyFont="1" applyFill="1" applyBorder="1" applyAlignment="1">
      <alignment horizontal="center" vertical="center" wrapText="1"/>
    </xf>
    <xf numFmtId="49" fontId="35" fillId="0" borderId="20" xfId="56" applyNumberFormat="1" applyFont="1" applyFill="1" applyBorder="1" applyAlignment="1">
      <alignment horizontal="center" vertical="center"/>
    </xf>
    <xf numFmtId="49" fontId="35" fillId="0" borderId="29" xfId="56" applyNumberFormat="1" applyFont="1" applyFill="1" applyBorder="1" applyAlignment="1">
      <alignment horizontal="center" vertical="center"/>
    </xf>
    <xf numFmtId="0" fontId="35" fillId="0" borderId="23" xfId="56" applyFont="1" applyFill="1" applyBorder="1" applyAlignment="1">
      <alignment horizontal="left" vertical="center" wrapText="1" indent="3"/>
    </xf>
    <xf numFmtId="168" fontId="35" fillId="0" borderId="23" xfId="56" applyNumberFormat="1" applyFont="1" applyFill="1" applyBorder="1" applyAlignment="1">
      <alignment horizontal="center" vertical="center" wrapText="1"/>
    </xf>
    <xf numFmtId="4" fontId="35" fillId="0" borderId="23" xfId="56" applyNumberFormat="1" applyFont="1" applyFill="1" applyBorder="1" applyAlignment="1">
      <alignment horizontal="center" vertical="center" wrapText="1"/>
    </xf>
    <xf numFmtId="168" fontId="35" fillId="0" borderId="22" xfId="56" applyNumberFormat="1" applyFont="1" applyFill="1" applyBorder="1" applyAlignment="1">
      <alignment horizontal="center" vertical="center" wrapText="1"/>
    </xf>
    <xf numFmtId="49" fontId="35" fillId="0" borderId="13" xfId="56" applyNumberFormat="1" applyFont="1" applyFill="1" applyBorder="1" applyAlignment="1">
      <alignment horizontal="left" vertical="center"/>
    </xf>
    <xf numFmtId="0" fontId="35" fillId="0" borderId="0" xfId="56" applyFont="1" applyFill="1" applyAlignment="1">
      <alignment horizontal="center" vertical="center" wrapText="1"/>
    </xf>
    <xf numFmtId="0" fontId="41" fillId="0" borderId="0" xfId="0" applyFont="1" applyFill="1" applyAlignment="1">
      <alignment horizontal="center" vertical="center"/>
    </xf>
    <xf numFmtId="168" fontId="35" fillId="0" borderId="10" xfId="278" applyNumberFormat="1" applyFont="1" applyFill="1" applyBorder="1" applyAlignment="1">
      <alignment horizontal="center" vertical="center" wrapText="1"/>
    </xf>
    <xf numFmtId="168" fontId="35" fillId="0" borderId="12" xfId="278" applyNumberFormat="1" applyFont="1" applyFill="1" applyBorder="1" applyAlignment="1">
      <alignment horizontal="center" vertical="center" wrapText="1"/>
    </xf>
    <xf numFmtId="0" fontId="41" fillId="0" borderId="0" xfId="54" applyFont="1" applyFill="1" applyAlignment="1">
      <alignment vertical="center"/>
    </xf>
    <xf numFmtId="169" fontId="10" fillId="24" borderId="0" xfId="56" applyNumberFormat="1" applyFont="1" applyFill="1" applyAlignment="1">
      <alignment vertical="center"/>
    </xf>
    <xf numFmtId="0" fontId="35" fillId="0" borderId="0" xfId="56" applyFont="1" applyFill="1" applyAlignment="1">
      <alignment horizontal="center" vertical="center" wrapText="1"/>
    </xf>
    <xf numFmtId="168" fontId="35" fillId="0" borderId="16" xfId="56" applyNumberFormat="1" applyFont="1" applyFill="1" applyBorder="1" applyAlignment="1">
      <alignment horizontal="center" vertical="center"/>
    </xf>
    <xf numFmtId="168" fontId="35" fillId="0" borderId="20" xfId="56" applyNumberFormat="1" applyFont="1" applyFill="1" applyBorder="1" applyAlignment="1">
      <alignment horizontal="center" vertical="center"/>
    </xf>
    <xf numFmtId="168" fontId="35" fillId="0" borderId="29" xfId="56" applyNumberFormat="1" applyFont="1" applyFill="1" applyBorder="1" applyAlignment="1">
      <alignment horizontal="center" vertical="center"/>
    </xf>
    <xf numFmtId="168" fontId="35" fillId="0" borderId="12" xfId="56" applyNumberFormat="1" applyFont="1" applyFill="1" applyBorder="1" applyAlignment="1">
      <alignment horizontal="center" vertical="center"/>
    </xf>
    <xf numFmtId="168" fontId="35" fillId="0" borderId="11" xfId="56" applyNumberFormat="1" applyFont="1" applyFill="1" applyBorder="1" applyAlignment="1">
      <alignment horizontal="center" vertical="center"/>
    </xf>
    <xf numFmtId="168" fontId="41" fillId="0" borderId="10" xfId="0" applyNumberFormat="1" applyFont="1" applyFill="1" applyBorder="1" applyAlignment="1">
      <alignment horizontal="center" vertical="center" wrapText="1"/>
    </xf>
    <xf numFmtId="4" fontId="35" fillId="0" borderId="10" xfId="56" applyNumberFormat="1" applyFont="1" applyFill="1" applyBorder="1" applyAlignment="1">
      <alignment horizontal="center" vertical="center"/>
    </xf>
    <xf numFmtId="3" fontId="35" fillId="0" borderId="23" xfId="56" applyNumberFormat="1" applyFont="1" applyFill="1" applyBorder="1" applyAlignment="1">
      <alignment horizontal="center" vertical="center"/>
    </xf>
    <xf numFmtId="3" fontId="35" fillId="0" borderId="23" xfId="0" applyNumberFormat="1" applyFont="1" applyFill="1" applyBorder="1" applyAlignment="1">
      <alignment horizontal="center" vertical="center" wrapText="1"/>
    </xf>
    <xf numFmtId="168" fontId="35" fillId="0" borderId="14" xfId="56" applyNumberFormat="1" applyFont="1" applyFill="1" applyBorder="1" applyAlignment="1">
      <alignment horizontal="center" vertical="center"/>
    </xf>
    <xf numFmtId="168" fontId="35" fillId="0" borderId="43" xfId="56" applyNumberFormat="1" applyFont="1" applyFill="1" applyBorder="1" applyAlignment="1">
      <alignment horizontal="center" vertical="center"/>
    </xf>
    <xf numFmtId="0" fontId="35" fillId="0" borderId="0" xfId="56" applyNumberFormat="1" applyFont="1" applyFill="1" applyAlignment="1">
      <alignment horizontal="left" vertical="top" wrapText="1"/>
    </xf>
    <xf numFmtId="0" fontId="35" fillId="0" borderId="18" xfId="56" applyFont="1" applyFill="1" applyBorder="1" applyAlignment="1">
      <alignment horizontal="center" vertical="center" wrapText="1"/>
    </xf>
    <xf numFmtId="0" fontId="35" fillId="0" borderId="21" xfId="56" applyFont="1" applyFill="1" applyBorder="1" applyAlignment="1">
      <alignment horizontal="center" vertical="center" wrapText="1"/>
    </xf>
    <xf numFmtId="0" fontId="35" fillId="0" borderId="20" xfId="56" applyFont="1" applyFill="1" applyBorder="1" applyAlignment="1">
      <alignment horizontal="left" vertical="center" wrapText="1"/>
    </xf>
    <xf numFmtId="0" fontId="35" fillId="0" borderId="10" xfId="56" applyFont="1" applyFill="1" applyBorder="1" applyAlignment="1">
      <alignment horizontal="left" vertical="center" wrapText="1"/>
    </xf>
    <xf numFmtId="49" fontId="35" fillId="0" borderId="0" xfId="56" applyNumberFormat="1" applyFont="1" applyFill="1" applyAlignment="1">
      <alignment horizontal="left" vertical="center"/>
    </xf>
    <xf numFmtId="49" fontId="42" fillId="0" borderId="16" xfId="56" applyNumberFormat="1" applyFont="1" applyFill="1" applyBorder="1" applyAlignment="1">
      <alignment horizontal="center" vertical="center" wrapText="1"/>
    </xf>
    <xf numFmtId="49" fontId="42" fillId="0" borderId="20" xfId="56" applyNumberFormat="1" applyFont="1" applyFill="1" applyBorder="1" applyAlignment="1">
      <alignment horizontal="center" vertical="center" wrapText="1"/>
    </xf>
    <xf numFmtId="0" fontId="42" fillId="0" borderId="17" xfId="56" applyFont="1" applyFill="1" applyBorder="1" applyAlignment="1">
      <alignment horizontal="center" vertical="center" wrapText="1"/>
    </xf>
    <xf numFmtId="0" fontId="42" fillId="0" borderId="10" xfId="56" applyFont="1" applyFill="1" applyBorder="1" applyAlignment="1">
      <alignment horizontal="center" vertical="center" wrapText="1"/>
    </xf>
    <xf numFmtId="0" fontId="42" fillId="0" borderId="18" xfId="56" applyFont="1" applyFill="1" applyBorder="1" applyAlignment="1">
      <alignment horizontal="center" vertical="center" wrapText="1"/>
    </xf>
    <xf numFmtId="0" fontId="42" fillId="0" borderId="21" xfId="56" applyFont="1" applyFill="1" applyBorder="1" applyAlignment="1">
      <alignment horizontal="center" vertical="center" wrapText="1"/>
    </xf>
    <xf numFmtId="0" fontId="42" fillId="0" borderId="19" xfId="56" applyFont="1" applyFill="1" applyBorder="1" applyAlignment="1">
      <alignment horizontal="center" vertical="center" wrapText="1"/>
    </xf>
    <xf numFmtId="49" fontId="43" fillId="0" borderId="24" xfId="56" applyNumberFormat="1" applyFont="1" applyFill="1" applyBorder="1" applyAlignment="1">
      <alignment horizontal="center" vertical="center"/>
    </xf>
    <xf numFmtId="49" fontId="43" fillId="0" borderId="25" xfId="56" applyNumberFormat="1" applyFont="1" applyFill="1" applyBorder="1" applyAlignment="1">
      <alignment horizontal="center" vertical="center"/>
    </xf>
    <xf numFmtId="49" fontId="43" fillId="0" borderId="26" xfId="56" applyNumberFormat="1" applyFont="1" applyFill="1" applyBorder="1" applyAlignment="1">
      <alignment horizontal="center" vertical="center"/>
    </xf>
    <xf numFmtId="49" fontId="43" fillId="0" borderId="40" xfId="56" applyNumberFormat="1" applyFont="1" applyFill="1" applyBorder="1" applyAlignment="1">
      <alignment horizontal="center" vertical="center"/>
    </xf>
    <xf numFmtId="49" fontId="43" fillId="0" borderId="41" xfId="56" applyNumberFormat="1" applyFont="1" applyFill="1" applyBorder="1" applyAlignment="1">
      <alignment horizontal="center" vertical="center"/>
    </xf>
    <xf numFmtId="0" fontId="35" fillId="0" borderId="32" xfId="56" applyFont="1" applyFill="1" applyBorder="1" applyAlignment="1">
      <alignment horizontal="center" vertical="center" wrapText="1"/>
    </xf>
    <xf numFmtId="0" fontId="35" fillId="0" borderId="0" xfId="56" applyFont="1" applyFill="1" applyBorder="1" applyAlignment="1">
      <alignment horizontal="center" vertical="center" wrapText="1"/>
    </xf>
    <xf numFmtId="0" fontId="35" fillId="0" borderId="33" xfId="56" applyFont="1" applyFill="1" applyBorder="1" applyAlignment="1">
      <alignment horizontal="center" vertical="center" wrapText="1"/>
    </xf>
    <xf numFmtId="49" fontId="35" fillId="0" borderId="0" xfId="56" applyNumberFormat="1" applyFont="1" applyFill="1" applyAlignment="1">
      <alignment horizontal="left" vertical="center" wrapText="1"/>
    </xf>
    <xf numFmtId="0" fontId="35" fillId="0" borderId="0" xfId="56" applyFont="1" applyFill="1" applyAlignment="1">
      <alignment horizontal="center" vertical="center" wrapText="1"/>
    </xf>
    <xf numFmtId="0" fontId="42" fillId="0" borderId="34" xfId="56" applyFont="1" applyFill="1" applyBorder="1" applyAlignment="1">
      <alignment horizontal="center" vertical="center" wrapText="1"/>
    </xf>
    <xf numFmtId="0" fontId="42" fillId="0" borderId="35" xfId="56" applyFont="1" applyFill="1" applyBorder="1" applyAlignment="1">
      <alignment horizontal="center" vertical="center" wrapText="1"/>
    </xf>
    <xf numFmtId="0" fontId="35" fillId="0" borderId="36" xfId="56" applyFont="1" applyFill="1" applyBorder="1" applyAlignment="1">
      <alignment horizontal="center" vertical="center" wrapText="1"/>
    </xf>
    <xf numFmtId="0" fontId="35" fillId="0" borderId="31" xfId="56" applyFont="1" applyFill="1" applyBorder="1" applyAlignment="1">
      <alignment horizontal="center" vertical="center" wrapText="1"/>
    </xf>
    <xf numFmtId="0" fontId="41" fillId="0" borderId="0" xfId="0" applyFont="1" applyFill="1" applyAlignment="1">
      <alignment horizontal="center" vertical="center"/>
    </xf>
    <xf numFmtId="0" fontId="41" fillId="0" borderId="0" xfId="54" applyFont="1" applyFill="1" applyAlignment="1">
      <alignment horizontal="center" vertical="center" wrapText="1"/>
    </xf>
    <xf numFmtId="0" fontId="41" fillId="0" borderId="0" xfId="0" applyFont="1" applyFill="1" applyAlignment="1">
      <alignment horizontal="center" vertical="top"/>
    </xf>
  </cellXfs>
  <cellStyles count="1143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8" xr:uid="{00000000-0005-0000-0000-000048000000}"/>
    <cellStyle name="Обычный 12 2" xfId="47" xr:uid="{00000000-0005-0000-0000-000049000000}"/>
    <cellStyle name="Обычный 2" xfId="36" xr:uid="{00000000-0005-0000-0000-00004A000000}"/>
    <cellStyle name="Обычный 2 26 2" xfId="114" xr:uid="{00000000-0005-0000-0000-00004B000000}"/>
    <cellStyle name="Обычный 3" xfId="37" xr:uid="{00000000-0005-0000-0000-00004C000000}"/>
    <cellStyle name="Обычный 3 2" xfId="56" xr:uid="{00000000-0005-0000-0000-00004D000000}"/>
    <cellStyle name="Обычный 3 2 2 2" xfId="48" xr:uid="{00000000-0005-0000-0000-00004E000000}"/>
    <cellStyle name="Обычный 3 21" xfId="102" xr:uid="{00000000-0005-0000-0000-00004F000000}"/>
    <cellStyle name="Обычный 4" xfId="44" xr:uid="{00000000-0005-0000-0000-000050000000}"/>
    <cellStyle name="Обычный 4 2" xfId="55" xr:uid="{00000000-0005-0000-0000-000051000000}"/>
    <cellStyle name="Обычный 5" xfId="45" xr:uid="{00000000-0005-0000-0000-000052000000}"/>
    <cellStyle name="Обычный 6" xfId="46" xr:uid="{00000000-0005-0000-0000-000053000000}"/>
    <cellStyle name="Обычный 6 10" xfId="279" xr:uid="{00000000-0005-0000-0000-000054000000}"/>
    <cellStyle name="Обычный 6 10 2" xfId="800" xr:uid="{00000000-0005-0000-0000-000055000000}"/>
    <cellStyle name="Обычный 6 11" xfId="450" xr:uid="{00000000-0005-0000-0000-000056000000}"/>
    <cellStyle name="Обычный 6 11 2" xfId="971" xr:uid="{00000000-0005-0000-0000-000057000000}"/>
    <cellStyle name="Обычный 6 12" xfId="622" xr:uid="{00000000-0005-0000-0000-000058000000}"/>
    <cellStyle name="Обычный 6 2" xfId="52" xr:uid="{00000000-0005-0000-0000-000059000000}"/>
    <cellStyle name="Обычный 6 2 10" xfId="109" xr:uid="{00000000-0005-0000-0000-00005A000000}"/>
    <cellStyle name="Обычный 6 2 10 2" xfId="632" xr:uid="{00000000-0005-0000-0000-00005B000000}"/>
    <cellStyle name="Обычный 6 2 11" xfId="282" xr:uid="{00000000-0005-0000-0000-00005C000000}"/>
    <cellStyle name="Обычный 6 2 11 2" xfId="803" xr:uid="{00000000-0005-0000-0000-00005D000000}"/>
    <cellStyle name="Обычный 6 2 12" xfId="453" xr:uid="{00000000-0005-0000-0000-00005E000000}"/>
    <cellStyle name="Обычный 6 2 12 2" xfId="974" xr:uid="{00000000-0005-0000-0000-00005F000000}"/>
    <cellStyle name="Обычный 6 2 13" xfId="625" xr:uid="{00000000-0005-0000-0000-000060000000}"/>
    <cellStyle name="Обычный 6 2 2" xfId="53" xr:uid="{00000000-0005-0000-0000-000061000000}"/>
    <cellStyle name="Обычный 6 2 2 10" xfId="283" xr:uid="{00000000-0005-0000-0000-000062000000}"/>
    <cellStyle name="Обычный 6 2 2 10 2" xfId="804" xr:uid="{00000000-0005-0000-0000-000063000000}"/>
    <cellStyle name="Обычный 6 2 2 11" xfId="454" xr:uid="{00000000-0005-0000-0000-000064000000}"/>
    <cellStyle name="Обычный 6 2 2 11 2" xfId="975" xr:uid="{00000000-0005-0000-0000-000065000000}"/>
    <cellStyle name="Обычный 6 2 2 12" xfId="626" xr:uid="{00000000-0005-0000-0000-000066000000}"/>
    <cellStyle name="Обычный 6 2 2 2" xfId="116" xr:uid="{00000000-0005-0000-0000-000067000000}"/>
    <cellStyle name="Обычный 6 2 2 2 2" xfId="133" xr:uid="{00000000-0005-0000-0000-000068000000}"/>
    <cellStyle name="Обычный 6 2 2 2 2 2" xfId="137" xr:uid="{00000000-0005-0000-0000-000069000000}"/>
    <cellStyle name="Обычный 6 2 2 2 2 2 2" xfId="138" xr:uid="{00000000-0005-0000-0000-00006A000000}"/>
    <cellStyle name="Обычный 6 2 2 2 2 2 2 2" xfId="310" xr:uid="{00000000-0005-0000-0000-00006B000000}"/>
    <cellStyle name="Обычный 6 2 2 2 2 2 2 2 2" xfId="831" xr:uid="{00000000-0005-0000-0000-00006C000000}"/>
    <cellStyle name="Обычный 6 2 2 2 2 2 2 3" xfId="481" xr:uid="{00000000-0005-0000-0000-00006D000000}"/>
    <cellStyle name="Обычный 6 2 2 2 2 2 2 3 2" xfId="1002" xr:uid="{00000000-0005-0000-0000-00006E000000}"/>
    <cellStyle name="Обычный 6 2 2 2 2 2 2 4" xfId="660" xr:uid="{00000000-0005-0000-0000-00006F000000}"/>
    <cellStyle name="Обычный 6 2 2 2 2 2 3" xfId="139" xr:uid="{00000000-0005-0000-0000-000070000000}"/>
    <cellStyle name="Обычный 6 2 2 2 2 2 3 2" xfId="311" xr:uid="{00000000-0005-0000-0000-000071000000}"/>
    <cellStyle name="Обычный 6 2 2 2 2 2 3 2 2" xfId="832" xr:uid="{00000000-0005-0000-0000-000072000000}"/>
    <cellStyle name="Обычный 6 2 2 2 2 2 3 3" xfId="482" xr:uid="{00000000-0005-0000-0000-000073000000}"/>
    <cellStyle name="Обычный 6 2 2 2 2 2 3 3 2" xfId="1003" xr:uid="{00000000-0005-0000-0000-000074000000}"/>
    <cellStyle name="Обычный 6 2 2 2 2 2 3 4" xfId="661" xr:uid="{00000000-0005-0000-0000-000075000000}"/>
    <cellStyle name="Обычный 6 2 2 2 2 2 4" xfId="309" xr:uid="{00000000-0005-0000-0000-000076000000}"/>
    <cellStyle name="Обычный 6 2 2 2 2 2 4 2" xfId="830" xr:uid="{00000000-0005-0000-0000-000077000000}"/>
    <cellStyle name="Обычный 6 2 2 2 2 2 5" xfId="480" xr:uid="{00000000-0005-0000-0000-000078000000}"/>
    <cellStyle name="Обычный 6 2 2 2 2 2 5 2" xfId="1001" xr:uid="{00000000-0005-0000-0000-000079000000}"/>
    <cellStyle name="Обычный 6 2 2 2 2 2 6" xfId="659" xr:uid="{00000000-0005-0000-0000-00007A000000}"/>
    <cellStyle name="Обычный 6 2 2 2 2 3" xfId="140" xr:uid="{00000000-0005-0000-0000-00007B000000}"/>
    <cellStyle name="Обычный 6 2 2 2 2 3 2" xfId="312" xr:uid="{00000000-0005-0000-0000-00007C000000}"/>
    <cellStyle name="Обычный 6 2 2 2 2 3 2 2" xfId="833" xr:uid="{00000000-0005-0000-0000-00007D000000}"/>
    <cellStyle name="Обычный 6 2 2 2 2 3 3" xfId="483" xr:uid="{00000000-0005-0000-0000-00007E000000}"/>
    <cellStyle name="Обычный 6 2 2 2 2 3 3 2" xfId="1004" xr:uid="{00000000-0005-0000-0000-00007F000000}"/>
    <cellStyle name="Обычный 6 2 2 2 2 3 4" xfId="662" xr:uid="{00000000-0005-0000-0000-000080000000}"/>
    <cellStyle name="Обычный 6 2 2 2 2 4" xfId="141" xr:uid="{00000000-0005-0000-0000-000081000000}"/>
    <cellStyle name="Обычный 6 2 2 2 2 4 2" xfId="313" xr:uid="{00000000-0005-0000-0000-000082000000}"/>
    <cellStyle name="Обычный 6 2 2 2 2 4 2 2" xfId="834" xr:uid="{00000000-0005-0000-0000-000083000000}"/>
    <cellStyle name="Обычный 6 2 2 2 2 4 3" xfId="484" xr:uid="{00000000-0005-0000-0000-000084000000}"/>
    <cellStyle name="Обычный 6 2 2 2 2 4 3 2" xfId="1005" xr:uid="{00000000-0005-0000-0000-000085000000}"/>
    <cellStyle name="Обычный 6 2 2 2 2 4 4" xfId="663" xr:uid="{00000000-0005-0000-0000-000086000000}"/>
    <cellStyle name="Обычный 6 2 2 2 2 5" xfId="305" xr:uid="{00000000-0005-0000-0000-000087000000}"/>
    <cellStyle name="Обычный 6 2 2 2 2 5 2" xfId="826" xr:uid="{00000000-0005-0000-0000-000088000000}"/>
    <cellStyle name="Обычный 6 2 2 2 2 6" xfId="476" xr:uid="{00000000-0005-0000-0000-000089000000}"/>
    <cellStyle name="Обычный 6 2 2 2 2 6 2" xfId="997" xr:uid="{00000000-0005-0000-0000-00008A000000}"/>
    <cellStyle name="Обычный 6 2 2 2 2 7" xfId="655" xr:uid="{00000000-0005-0000-0000-00008B000000}"/>
    <cellStyle name="Обычный 6 2 2 2 3" xfId="135" xr:uid="{00000000-0005-0000-0000-00008C000000}"/>
    <cellStyle name="Обычный 6 2 2 2 3 2" xfId="142" xr:uid="{00000000-0005-0000-0000-00008D000000}"/>
    <cellStyle name="Обычный 6 2 2 2 3 2 2" xfId="314" xr:uid="{00000000-0005-0000-0000-00008E000000}"/>
    <cellStyle name="Обычный 6 2 2 2 3 2 2 2" xfId="835" xr:uid="{00000000-0005-0000-0000-00008F000000}"/>
    <cellStyle name="Обычный 6 2 2 2 3 2 3" xfId="485" xr:uid="{00000000-0005-0000-0000-000090000000}"/>
    <cellStyle name="Обычный 6 2 2 2 3 2 3 2" xfId="1006" xr:uid="{00000000-0005-0000-0000-000091000000}"/>
    <cellStyle name="Обычный 6 2 2 2 3 2 4" xfId="664" xr:uid="{00000000-0005-0000-0000-000092000000}"/>
    <cellStyle name="Обычный 6 2 2 2 3 3" xfId="143" xr:uid="{00000000-0005-0000-0000-000093000000}"/>
    <cellStyle name="Обычный 6 2 2 2 3 3 2" xfId="315" xr:uid="{00000000-0005-0000-0000-000094000000}"/>
    <cellStyle name="Обычный 6 2 2 2 3 3 2 2" xfId="836" xr:uid="{00000000-0005-0000-0000-000095000000}"/>
    <cellStyle name="Обычный 6 2 2 2 3 3 3" xfId="486" xr:uid="{00000000-0005-0000-0000-000096000000}"/>
    <cellStyle name="Обычный 6 2 2 2 3 3 3 2" xfId="1007" xr:uid="{00000000-0005-0000-0000-000097000000}"/>
    <cellStyle name="Обычный 6 2 2 2 3 3 4" xfId="665" xr:uid="{00000000-0005-0000-0000-000098000000}"/>
    <cellStyle name="Обычный 6 2 2 2 3 4" xfId="307" xr:uid="{00000000-0005-0000-0000-000099000000}"/>
    <cellStyle name="Обычный 6 2 2 2 3 4 2" xfId="828" xr:uid="{00000000-0005-0000-0000-00009A000000}"/>
    <cellStyle name="Обычный 6 2 2 2 3 5" xfId="478" xr:uid="{00000000-0005-0000-0000-00009B000000}"/>
    <cellStyle name="Обычный 6 2 2 2 3 5 2" xfId="999" xr:uid="{00000000-0005-0000-0000-00009C000000}"/>
    <cellStyle name="Обычный 6 2 2 2 3 6" xfId="657" xr:uid="{00000000-0005-0000-0000-00009D000000}"/>
    <cellStyle name="Обычный 6 2 2 2 4" xfId="144" xr:uid="{00000000-0005-0000-0000-00009E000000}"/>
    <cellStyle name="Обычный 6 2 2 2 4 2" xfId="316" xr:uid="{00000000-0005-0000-0000-00009F000000}"/>
    <cellStyle name="Обычный 6 2 2 2 4 2 2" xfId="837" xr:uid="{00000000-0005-0000-0000-0000A0000000}"/>
    <cellStyle name="Обычный 6 2 2 2 4 3" xfId="487" xr:uid="{00000000-0005-0000-0000-0000A1000000}"/>
    <cellStyle name="Обычный 6 2 2 2 4 3 2" xfId="1008" xr:uid="{00000000-0005-0000-0000-0000A2000000}"/>
    <cellStyle name="Обычный 6 2 2 2 4 4" xfId="666" xr:uid="{00000000-0005-0000-0000-0000A3000000}"/>
    <cellStyle name="Обычный 6 2 2 2 5" xfId="145" xr:uid="{00000000-0005-0000-0000-0000A4000000}"/>
    <cellStyle name="Обычный 6 2 2 2 5 2" xfId="317" xr:uid="{00000000-0005-0000-0000-0000A5000000}"/>
    <cellStyle name="Обычный 6 2 2 2 5 2 2" xfId="838" xr:uid="{00000000-0005-0000-0000-0000A6000000}"/>
    <cellStyle name="Обычный 6 2 2 2 5 3" xfId="488" xr:uid="{00000000-0005-0000-0000-0000A7000000}"/>
    <cellStyle name="Обычный 6 2 2 2 5 3 2" xfId="1009" xr:uid="{00000000-0005-0000-0000-0000A8000000}"/>
    <cellStyle name="Обычный 6 2 2 2 5 4" xfId="667" xr:uid="{00000000-0005-0000-0000-0000A9000000}"/>
    <cellStyle name="Обычный 6 2 2 2 6" xfId="288" xr:uid="{00000000-0005-0000-0000-0000AA000000}"/>
    <cellStyle name="Обычный 6 2 2 2 6 2" xfId="809" xr:uid="{00000000-0005-0000-0000-0000AB000000}"/>
    <cellStyle name="Обычный 6 2 2 2 7" xfId="459" xr:uid="{00000000-0005-0000-0000-0000AC000000}"/>
    <cellStyle name="Обычный 6 2 2 2 7 2" xfId="980" xr:uid="{00000000-0005-0000-0000-0000AD000000}"/>
    <cellStyle name="Обычный 6 2 2 2 8" xfId="638" xr:uid="{00000000-0005-0000-0000-0000AE000000}"/>
    <cellStyle name="Обычный 6 2 2 3" xfId="128" xr:uid="{00000000-0005-0000-0000-0000AF000000}"/>
    <cellStyle name="Обычный 6 2 2 3 2" xfId="146" xr:uid="{00000000-0005-0000-0000-0000B0000000}"/>
    <cellStyle name="Обычный 6 2 2 3 2 2" xfId="147" xr:uid="{00000000-0005-0000-0000-0000B1000000}"/>
    <cellStyle name="Обычный 6 2 2 3 2 2 2" xfId="319" xr:uid="{00000000-0005-0000-0000-0000B2000000}"/>
    <cellStyle name="Обычный 6 2 2 3 2 2 2 2" xfId="840" xr:uid="{00000000-0005-0000-0000-0000B3000000}"/>
    <cellStyle name="Обычный 6 2 2 3 2 2 3" xfId="490" xr:uid="{00000000-0005-0000-0000-0000B4000000}"/>
    <cellStyle name="Обычный 6 2 2 3 2 2 3 2" xfId="1011" xr:uid="{00000000-0005-0000-0000-0000B5000000}"/>
    <cellStyle name="Обычный 6 2 2 3 2 2 4" xfId="669" xr:uid="{00000000-0005-0000-0000-0000B6000000}"/>
    <cellStyle name="Обычный 6 2 2 3 2 3" xfId="148" xr:uid="{00000000-0005-0000-0000-0000B7000000}"/>
    <cellStyle name="Обычный 6 2 2 3 2 3 2" xfId="320" xr:uid="{00000000-0005-0000-0000-0000B8000000}"/>
    <cellStyle name="Обычный 6 2 2 3 2 3 2 2" xfId="841" xr:uid="{00000000-0005-0000-0000-0000B9000000}"/>
    <cellStyle name="Обычный 6 2 2 3 2 3 3" xfId="491" xr:uid="{00000000-0005-0000-0000-0000BA000000}"/>
    <cellStyle name="Обычный 6 2 2 3 2 3 3 2" xfId="1012" xr:uid="{00000000-0005-0000-0000-0000BB000000}"/>
    <cellStyle name="Обычный 6 2 2 3 2 3 4" xfId="670" xr:uid="{00000000-0005-0000-0000-0000BC000000}"/>
    <cellStyle name="Обычный 6 2 2 3 2 4" xfId="318" xr:uid="{00000000-0005-0000-0000-0000BD000000}"/>
    <cellStyle name="Обычный 6 2 2 3 2 4 2" xfId="839" xr:uid="{00000000-0005-0000-0000-0000BE000000}"/>
    <cellStyle name="Обычный 6 2 2 3 2 5" xfId="489" xr:uid="{00000000-0005-0000-0000-0000BF000000}"/>
    <cellStyle name="Обычный 6 2 2 3 2 5 2" xfId="1010" xr:uid="{00000000-0005-0000-0000-0000C0000000}"/>
    <cellStyle name="Обычный 6 2 2 3 2 6" xfId="668" xr:uid="{00000000-0005-0000-0000-0000C1000000}"/>
    <cellStyle name="Обычный 6 2 2 3 3" xfId="149" xr:uid="{00000000-0005-0000-0000-0000C2000000}"/>
    <cellStyle name="Обычный 6 2 2 3 3 2" xfId="321" xr:uid="{00000000-0005-0000-0000-0000C3000000}"/>
    <cellStyle name="Обычный 6 2 2 3 3 2 2" xfId="842" xr:uid="{00000000-0005-0000-0000-0000C4000000}"/>
    <cellStyle name="Обычный 6 2 2 3 3 3" xfId="492" xr:uid="{00000000-0005-0000-0000-0000C5000000}"/>
    <cellStyle name="Обычный 6 2 2 3 3 3 2" xfId="1013" xr:uid="{00000000-0005-0000-0000-0000C6000000}"/>
    <cellStyle name="Обычный 6 2 2 3 3 4" xfId="671" xr:uid="{00000000-0005-0000-0000-0000C7000000}"/>
    <cellStyle name="Обычный 6 2 2 3 4" xfId="150" xr:uid="{00000000-0005-0000-0000-0000C8000000}"/>
    <cellStyle name="Обычный 6 2 2 3 4 2" xfId="322" xr:uid="{00000000-0005-0000-0000-0000C9000000}"/>
    <cellStyle name="Обычный 6 2 2 3 4 2 2" xfId="843" xr:uid="{00000000-0005-0000-0000-0000CA000000}"/>
    <cellStyle name="Обычный 6 2 2 3 4 3" xfId="493" xr:uid="{00000000-0005-0000-0000-0000CB000000}"/>
    <cellStyle name="Обычный 6 2 2 3 4 3 2" xfId="1014" xr:uid="{00000000-0005-0000-0000-0000CC000000}"/>
    <cellStyle name="Обычный 6 2 2 3 4 4" xfId="672" xr:uid="{00000000-0005-0000-0000-0000CD000000}"/>
    <cellStyle name="Обычный 6 2 2 3 5" xfId="300" xr:uid="{00000000-0005-0000-0000-0000CE000000}"/>
    <cellStyle name="Обычный 6 2 2 3 5 2" xfId="821" xr:uid="{00000000-0005-0000-0000-0000CF000000}"/>
    <cellStyle name="Обычный 6 2 2 3 6" xfId="471" xr:uid="{00000000-0005-0000-0000-0000D0000000}"/>
    <cellStyle name="Обычный 6 2 2 3 6 2" xfId="992" xr:uid="{00000000-0005-0000-0000-0000D1000000}"/>
    <cellStyle name="Обычный 6 2 2 3 7" xfId="650" xr:uid="{00000000-0005-0000-0000-0000D2000000}"/>
    <cellStyle name="Обычный 6 2 2 4" xfId="121" xr:uid="{00000000-0005-0000-0000-0000D3000000}"/>
    <cellStyle name="Обычный 6 2 2 4 2" xfId="151" xr:uid="{00000000-0005-0000-0000-0000D4000000}"/>
    <cellStyle name="Обычный 6 2 2 4 2 2" xfId="152" xr:uid="{00000000-0005-0000-0000-0000D5000000}"/>
    <cellStyle name="Обычный 6 2 2 4 2 2 2" xfId="324" xr:uid="{00000000-0005-0000-0000-0000D6000000}"/>
    <cellStyle name="Обычный 6 2 2 4 2 2 2 2" xfId="845" xr:uid="{00000000-0005-0000-0000-0000D7000000}"/>
    <cellStyle name="Обычный 6 2 2 4 2 2 3" xfId="495" xr:uid="{00000000-0005-0000-0000-0000D8000000}"/>
    <cellStyle name="Обычный 6 2 2 4 2 2 3 2" xfId="1016" xr:uid="{00000000-0005-0000-0000-0000D9000000}"/>
    <cellStyle name="Обычный 6 2 2 4 2 2 4" xfId="674" xr:uid="{00000000-0005-0000-0000-0000DA000000}"/>
    <cellStyle name="Обычный 6 2 2 4 2 3" xfId="153" xr:uid="{00000000-0005-0000-0000-0000DB000000}"/>
    <cellStyle name="Обычный 6 2 2 4 2 3 2" xfId="325" xr:uid="{00000000-0005-0000-0000-0000DC000000}"/>
    <cellStyle name="Обычный 6 2 2 4 2 3 2 2" xfId="846" xr:uid="{00000000-0005-0000-0000-0000DD000000}"/>
    <cellStyle name="Обычный 6 2 2 4 2 3 3" xfId="496" xr:uid="{00000000-0005-0000-0000-0000DE000000}"/>
    <cellStyle name="Обычный 6 2 2 4 2 3 3 2" xfId="1017" xr:uid="{00000000-0005-0000-0000-0000DF000000}"/>
    <cellStyle name="Обычный 6 2 2 4 2 3 4" xfId="675" xr:uid="{00000000-0005-0000-0000-0000E0000000}"/>
    <cellStyle name="Обычный 6 2 2 4 2 4" xfId="323" xr:uid="{00000000-0005-0000-0000-0000E1000000}"/>
    <cellStyle name="Обычный 6 2 2 4 2 4 2" xfId="844" xr:uid="{00000000-0005-0000-0000-0000E2000000}"/>
    <cellStyle name="Обычный 6 2 2 4 2 5" xfId="494" xr:uid="{00000000-0005-0000-0000-0000E3000000}"/>
    <cellStyle name="Обычный 6 2 2 4 2 5 2" xfId="1015" xr:uid="{00000000-0005-0000-0000-0000E4000000}"/>
    <cellStyle name="Обычный 6 2 2 4 2 6" xfId="673" xr:uid="{00000000-0005-0000-0000-0000E5000000}"/>
    <cellStyle name="Обычный 6 2 2 4 3" xfId="154" xr:uid="{00000000-0005-0000-0000-0000E6000000}"/>
    <cellStyle name="Обычный 6 2 2 4 3 2" xfId="326" xr:uid="{00000000-0005-0000-0000-0000E7000000}"/>
    <cellStyle name="Обычный 6 2 2 4 3 2 2" xfId="847" xr:uid="{00000000-0005-0000-0000-0000E8000000}"/>
    <cellStyle name="Обычный 6 2 2 4 3 3" xfId="497" xr:uid="{00000000-0005-0000-0000-0000E9000000}"/>
    <cellStyle name="Обычный 6 2 2 4 3 3 2" xfId="1018" xr:uid="{00000000-0005-0000-0000-0000EA000000}"/>
    <cellStyle name="Обычный 6 2 2 4 3 4" xfId="676" xr:uid="{00000000-0005-0000-0000-0000EB000000}"/>
    <cellStyle name="Обычный 6 2 2 4 4" xfId="155" xr:uid="{00000000-0005-0000-0000-0000EC000000}"/>
    <cellStyle name="Обычный 6 2 2 4 4 2" xfId="327" xr:uid="{00000000-0005-0000-0000-0000ED000000}"/>
    <cellStyle name="Обычный 6 2 2 4 4 2 2" xfId="848" xr:uid="{00000000-0005-0000-0000-0000EE000000}"/>
    <cellStyle name="Обычный 6 2 2 4 4 3" xfId="498" xr:uid="{00000000-0005-0000-0000-0000EF000000}"/>
    <cellStyle name="Обычный 6 2 2 4 4 3 2" xfId="1019" xr:uid="{00000000-0005-0000-0000-0000F0000000}"/>
    <cellStyle name="Обычный 6 2 2 4 4 4" xfId="677" xr:uid="{00000000-0005-0000-0000-0000F1000000}"/>
    <cellStyle name="Обычный 6 2 2 4 5" xfId="293" xr:uid="{00000000-0005-0000-0000-0000F2000000}"/>
    <cellStyle name="Обычный 6 2 2 4 5 2" xfId="814" xr:uid="{00000000-0005-0000-0000-0000F3000000}"/>
    <cellStyle name="Обычный 6 2 2 4 6" xfId="464" xr:uid="{00000000-0005-0000-0000-0000F4000000}"/>
    <cellStyle name="Обычный 6 2 2 4 6 2" xfId="985" xr:uid="{00000000-0005-0000-0000-0000F5000000}"/>
    <cellStyle name="Обычный 6 2 2 4 7" xfId="643" xr:uid="{00000000-0005-0000-0000-0000F6000000}"/>
    <cellStyle name="Обычный 6 2 2 5" xfId="156" xr:uid="{00000000-0005-0000-0000-0000F7000000}"/>
    <cellStyle name="Обычный 6 2 2 5 2" xfId="157" xr:uid="{00000000-0005-0000-0000-0000F8000000}"/>
    <cellStyle name="Обычный 6 2 2 5 2 2" xfId="329" xr:uid="{00000000-0005-0000-0000-0000F9000000}"/>
    <cellStyle name="Обычный 6 2 2 5 2 2 2" xfId="850" xr:uid="{00000000-0005-0000-0000-0000FA000000}"/>
    <cellStyle name="Обычный 6 2 2 5 2 3" xfId="500" xr:uid="{00000000-0005-0000-0000-0000FB000000}"/>
    <cellStyle name="Обычный 6 2 2 5 2 3 2" xfId="1021" xr:uid="{00000000-0005-0000-0000-0000FC000000}"/>
    <cellStyle name="Обычный 6 2 2 5 2 4" xfId="679" xr:uid="{00000000-0005-0000-0000-0000FD000000}"/>
    <cellStyle name="Обычный 6 2 2 5 3" xfId="158" xr:uid="{00000000-0005-0000-0000-0000FE000000}"/>
    <cellStyle name="Обычный 6 2 2 5 3 2" xfId="330" xr:uid="{00000000-0005-0000-0000-0000FF000000}"/>
    <cellStyle name="Обычный 6 2 2 5 3 2 2" xfId="851" xr:uid="{00000000-0005-0000-0000-000000010000}"/>
    <cellStyle name="Обычный 6 2 2 5 3 3" xfId="501" xr:uid="{00000000-0005-0000-0000-000001010000}"/>
    <cellStyle name="Обычный 6 2 2 5 3 3 2" xfId="1022" xr:uid="{00000000-0005-0000-0000-000002010000}"/>
    <cellStyle name="Обычный 6 2 2 5 3 4" xfId="680" xr:uid="{00000000-0005-0000-0000-000003010000}"/>
    <cellStyle name="Обычный 6 2 2 5 4" xfId="328" xr:uid="{00000000-0005-0000-0000-000004010000}"/>
    <cellStyle name="Обычный 6 2 2 5 4 2" xfId="849" xr:uid="{00000000-0005-0000-0000-000005010000}"/>
    <cellStyle name="Обычный 6 2 2 5 5" xfId="499" xr:uid="{00000000-0005-0000-0000-000006010000}"/>
    <cellStyle name="Обычный 6 2 2 5 5 2" xfId="1020" xr:uid="{00000000-0005-0000-0000-000007010000}"/>
    <cellStyle name="Обычный 6 2 2 5 6" xfId="678" xr:uid="{00000000-0005-0000-0000-000008010000}"/>
    <cellStyle name="Обычный 6 2 2 6" xfId="159" xr:uid="{00000000-0005-0000-0000-000009010000}"/>
    <cellStyle name="Обычный 6 2 2 6 2" xfId="331" xr:uid="{00000000-0005-0000-0000-00000A010000}"/>
    <cellStyle name="Обычный 6 2 2 6 2 2" xfId="852" xr:uid="{00000000-0005-0000-0000-00000B010000}"/>
    <cellStyle name="Обычный 6 2 2 6 3" xfId="502" xr:uid="{00000000-0005-0000-0000-00000C010000}"/>
    <cellStyle name="Обычный 6 2 2 6 3 2" xfId="1023" xr:uid="{00000000-0005-0000-0000-00000D010000}"/>
    <cellStyle name="Обычный 6 2 2 6 4" xfId="681" xr:uid="{00000000-0005-0000-0000-00000E010000}"/>
    <cellStyle name="Обычный 6 2 2 7" xfId="160" xr:uid="{00000000-0005-0000-0000-00000F010000}"/>
    <cellStyle name="Обычный 6 2 2 7 2" xfId="332" xr:uid="{00000000-0005-0000-0000-000010010000}"/>
    <cellStyle name="Обычный 6 2 2 7 2 2" xfId="853" xr:uid="{00000000-0005-0000-0000-000011010000}"/>
    <cellStyle name="Обычный 6 2 2 7 3" xfId="503" xr:uid="{00000000-0005-0000-0000-000012010000}"/>
    <cellStyle name="Обычный 6 2 2 7 3 2" xfId="1024" xr:uid="{00000000-0005-0000-0000-000013010000}"/>
    <cellStyle name="Обычный 6 2 2 7 4" xfId="682" xr:uid="{00000000-0005-0000-0000-000014010000}"/>
    <cellStyle name="Обычный 6 2 2 8" xfId="161" xr:uid="{00000000-0005-0000-0000-000015010000}"/>
    <cellStyle name="Обычный 6 2 2 8 2" xfId="333" xr:uid="{00000000-0005-0000-0000-000016010000}"/>
    <cellStyle name="Обычный 6 2 2 8 2 2" xfId="854" xr:uid="{00000000-0005-0000-0000-000017010000}"/>
    <cellStyle name="Обычный 6 2 2 8 3" xfId="504" xr:uid="{00000000-0005-0000-0000-000018010000}"/>
    <cellStyle name="Обычный 6 2 2 8 3 2" xfId="1025" xr:uid="{00000000-0005-0000-0000-000019010000}"/>
    <cellStyle name="Обычный 6 2 2 8 4" xfId="683" xr:uid="{00000000-0005-0000-0000-00001A010000}"/>
    <cellStyle name="Обычный 6 2 2 9" xfId="110" xr:uid="{00000000-0005-0000-0000-00001B010000}"/>
    <cellStyle name="Обычный 6 2 2 9 2" xfId="633" xr:uid="{00000000-0005-0000-0000-00001C010000}"/>
    <cellStyle name="Обычный 6 2 3" xfId="101" xr:uid="{00000000-0005-0000-0000-00001D010000}"/>
    <cellStyle name="Обычный 6 2 3 10" xfId="285" xr:uid="{00000000-0005-0000-0000-00001E010000}"/>
    <cellStyle name="Обычный 6 2 3 10 2" xfId="806" xr:uid="{00000000-0005-0000-0000-00001F010000}"/>
    <cellStyle name="Обычный 6 2 3 11" xfId="456" xr:uid="{00000000-0005-0000-0000-000020010000}"/>
    <cellStyle name="Обычный 6 2 3 11 2" xfId="977" xr:uid="{00000000-0005-0000-0000-000021010000}"/>
    <cellStyle name="Обычный 6 2 3 12" xfId="628" xr:uid="{00000000-0005-0000-0000-000022010000}"/>
    <cellStyle name="Обычный 6 2 3 2" xfId="115" xr:uid="{00000000-0005-0000-0000-000023010000}"/>
    <cellStyle name="Обычный 6 2 3 2 2" xfId="132" xr:uid="{00000000-0005-0000-0000-000024010000}"/>
    <cellStyle name="Обычный 6 2 3 2 2 2" xfId="162" xr:uid="{00000000-0005-0000-0000-000025010000}"/>
    <cellStyle name="Обычный 6 2 3 2 2 2 2" xfId="163" xr:uid="{00000000-0005-0000-0000-000026010000}"/>
    <cellStyle name="Обычный 6 2 3 2 2 2 2 2" xfId="335" xr:uid="{00000000-0005-0000-0000-000027010000}"/>
    <cellStyle name="Обычный 6 2 3 2 2 2 2 2 2" xfId="856" xr:uid="{00000000-0005-0000-0000-000028010000}"/>
    <cellStyle name="Обычный 6 2 3 2 2 2 2 3" xfId="506" xr:uid="{00000000-0005-0000-0000-000029010000}"/>
    <cellStyle name="Обычный 6 2 3 2 2 2 2 3 2" xfId="1027" xr:uid="{00000000-0005-0000-0000-00002A010000}"/>
    <cellStyle name="Обычный 6 2 3 2 2 2 2 4" xfId="685" xr:uid="{00000000-0005-0000-0000-00002B010000}"/>
    <cellStyle name="Обычный 6 2 3 2 2 2 3" xfId="164" xr:uid="{00000000-0005-0000-0000-00002C010000}"/>
    <cellStyle name="Обычный 6 2 3 2 2 2 3 2" xfId="336" xr:uid="{00000000-0005-0000-0000-00002D010000}"/>
    <cellStyle name="Обычный 6 2 3 2 2 2 3 2 2" xfId="857" xr:uid="{00000000-0005-0000-0000-00002E010000}"/>
    <cellStyle name="Обычный 6 2 3 2 2 2 3 3" xfId="507" xr:uid="{00000000-0005-0000-0000-00002F010000}"/>
    <cellStyle name="Обычный 6 2 3 2 2 2 3 3 2" xfId="1028" xr:uid="{00000000-0005-0000-0000-000030010000}"/>
    <cellStyle name="Обычный 6 2 3 2 2 2 3 4" xfId="686" xr:uid="{00000000-0005-0000-0000-000031010000}"/>
    <cellStyle name="Обычный 6 2 3 2 2 2 4" xfId="334" xr:uid="{00000000-0005-0000-0000-000032010000}"/>
    <cellStyle name="Обычный 6 2 3 2 2 2 4 2" xfId="855" xr:uid="{00000000-0005-0000-0000-000033010000}"/>
    <cellStyle name="Обычный 6 2 3 2 2 2 5" xfId="505" xr:uid="{00000000-0005-0000-0000-000034010000}"/>
    <cellStyle name="Обычный 6 2 3 2 2 2 5 2" xfId="1026" xr:uid="{00000000-0005-0000-0000-000035010000}"/>
    <cellStyle name="Обычный 6 2 3 2 2 2 6" xfId="684" xr:uid="{00000000-0005-0000-0000-000036010000}"/>
    <cellStyle name="Обычный 6 2 3 2 2 3" xfId="165" xr:uid="{00000000-0005-0000-0000-000037010000}"/>
    <cellStyle name="Обычный 6 2 3 2 2 3 2" xfId="337" xr:uid="{00000000-0005-0000-0000-000038010000}"/>
    <cellStyle name="Обычный 6 2 3 2 2 3 2 2" xfId="858" xr:uid="{00000000-0005-0000-0000-000039010000}"/>
    <cellStyle name="Обычный 6 2 3 2 2 3 3" xfId="508" xr:uid="{00000000-0005-0000-0000-00003A010000}"/>
    <cellStyle name="Обычный 6 2 3 2 2 3 3 2" xfId="1029" xr:uid="{00000000-0005-0000-0000-00003B010000}"/>
    <cellStyle name="Обычный 6 2 3 2 2 3 4" xfId="687" xr:uid="{00000000-0005-0000-0000-00003C010000}"/>
    <cellStyle name="Обычный 6 2 3 2 2 4" xfId="166" xr:uid="{00000000-0005-0000-0000-00003D010000}"/>
    <cellStyle name="Обычный 6 2 3 2 2 4 2" xfId="338" xr:uid="{00000000-0005-0000-0000-00003E010000}"/>
    <cellStyle name="Обычный 6 2 3 2 2 4 2 2" xfId="859" xr:uid="{00000000-0005-0000-0000-00003F010000}"/>
    <cellStyle name="Обычный 6 2 3 2 2 4 3" xfId="509" xr:uid="{00000000-0005-0000-0000-000040010000}"/>
    <cellStyle name="Обычный 6 2 3 2 2 4 3 2" xfId="1030" xr:uid="{00000000-0005-0000-0000-000041010000}"/>
    <cellStyle name="Обычный 6 2 3 2 2 4 4" xfId="688" xr:uid="{00000000-0005-0000-0000-000042010000}"/>
    <cellStyle name="Обычный 6 2 3 2 2 5" xfId="304" xr:uid="{00000000-0005-0000-0000-000043010000}"/>
    <cellStyle name="Обычный 6 2 3 2 2 5 2" xfId="825" xr:uid="{00000000-0005-0000-0000-000044010000}"/>
    <cellStyle name="Обычный 6 2 3 2 2 6" xfId="475" xr:uid="{00000000-0005-0000-0000-000045010000}"/>
    <cellStyle name="Обычный 6 2 3 2 2 6 2" xfId="996" xr:uid="{00000000-0005-0000-0000-000046010000}"/>
    <cellStyle name="Обычный 6 2 3 2 2 7" xfId="654" xr:uid="{00000000-0005-0000-0000-000047010000}"/>
    <cellStyle name="Обычный 6 2 3 2 3" xfId="134" xr:uid="{00000000-0005-0000-0000-000048010000}"/>
    <cellStyle name="Обычный 6 2 3 2 3 2" xfId="167" xr:uid="{00000000-0005-0000-0000-000049010000}"/>
    <cellStyle name="Обычный 6 2 3 2 3 2 2" xfId="339" xr:uid="{00000000-0005-0000-0000-00004A010000}"/>
    <cellStyle name="Обычный 6 2 3 2 3 2 2 2" xfId="860" xr:uid="{00000000-0005-0000-0000-00004B010000}"/>
    <cellStyle name="Обычный 6 2 3 2 3 2 3" xfId="510" xr:uid="{00000000-0005-0000-0000-00004C010000}"/>
    <cellStyle name="Обычный 6 2 3 2 3 2 3 2" xfId="1031" xr:uid="{00000000-0005-0000-0000-00004D010000}"/>
    <cellStyle name="Обычный 6 2 3 2 3 2 4" xfId="689" xr:uid="{00000000-0005-0000-0000-00004E010000}"/>
    <cellStyle name="Обычный 6 2 3 2 3 3" xfId="168" xr:uid="{00000000-0005-0000-0000-00004F010000}"/>
    <cellStyle name="Обычный 6 2 3 2 3 3 2" xfId="340" xr:uid="{00000000-0005-0000-0000-000050010000}"/>
    <cellStyle name="Обычный 6 2 3 2 3 3 2 2" xfId="861" xr:uid="{00000000-0005-0000-0000-000051010000}"/>
    <cellStyle name="Обычный 6 2 3 2 3 3 3" xfId="511" xr:uid="{00000000-0005-0000-0000-000052010000}"/>
    <cellStyle name="Обычный 6 2 3 2 3 3 3 2" xfId="1032" xr:uid="{00000000-0005-0000-0000-000053010000}"/>
    <cellStyle name="Обычный 6 2 3 2 3 3 4" xfId="690" xr:uid="{00000000-0005-0000-0000-000054010000}"/>
    <cellStyle name="Обычный 6 2 3 2 3 4" xfId="306" xr:uid="{00000000-0005-0000-0000-000055010000}"/>
    <cellStyle name="Обычный 6 2 3 2 3 4 2" xfId="827" xr:uid="{00000000-0005-0000-0000-000056010000}"/>
    <cellStyle name="Обычный 6 2 3 2 3 5" xfId="477" xr:uid="{00000000-0005-0000-0000-000057010000}"/>
    <cellStyle name="Обычный 6 2 3 2 3 5 2" xfId="998" xr:uid="{00000000-0005-0000-0000-000058010000}"/>
    <cellStyle name="Обычный 6 2 3 2 3 6" xfId="656" xr:uid="{00000000-0005-0000-0000-000059010000}"/>
    <cellStyle name="Обычный 6 2 3 2 4" xfId="169" xr:uid="{00000000-0005-0000-0000-00005A010000}"/>
    <cellStyle name="Обычный 6 2 3 2 4 2" xfId="341" xr:uid="{00000000-0005-0000-0000-00005B010000}"/>
    <cellStyle name="Обычный 6 2 3 2 4 2 2" xfId="862" xr:uid="{00000000-0005-0000-0000-00005C010000}"/>
    <cellStyle name="Обычный 6 2 3 2 4 3" xfId="512" xr:uid="{00000000-0005-0000-0000-00005D010000}"/>
    <cellStyle name="Обычный 6 2 3 2 4 3 2" xfId="1033" xr:uid="{00000000-0005-0000-0000-00005E010000}"/>
    <cellStyle name="Обычный 6 2 3 2 4 4" xfId="691" xr:uid="{00000000-0005-0000-0000-00005F010000}"/>
    <cellStyle name="Обычный 6 2 3 2 5" xfId="170" xr:uid="{00000000-0005-0000-0000-000060010000}"/>
    <cellStyle name="Обычный 6 2 3 2 5 2" xfId="342" xr:uid="{00000000-0005-0000-0000-000061010000}"/>
    <cellStyle name="Обычный 6 2 3 2 5 2 2" xfId="863" xr:uid="{00000000-0005-0000-0000-000062010000}"/>
    <cellStyle name="Обычный 6 2 3 2 5 3" xfId="513" xr:uid="{00000000-0005-0000-0000-000063010000}"/>
    <cellStyle name="Обычный 6 2 3 2 5 3 2" xfId="1034" xr:uid="{00000000-0005-0000-0000-000064010000}"/>
    <cellStyle name="Обычный 6 2 3 2 5 4" xfId="692" xr:uid="{00000000-0005-0000-0000-000065010000}"/>
    <cellStyle name="Обычный 6 2 3 2 6" xfId="287" xr:uid="{00000000-0005-0000-0000-000066010000}"/>
    <cellStyle name="Обычный 6 2 3 2 6 2" xfId="808" xr:uid="{00000000-0005-0000-0000-000067010000}"/>
    <cellStyle name="Обычный 6 2 3 2 7" xfId="458" xr:uid="{00000000-0005-0000-0000-000068010000}"/>
    <cellStyle name="Обычный 6 2 3 2 7 2" xfId="979" xr:uid="{00000000-0005-0000-0000-000069010000}"/>
    <cellStyle name="Обычный 6 2 3 2 8" xfId="637" xr:uid="{00000000-0005-0000-0000-00006A010000}"/>
    <cellStyle name="Обычный 6 2 3 3" xfId="130" xr:uid="{00000000-0005-0000-0000-00006B010000}"/>
    <cellStyle name="Обычный 6 2 3 3 2" xfId="171" xr:uid="{00000000-0005-0000-0000-00006C010000}"/>
    <cellStyle name="Обычный 6 2 3 3 2 2" xfId="172" xr:uid="{00000000-0005-0000-0000-00006D010000}"/>
    <cellStyle name="Обычный 6 2 3 3 2 2 2" xfId="344" xr:uid="{00000000-0005-0000-0000-00006E010000}"/>
    <cellStyle name="Обычный 6 2 3 3 2 2 2 2" xfId="865" xr:uid="{00000000-0005-0000-0000-00006F010000}"/>
    <cellStyle name="Обычный 6 2 3 3 2 2 3" xfId="515" xr:uid="{00000000-0005-0000-0000-000070010000}"/>
    <cellStyle name="Обычный 6 2 3 3 2 2 3 2" xfId="1036" xr:uid="{00000000-0005-0000-0000-000071010000}"/>
    <cellStyle name="Обычный 6 2 3 3 2 2 4" xfId="694" xr:uid="{00000000-0005-0000-0000-000072010000}"/>
    <cellStyle name="Обычный 6 2 3 3 2 3" xfId="173" xr:uid="{00000000-0005-0000-0000-000073010000}"/>
    <cellStyle name="Обычный 6 2 3 3 2 3 2" xfId="345" xr:uid="{00000000-0005-0000-0000-000074010000}"/>
    <cellStyle name="Обычный 6 2 3 3 2 3 2 2" xfId="866" xr:uid="{00000000-0005-0000-0000-000075010000}"/>
    <cellStyle name="Обычный 6 2 3 3 2 3 3" xfId="516" xr:uid="{00000000-0005-0000-0000-000076010000}"/>
    <cellStyle name="Обычный 6 2 3 3 2 3 3 2" xfId="1037" xr:uid="{00000000-0005-0000-0000-000077010000}"/>
    <cellStyle name="Обычный 6 2 3 3 2 3 4" xfId="695" xr:uid="{00000000-0005-0000-0000-000078010000}"/>
    <cellStyle name="Обычный 6 2 3 3 2 4" xfId="343" xr:uid="{00000000-0005-0000-0000-000079010000}"/>
    <cellStyle name="Обычный 6 2 3 3 2 4 2" xfId="864" xr:uid="{00000000-0005-0000-0000-00007A010000}"/>
    <cellStyle name="Обычный 6 2 3 3 2 5" xfId="514" xr:uid="{00000000-0005-0000-0000-00007B010000}"/>
    <cellStyle name="Обычный 6 2 3 3 2 5 2" xfId="1035" xr:uid="{00000000-0005-0000-0000-00007C010000}"/>
    <cellStyle name="Обычный 6 2 3 3 2 6" xfId="693" xr:uid="{00000000-0005-0000-0000-00007D010000}"/>
    <cellStyle name="Обычный 6 2 3 3 3" xfId="174" xr:uid="{00000000-0005-0000-0000-00007E010000}"/>
    <cellStyle name="Обычный 6 2 3 3 3 2" xfId="346" xr:uid="{00000000-0005-0000-0000-00007F010000}"/>
    <cellStyle name="Обычный 6 2 3 3 3 2 2" xfId="867" xr:uid="{00000000-0005-0000-0000-000080010000}"/>
    <cellStyle name="Обычный 6 2 3 3 3 3" xfId="517" xr:uid="{00000000-0005-0000-0000-000081010000}"/>
    <cellStyle name="Обычный 6 2 3 3 3 3 2" xfId="1038" xr:uid="{00000000-0005-0000-0000-000082010000}"/>
    <cellStyle name="Обычный 6 2 3 3 3 4" xfId="696" xr:uid="{00000000-0005-0000-0000-000083010000}"/>
    <cellStyle name="Обычный 6 2 3 3 4" xfId="175" xr:uid="{00000000-0005-0000-0000-000084010000}"/>
    <cellStyle name="Обычный 6 2 3 3 4 2" xfId="347" xr:uid="{00000000-0005-0000-0000-000085010000}"/>
    <cellStyle name="Обычный 6 2 3 3 4 2 2" xfId="868" xr:uid="{00000000-0005-0000-0000-000086010000}"/>
    <cellStyle name="Обычный 6 2 3 3 4 3" xfId="518" xr:uid="{00000000-0005-0000-0000-000087010000}"/>
    <cellStyle name="Обычный 6 2 3 3 4 3 2" xfId="1039" xr:uid="{00000000-0005-0000-0000-000088010000}"/>
    <cellStyle name="Обычный 6 2 3 3 4 4" xfId="697" xr:uid="{00000000-0005-0000-0000-000089010000}"/>
    <cellStyle name="Обычный 6 2 3 3 5" xfId="302" xr:uid="{00000000-0005-0000-0000-00008A010000}"/>
    <cellStyle name="Обычный 6 2 3 3 5 2" xfId="823" xr:uid="{00000000-0005-0000-0000-00008B010000}"/>
    <cellStyle name="Обычный 6 2 3 3 6" xfId="473" xr:uid="{00000000-0005-0000-0000-00008C010000}"/>
    <cellStyle name="Обычный 6 2 3 3 6 2" xfId="994" xr:uid="{00000000-0005-0000-0000-00008D010000}"/>
    <cellStyle name="Обычный 6 2 3 3 7" xfId="652" xr:uid="{00000000-0005-0000-0000-00008E010000}"/>
    <cellStyle name="Обычный 6 2 3 4" xfId="123" xr:uid="{00000000-0005-0000-0000-00008F010000}"/>
    <cellStyle name="Обычный 6 2 3 4 2" xfId="176" xr:uid="{00000000-0005-0000-0000-000090010000}"/>
    <cellStyle name="Обычный 6 2 3 4 2 2" xfId="177" xr:uid="{00000000-0005-0000-0000-000091010000}"/>
    <cellStyle name="Обычный 6 2 3 4 2 2 2" xfId="349" xr:uid="{00000000-0005-0000-0000-000092010000}"/>
    <cellStyle name="Обычный 6 2 3 4 2 2 2 2" xfId="870" xr:uid="{00000000-0005-0000-0000-000093010000}"/>
    <cellStyle name="Обычный 6 2 3 4 2 2 3" xfId="520" xr:uid="{00000000-0005-0000-0000-000094010000}"/>
    <cellStyle name="Обычный 6 2 3 4 2 2 3 2" xfId="1041" xr:uid="{00000000-0005-0000-0000-000095010000}"/>
    <cellStyle name="Обычный 6 2 3 4 2 2 4" xfId="699" xr:uid="{00000000-0005-0000-0000-000096010000}"/>
    <cellStyle name="Обычный 6 2 3 4 2 3" xfId="178" xr:uid="{00000000-0005-0000-0000-000097010000}"/>
    <cellStyle name="Обычный 6 2 3 4 2 3 2" xfId="350" xr:uid="{00000000-0005-0000-0000-000098010000}"/>
    <cellStyle name="Обычный 6 2 3 4 2 3 2 2" xfId="871" xr:uid="{00000000-0005-0000-0000-000099010000}"/>
    <cellStyle name="Обычный 6 2 3 4 2 3 3" xfId="521" xr:uid="{00000000-0005-0000-0000-00009A010000}"/>
    <cellStyle name="Обычный 6 2 3 4 2 3 3 2" xfId="1042" xr:uid="{00000000-0005-0000-0000-00009B010000}"/>
    <cellStyle name="Обычный 6 2 3 4 2 3 4" xfId="700" xr:uid="{00000000-0005-0000-0000-00009C010000}"/>
    <cellStyle name="Обычный 6 2 3 4 2 4" xfId="348" xr:uid="{00000000-0005-0000-0000-00009D010000}"/>
    <cellStyle name="Обычный 6 2 3 4 2 4 2" xfId="869" xr:uid="{00000000-0005-0000-0000-00009E010000}"/>
    <cellStyle name="Обычный 6 2 3 4 2 5" xfId="519" xr:uid="{00000000-0005-0000-0000-00009F010000}"/>
    <cellStyle name="Обычный 6 2 3 4 2 5 2" xfId="1040" xr:uid="{00000000-0005-0000-0000-0000A0010000}"/>
    <cellStyle name="Обычный 6 2 3 4 2 6" xfId="698" xr:uid="{00000000-0005-0000-0000-0000A1010000}"/>
    <cellStyle name="Обычный 6 2 3 4 3" xfId="179" xr:uid="{00000000-0005-0000-0000-0000A2010000}"/>
    <cellStyle name="Обычный 6 2 3 4 3 2" xfId="351" xr:uid="{00000000-0005-0000-0000-0000A3010000}"/>
    <cellStyle name="Обычный 6 2 3 4 3 2 2" xfId="872" xr:uid="{00000000-0005-0000-0000-0000A4010000}"/>
    <cellStyle name="Обычный 6 2 3 4 3 3" xfId="522" xr:uid="{00000000-0005-0000-0000-0000A5010000}"/>
    <cellStyle name="Обычный 6 2 3 4 3 3 2" xfId="1043" xr:uid="{00000000-0005-0000-0000-0000A6010000}"/>
    <cellStyle name="Обычный 6 2 3 4 3 4" xfId="701" xr:uid="{00000000-0005-0000-0000-0000A7010000}"/>
    <cellStyle name="Обычный 6 2 3 4 4" xfId="180" xr:uid="{00000000-0005-0000-0000-0000A8010000}"/>
    <cellStyle name="Обычный 6 2 3 4 4 2" xfId="352" xr:uid="{00000000-0005-0000-0000-0000A9010000}"/>
    <cellStyle name="Обычный 6 2 3 4 4 2 2" xfId="873" xr:uid="{00000000-0005-0000-0000-0000AA010000}"/>
    <cellStyle name="Обычный 6 2 3 4 4 3" xfId="523" xr:uid="{00000000-0005-0000-0000-0000AB010000}"/>
    <cellStyle name="Обычный 6 2 3 4 4 3 2" xfId="1044" xr:uid="{00000000-0005-0000-0000-0000AC010000}"/>
    <cellStyle name="Обычный 6 2 3 4 4 4" xfId="702" xr:uid="{00000000-0005-0000-0000-0000AD010000}"/>
    <cellStyle name="Обычный 6 2 3 4 5" xfId="295" xr:uid="{00000000-0005-0000-0000-0000AE010000}"/>
    <cellStyle name="Обычный 6 2 3 4 5 2" xfId="816" xr:uid="{00000000-0005-0000-0000-0000AF010000}"/>
    <cellStyle name="Обычный 6 2 3 4 6" xfId="466" xr:uid="{00000000-0005-0000-0000-0000B0010000}"/>
    <cellStyle name="Обычный 6 2 3 4 6 2" xfId="987" xr:uid="{00000000-0005-0000-0000-0000B1010000}"/>
    <cellStyle name="Обычный 6 2 3 4 7" xfId="645" xr:uid="{00000000-0005-0000-0000-0000B2010000}"/>
    <cellStyle name="Обычный 6 2 3 5" xfId="181" xr:uid="{00000000-0005-0000-0000-0000B3010000}"/>
    <cellStyle name="Обычный 6 2 3 5 2" xfId="182" xr:uid="{00000000-0005-0000-0000-0000B4010000}"/>
    <cellStyle name="Обычный 6 2 3 5 2 2" xfId="354" xr:uid="{00000000-0005-0000-0000-0000B5010000}"/>
    <cellStyle name="Обычный 6 2 3 5 2 2 2" xfId="875" xr:uid="{00000000-0005-0000-0000-0000B6010000}"/>
    <cellStyle name="Обычный 6 2 3 5 2 3" xfId="525" xr:uid="{00000000-0005-0000-0000-0000B7010000}"/>
    <cellStyle name="Обычный 6 2 3 5 2 3 2" xfId="1046" xr:uid="{00000000-0005-0000-0000-0000B8010000}"/>
    <cellStyle name="Обычный 6 2 3 5 2 4" xfId="704" xr:uid="{00000000-0005-0000-0000-0000B9010000}"/>
    <cellStyle name="Обычный 6 2 3 5 3" xfId="183" xr:uid="{00000000-0005-0000-0000-0000BA010000}"/>
    <cellStyle name="Обычный 6 2 3 5 3 2" xfId="355" xr:uid="{00000000-0005-0000-0000-0000BB010000}"/>
    <cellStyle name="Обычный 6 2 3 5 3 2 2" xfId="876" xr:uid="{00000000-0005-0000-0000-0000BC010000}"/>
    <cellStyle name="Обычный 6 2 3 5 3 3" xfId="526" xr:uid="{00000000-0005-0000-0000-0000BD010000}"/>
    <cellStyle name="Обычный 6 2 3 5 3 3 2" xfId="1047" xr:uid="{00000000-0005-0000-0000-0000BE010000}"/>
    <cellStyle name="Обычный 6 2 3 5 3 4" xfId="705" xr:uid="{00000000-0005-0000-0000-0000BF010000}"/>
    <cellStyle name="Обычный 6 2 3 5 4" xfId="353" xr:uid="{00000000-0005-0000-0000-0000C0010000}"/>
    <cellStyle name="Обычный 6 2 3 5 4 2" xfId="874" xr:uid="{00000000-0005-0000-0000-0000C1010000}"/>
    <cellStyle name="Обычный 6 2 3 5 5" xfId="524" xr:uid="{00000000-0005-0000-0000-0000C2010000}"/>
    <cellStyle name="Обычный 6 2 3 5 5 2" xfId="1045" xr:uid="{00000000-0005-0000-0000-0000C3010000}"/>
    <cellStyle name="Обычный 6 2 3 5 6" xfId="703" xr:uid="{00000000-0005-0000-0000-0000C4010000}"/>
    <cellStyle name="Обычный 6 2 3 6" xfId="184" xr:uid="{00000000-0005-0000-0000-0000C5010000}"/>
    <cellStyle name="Обычный 6 2 3 6 2" xfId="356" xr:uid="{00000000-0005-0000-0000-0000C6010000}"/>
    <cellStyle name="Обычный 6 2 3 6 2 2" xfId="877" xr:uid="{00000000-0005-0000-0000-0000C7010000}"/>
    <cellStyle name="Обычный 6 2 3 6 3" xfId="527" xr:uid="{00000000-0005-0000-0000-0000C8010000}"/>
    <cellStyle name="Обычный 6 2 3 6 3 2" xfId="1048" xr:uid="{00000000-0005-0000-0000-0000C9010000}"/>
    <cellStyle name="Обычный 6 2 3 6 4" xfId="706" xr:uid="{00000000-0005-0000-0000-0000CA010000}"/>
    <cellStyle name="Обычный 6 2 3 7" xfId="185" xr:uid="{00000000-0005-0000-0000-0000CB010000}"/>
    <cellStyle name="Обычный 6 2 3 7 2" xfId="357" xr:uid="{00000000-0005-0000-0000-0000CC010000}"/>
    <cellStyle name="Обычный 6 2 3 7 2 2" xfId="878" xr:uid="{00000000-0005-0000-0000-0000CD010000}"/>
    <cellStyle name="Обычный 6 2 3 7 3" xfId="528" xr:uid="{00000000-0005-0000-0000-0000CE010000}"/>
    <cellStyle name="Обычный 6 2 3 7 3 2" xfId="1049" xr:uid="{00000000-0005-0000-0000-0000CF010000}"/>
    <cellStyle name="Обычный 6 2 3 7 4" xfId="707" xr:uid="{00000000-0005-0000-0000-0000D0010000}"/>
    <cellStyle name="Обычный 6 2 3 8" xfId="186" xr:uid="{00000000-0005-0000-0000-0000D1010000}"/>
    <cellStyle name="Обычный 6 2 3 8 2" xfId="358" xr:uid="{00000000-0005-0000-0000-0000D2010000}"/>
    <cellStyle name="Обычный 6 2 3 8 2 2" xfId="879" xr:uid="{00000000-0005-0000-0000-0000D3010000}"/>
    <cellStyle name="Обычный 6 2 3 8 3" xfId="529" xr:uid="{00000000-0005-0000-0000-0000D4010000}"/>
    <cellStyle name="Обычный 6 2 3 8 3 2" xfId="1050" xr:uid="{00000000-0005-0000-0000-0000D5010000}"/>
    <cellStyle name="Обычный 6 2 3 8 4" xfId="708" xr:uid="{00000000-0005-0000-0000-0000D6010000}"/>
    <cellStyle name="Обычный 6 2 3 9" xfId="112" xr:uid="{00000000-0005-0000-0000-0000D7010000}"/>
    <cellStyle name="Обычный 6 2 3 9 2" xfId="635" xr:uid="{00000000-0005-0000-0000-0000D8010000}"/>
    <cellStyle name="Обычный 6 2 4" xfId="127" xr:uid="{00000000-0005-0000-0000-0000D9010000}"/>
    <cellStyle name="Обычный 6 2 4 2" xfId="187" xr:uid="{00000000-0005-0000-0000-0000DA010000}"/>
    <cellStyle name="Обычный 6 2 4 2 2" xfId="188" xr:uid="{00000000-0005-0000-0000-0000DB010000}"/>
    <cellStyle name="Обычный 6 2 4 2 2 2" xfId="360" xr:uid="{00000000-0005-0000-0000-0000DC010000}"/>
    <cellStyle name="Обычный 6 2 4 2 2 2 2" xfId="881" xr:uid="{00000000-0005-0000-0000-0000DD010000}"/>
    <cellStyle name="Обычный 6 2 4 2 2 3" xfId="531" xr:uid="{00000000-0005-0000-0000-0000DE010000}"/>
    <cellStyle name="Обычный 6 2 4 2 2 3 2" xfId="1052" xr:uid="{00000000-0005-0000-0000-0000DF010000}"/>
    <cellStyle name="Обычный 6 2 4 2 2 4" xfId="710" xr:uid="{00000000-0005-0000-0000-0000E0010000}"/>
    <cellStyle name="Обычный 6 2 4 2 3" xfId="189" xr:uid="{00000000-0005-0000-0000-0000E1010000}"/>
    <cellStyle name="Обычный 6 2 4 2 3 2" xfId="361" xr:uid="{00000000-0005-0000-0000-0000E2010000}"/>
    <cellStyle name="Обычный 6 2 4 2 3 2 2" xfId="882" xr:uid="{00000000-0005-0000-0000-0000E3010000}"/>
    <cellStyle name="Обычный 6 2 4 2 3 3" xfId="532" xr:uid="{00000000-0005-0000-0000-0000E4010000}"/>
    <cellStyle name="Обычный 6 2 4 2 3 3 2" xfId="1053" xr:uid="{00000000-0005-0000-0000-0000E5010000}"/>
    <cellStyle name="Обычный 6 2 4 2 3 4" xfId="711" xr:uid="{00000000-0005-0000-0000-0000E6010000}"/>
    <cellStyle name="Обычный 6 2 4 2 4" xfId="359" xr:uid="{00000000-0005-0000-0000-0000E7010000}"/>
    <cellStyle name="Обычный 6 2 4 2 4 2" xfId="880" xr:uid="{00000000-0005-0000-0000-0000E8010000}"/>
    <cellStyle name="Обычный 6 2 4 2 5" xfId="530" xr:uid="{00000000-0005-0000-0000-0000E9010000}"/>
    <cellStyle name="Обычный 6 2 4 2 5 2" xfId="1051" xr:uid="{00000000-0005-0000-0000-0000EA010000}"/>
    <cellStyle name="Обычный 6 2 4 2 6" xfId="709" xr:uid="{00000000-0005-0000-0000-0000EB010000}"/>
    <cellStyle name="Обычный 6 2 4 3" xfId="190" xr:uid="{00000000-0005-0000-0000-0000EC010000}"/>
    <cellStyle name="Обычный 6 2 4 3 2" xfId="362" xr:uid="{00000000-0005-0000-0000-0000ED010000}"/>
    <cellStyle name="Обычный 6 2 4 3 2 2" xfId="883" xr:uid="{00000000-0005-0000-0000-0000EE010000}"/>
    <cellStyle name="Обычный 6 2 4 3 3" xfId="533" xr:uid="{00000000-0005-0000-0000-0000EF010000}"/>
    <cellStyle name="Обычный 6 2 4 3 3 2" xfId="1054" xr:uid="{00000000-0005-0000-0000-0000F0010000}"/>
    <cellStyle name="Обычный 6 2 4 3 4" xfId="712" xr:uid="{00000000-0005-0000-0000-0000F1010000}"/>
    <cellStyle name="Обычный 6 2 4 4" xfId="191" xr:uid="{00000000-0005-0000-0000-0000F2010000}"/>
    <cellStyle name="Обычный 6 2 4 4 2" xfId="363" xr:uid="{00000000-0005-0000-0000-0000F3010000}"/>
    <cellStyle name="Обычный 6 2 4 4 2 2" xfId="884" xr:uid="{00000000-0005-0000-0000-0000F4010000}"/>
    <cellStyle name="Обычный 6 2 4 4 3" xfId="534" xr:uid="{00000000-0005-0000-0000-0000F5010000}"/>
    <cellStyle name="Обычный 6 2 4 4 3 2" xfId="1055" xr:uid="{00000000-0005-0000-0000-0000F6010000}"/>
    <cellStyle name="Обычный 6 2 4 4 4" xfId="713" xr:uid="{00000000-0005-0000-0000-0000F7010000}"/>
    <cellStyle name="Обычный 6 2 4 5" xfId="299" xr:uid="{00000000-0005-0000-0000-0000F8010000}"/>
    <cellStyle name="Обычный 6 2 4 5 2" xfId="820" xr:uid="{00000000-0005-0000-0000-0000F9010000}"/>
    <cellStyle name="Обычный 6 2 4 6" xfId="470" xr:uid="{00000000-0005-0000-0000-0000FA010000}"/>
    <cellStyle name="Обычный 6 2 4 6 2" xfId="991" xr:uid="{00000000-0005-0000-0000-0000FB010000}"/>
    <cellStyle name="Обычный 6 2 4 7" xfId="649" xr:uid="{00000000-0005-0000-0000-0000FC010000}"/>
    <cellStyle name="Обычный 6 2 5" xfId="120" xr:uid="{00000000-0005-0000-0000-0000FD010000}"/>
    <cellStyle name="Обычный 6 2 5 2" xfId="192" xr:uid="{00000000-0005-0000-0000-0000FE010000}"/>
    <cellStyle name="Обычный 6 2 5 2 2" xfId="193" xr:uid="{00000000-0005-0000-0000-0000FF010000}"/>
    <cellStyle name="Обычный 6 2 5 2 2 2" xfId="365" xr:uid="{00000000-0005-0000-0000-000000020000}"/>
    <cellStyle name="Обычный 6 2 5 2 2 2 2" xfId="886" xr:uid="{00000000-0005-0000-0000-000001020000}"/>
    <cellStyle name="Обычный 6 2 5 2 2 3" xfId="536" xr:uid="{00000000-0005-0000-0000-000002020000}"/>
    <cellStyle name="Обычный 6 2 5 2 2 3 2" xfId="1057" xr:uid="{00000000-0005-0000-0000-000003020000}"/>
    <cellStyle name="Обычный 6 2 5 2 2 4" xfId="715" xr:uid="{00000000-0005-0000-0000-000004020000}"/>
    <cellStyle name="Обычный 6 2 5 2 3" xfId="194" xr:uid="{00000000-0005-0000-0000-000005020000}"/>
    <cellStyle name="Обычный 6 2 5 2 3 2" xfId="366" xr:uid="{00000000-0005-0000-0000-000006020000}"/>
    <cellStyle name="Обычный 6 2 5 2 3 2 2" xfId="887" xr:uid="{00000000-0005-0000-0000-000007020000}"/>
    <cellStyle name="Обычный 6 2 5 2 3 3" xfId="537" xr:uid="{00000000-0005-0000-0000-000008020000}"/>
    <cellStyle name="Обычный 6 2 5 2 3 3 2" xfId="1058" xr:uid="{00000000-0005-0000-0000-000009020000}"/>
    <cellStyle name="Обычный 6 2 5 2 3 4" xfId="716" xr:uid="{00000000-0005-0000-0000-00000A020000}"/>
    <cellStyle name="Обычный 6 2 5 2 4" xfId="364" xr:uid="{00000000-0005-0000-0000-00000B020000}"/>
    <cellStyle name="Обычный 6 2 5 2 4 2" xfId="885" xr:uid="{00000000-0005-0000-0000-00000C020000}"/>
    <cellStyle name="Обычный 6 2 5 2 5" xfId="535" xr:uid="{00000000-0005-0000-0000-00000D020000}"/>
    <cellStyle name="Обычный 6 2 5 2 5 2" xfId="1056" xr:uid="{00000000-0005-0000-0000-00000E020000}"/>
    <cellStyle name="Обычный 6 2 5 2 6" xfId="714" xr:uid="{00000000-0005-0000-0000-00000F020000}"/>
    <cellStyle name="Обычный 6 2 5 3" xfId="195" xr:uid="{00000000-0005-0000-0000-000010020000}"/>
    <cellStyle name="Обычный 6 2 5 3 2" xfId="367" xr:uid="{00000000-0005-0000-0000-000011020000}"/>
    <cellStyle name="Обычный 6 2 5 3 2 2" xfId="888" xr:uid="{00000000-0005-0000-0000-000012020000}"/>
    <cellStyle name="Обычный 6 2 5 3 3" xfId="538" xr:uid="{00000000-0005-0000-0000-000013020000}"/>
    <cellStyle name="Обычный 6 2 5 3 3 2" xfId="1059" xr:uid="{00000000-0005-0000-0000-000014020000}"/>
    <cellStyle name="Обычный 6 2 5 3 4" xfId="717" xr:uid="{00000000-0005-0000-0000-000015020000}"/>
    <cellStyle name="Обычный 6 2 5 4" xfId="196" xr:uid="{00000000-0005-0000-0000-000016020000}"/>
    <cellStyle name="Обычный 6 2 5 4 2" xfId="368" xr:uid="{00000000-0005-0000-0000-000017020000}"/>
    <cellStyle name="Обычный 6 2 5 4 2 2" xfId="889" xr:uid="{00000000-0005-0000-0000-000018020000}"/>
    <cellStyle name="Обычный 6 2 5 4 3" xfId="539" xr:uid="{00000000-0005-0000-0000-000019020000}"/>
    <cellStyle name="Обычный 6 2 5 4 3 2" xfId="1060" xr:uid="{00000000-0005-0000-0000-00001A020000}"/>
    <cellStyle name="Обычный 6 2 5 4 4" xfId="718" xr:uid="{00000000-0005-0000-0000-00001B020000}"/>
    <cellStyle name="Обычный 6 2 5 5" xfId="292" xr:uid="{00000000-0005-0000-0000-00001C020000}"/>
    <cellStyle name="Обычный 6 2 5 5 2" xfId="813" xr:uid="{00000000-0005-0000-0000-00001D020000}"/>
    <cellStyle name="Обычный 6 2 5 6" xfId="463" xr:uid="{00000000-0005-0000-0000-00001E020000}"/>
    <cellStyle name="Обычный 6 2 5 6 2" xfId="984" xr:uid="{00000000-0005-0000-0000-00001F020000}"/>
    <cellStyle name="Обычный 6 2 5 7" xfId="642" xr:uid="{00000000-0005-0000-0000-000020020000}"/>
    <cellStyle name="Обычный 6 2 6" xfId="197" xr:uid="{00000000-0005-0000-0000-000021020000}"/>
    <cellStyle name="Обычный 6 2 6 2" xfId="198" xr:uid="{00000000-0005-0000-0000-000022020000}"/>
    <cellStyle name="Обычный 6 2 6 2 2" xfId="370" xr:uid="{00000000-0005-0000-0000-000023020000}"/>
    <cellStyle name="Обычный 6 2 6 2 2 2" xfId="891" xr:uid="{00000000-0005-0000-0000-000024020000}"/>
    <cellStyle name="Обычный 6 2 6 2 3" xfId="541" xr:uid="{00000000-0005-0000-0000-000025020000}"/>
    <cellStyle name="Обычный 6 2 6 2 3 2" xfId="1062" xr:uid="{00000000-0005-0000-0000-000026020000}"/>
    <cellStyle name="Обычный 6 2 6 2 4" xfId="720" xr:uid="{00000000-0005-0000-0000-000027020000}"/>
    <cellStyle name="Обычный 6 2 6 3" xfId="199" xr:uid="{00000000-0005-0000-0000-000028020000}"/>
    <cellStyle name="Обычный 6 2 6 3 2" xfId="371" xr:uid="{00000000-0005-0000-0000-000029020000}"/>
    <cellStyle name="Обычный 6 2 6 3 2 2" xfId="892" xr:uid="{00000000-0005-0000-0000-00002A020000}"/>
    <cellStyle name="Обычный 6 2 6 3 3" xfId="542" xr:uid="{00000000-0005-0000-0000-00002B020000}"/>
    <cellStyle name="Обычный 6 2 6 3 3 2" xfId="1063" xr:uid="{00000000-0005-0000-0000-00002C020000}"/>
    <cellStyle name="Обычный 6 2 6 3 4" xfId="721" xr:uid="{00000000-0005-0000-0000-00002D020000}"/>
    <cellStyle name="Обычный 6 2 6 4" xfId="369" xr:uid="{00000000-0005-0000-0000-00002E020000}"/>
    <cellStyle name="Обычный 6 2 6 4 2" xfId="890" xr:uid="{00000000-0005-0000-0000-00002F020000}"/>
    <cellStyle name="Обычный 6 2 6 5" xfId="540" xr:uid="{00000000-0005-0000-0000-000030020000}"/>
    <cellStyle name="Обычный 6 2 6 5 2" xfId="1061" xr:uid="{00000000-0005-0000-0000-000031020000}"/>
    <cellStyle name="Обычный 6 2 6 6" xfId="719" xr:uid="{00000000-0005-0000-0000-000032020000}"/>
    <cellStyle name="Обычный 6 2 7" xfId="200" xr:uid="{00000000-0005-0000-0000-000033020000}"/>
    <cellStyle name="Обычный 6 2 7 2" xfId="372" xr:uid="{00000000-0005-0000-0000-000034020000}"/>
    <cellStyle name="Обычный 6 2 7 2 2" xfId="893" xr:uid="{00000000-0005-0000-0000-000035020000}"/>
    <cellStyle name="Обычный 6 2 7 3" xfId="543" xr:uid="{00000000-0005-0000-0000-000036020000}"/>
    <cellStyle name="Обычный 6 2 7 3 2" xfId="1064" xr:uid="{00000000-0005-0000-0000-000037020000}"/>
    <cellStyle name="Обычный 6 2 7 4" xfId="722" xr:uid="{00000000-0005-0000-0000-000038020000}"/>
    <cellStyle name="Обычный 6 2 8" xfId="201" xr:uid="{00000000-0005-0000-0000-000039020000}"/>
    <cellStyle name="Обычный 6 2 8 2" xfId="373" xr:uid="{00000000-0005-0000-0000-00003A020000}"/>
    <cellStyle name="Обычный 6 2 8 2 2" xfId="894" xr:uid="{00000000-0005-0000-0000-00003B020000}"/>
    <cellStyle name="Обычный 6 2 8 3" xfId="544" xr:uid="{00000000-0005-0000-0000-00003C020000}"/>
    <cellStyle name="Обычный 6 2 8 3 2" xfId="1065" xr:uid="{00000000-0005-0000-0000-00003D020000}"/>
    <cellStyle name="Обычный 6 2 8 4" xfId="723" xr:uid="{00000000-0005-0000-0000-00003E020000}"/>
    <cellStyle name="Обычный 6 2 9" xfId="202" xr:uid="{00000000-0005-0000-0000-00003F020000}"/>
    <cellStyle name="Обычный 6 2 9 2" xfId="374" xr:uid="{00000000-0005-0000-0000-000040020000}"/>
    <cellStyle name="Обычный 6 2 9 2 2" xfId="895" xr:uid="{00000000-0005-0000-0000-000041020000}"/>
    <cellStyle name="Обычный 6 2 9 3" xfId="545" xr:uid="{00000000-0005-0000-0000-000042020000}"/>
    <cellStyle name="Обычный 6 2 9 3 2" xfId="1066" xr:uid="{00000000-0005-0000-0000-000043020000}"/>
    <cellStyle name="Обычный 6 2 9 4" xfId="724" xr:uid="{00000000-0005-0000-0000-000044020000}"/>
    <cellStyle name="Обычный 6 3" xfId="124" xr:uid="{00000000-0005-0000-0000-000045020000}"/>
    <cellStyle name="Обычный 6 3 2" xfId="203" xr:uid="{00000000-0005-0000-0000-000046020000}"/>
    <cellStyle name="Обычный 6 3 2 2" xfId="204" xr:uid="{00000000-0005-0000-0000-000047020000}"/>
    <cellStyle name="Обычный 6 3 2 2 2" xfId="376" xr:uid="{00000000-0005-0000-0000-000048020000}"/>
    <cellStyle name="Обычный 6 3 2 2 2 2" xfId="897" xr:uid="{00000000-0005-0000-0000-000049020000}"/>
    <cellStyle name="Обычный 6 3 2 2 3" xfId="547" xr:uid="{00000000-0005-0000-0000-00004A020000}"/>
    <cellStyle name="Обычный 6 3 2 2 3 2" xfId="1068" xr:uid="{00000000-0005-0000-0000-00004B020000}"/>
    <cellStyle name="Обычный 6 3 2 2 4" xfId="726" xr:uid="{00000000-0005-0000-0000-00004C020000}"/>
    <cellStyle name="Обычный 6 3 2 3" xfId="205" xr:uid="{00000000-0005-0000-0000-00004D020000}"/>
    <cellStyle name="Обычный 6 3 2 3 2" xfId="377" xr:uid="{00000000-0005-0000-0000-00004E020000}"/>
    <cellStyle name="Обычный 6 3 2 3 2 2" xfId="898" xr:uid="{00000000-0005-0000-0000-00004F020000}"/>
    <cellStyle name="Обычный 6 3 2 3 3" xfId="548" xr:uid="{00000000-0005-0000-0000-000050020000}"/>
    <cellStyle name="Обычный 6 3 2 3 3 2" xfId="1069" xr:uid="{00000000-0005-0000-0000-000051020000}"/>
    <cellStyle name="Обычный 6 3 2 3 4" xfId="727" xr:uid="{00000000-0005-0000-0000-000052020000}"/>
    <cellStyle name="Обычный 6 3 2 4" xfId="375" xr:uid="{00000000-0005-0000-0000-000053020000}"/>
    <cellStyle name="Обычный 6 3 2 4 2" xfId="896" xr:uid="{00000000-0005-0000-0000-000054020000}"/>
    <cellStyle name="Обычный 6 3 2 5" xfId="546" xr:uid="{00000000-0005-0000-0000-000055020000}"/>
    <cellStyle name="Обычный 6 3 2 5 2" xfId="1067" xr:uid="{00000000-0005-0000-0000-000056020000}"/>
    <cellStyle name="Обычный 6 3 2 6" xfId="725" xr:uid="{00000000-0005-0000-0000-000057020000}"/>
    <cellStyle name="Обычный 6 3 3" xfId="206" xr:uid="{00000000-0005-0000-0000-000058020000}"/>
    <cellStyle name="Обычный 6 3 3 2" xfId="378" xr:uid="{00000000-0005-0000-0000-000059020000}"/>
    <cellStyle name="Обычный 6 3 3 2 2" xfId="899" xr:uid="{00000000-0005-0000-0000-00005A020000}"/>
    <cellStyle name="Обычный 6 3 3 3" xfId="549" xr:uid="{00000000-0005-0000-0000-00005B020000}"/>
    <cellStyle name="Обычный 6 3 3 3 2" xfId="1070" xr:uid="{00000000-0005-0000-0000-00005C020000}"/>
    <cellStyle name="Обычный 6 3 3 4" xfId="728" xr:uid="{00000000-0005-0000-0000-00005D020000}"/>
    <cellStyle name="Обычный 6 3 4" xfId="207" xr:uid="{00000000-0005-0000-0000-00005E020000}"/>
    <cellStyle name="Обычный 6 3 4 2" xfId="379" xr:uid="{00000000-0005-0000-0000-00005F020000}"/>
    <cellStyle name="Обычный 6 3 4 2 2" xfId="900" xr:uid="{00000000-0005-0000-0000-000060020000}"/>
    <cellStyle name="Обычный 6 3 4 3" xfId="550" xr:uid="{00000000-0005-0000-0000-000061020000}"/>
    <cellStyle name="Обычный 6 3 4 3 2" xfId="1071" xr:uid="{00000000-0005-0000-0000-000062020000}"/>
    <cellStyle name="Обычный 6 3 4 4" xfId="729" xr:uid="{00000000-0005-0000-0000-000063020000}"/>
    <cellStyle name="Обычный 6 3 5" xfId="296" xr:uid="{00000000-0005-0000-0000-000064020000}"/>
    <cellStyle name="Обычный 6 3 5 2" xfId="817" xr:uid="{00000000-0005-0000-0000-000065020000}"/>
    <cellStyle name="Обычный 6 3 6" xfId="467" xr:uid="{00000000-0005-0000-0000-000066020000}"/>
    <cellStyle name="Обычный 6 3 6 2" xfId="988" xr:uid="{00000000-0005-0000-0000-000067020000}"/>
    <cellStyle name="Обычный 6 3 7" xfId="646" xr:uid="{00000000-0005-0000-0000-000068020000}"/>
    <cellStyle name="Обычный 6 4" xfId="117" xr:uid="{00000000-0005-0000-0000-000069020000}"/>
    <cellStyle name="Обычный 6 4 2" xfId="208" xr:uid="{00000000-0005-0000-0000-00006A020000}"/>
    <cellStyle name="Обычный 6 4 2 2" xfId="209" xr:uid="{00000000-0005-0000-0000-00006B020000}"/>
    <cellStyle name="Обычный 6 4 2 2 2" xfId="381" xr:uid="{00000000-0005-0000-0000-00006C020000}"/>
    <cellStyle name="Обычный 6 4 2 2 2 2" xfId="902" xr:uid="{00000000-0005-0000-0000-00006D020000}"/>
    <cellStyle name="Обычный 6 4 2 2 3" xfId="552" xr:uid="{00000000-0005-0000-0000-00006E020000}"/>
    <cellStyle name="Обычный 6 4 2 2 3 2" xfId="1073" xr:uid="{00000000-0005-0000-0000-00006F020000}"/>
    <cellStyle name="Обычный 6 4 2 2 4" xfId="731" xr:uid="{00000000-0005-0000-0000-000070020000}"/>
    <cellStyle name="Обычный 6 4 2 3" xfId="210" xr:uid="{00000000-0005-0000-0000-000071020000}"/>
    <cellStyle name="Обычный 6 4 2 3 2" xfId="382" xr:uid="{00000000-0005-0000-0000-000072020000}"/>
    <cellStyle name="Обычный 6 4 2 3 2 2" xfId="903" xr:uid="{00000000-0005-0000-0000-000073020000}"/>
    <cellStyle name="Обычный 6 4 2 3 3" xfId="553" xr:uid="{00000000-0005-0000-0000-000074020000}"/>
    <cellStyle name="Обычный 6 4 2 3 3 2" xfId="1074" xr:uid="{00000000-0005-0000-0000-000075020000}"/>
    <cellStyle name="Обычный 6 4 2 3 4" xfId="732" xr:uid="{00000000-0005-0000-0000-000076020000}"/>
    <cellStyle name="Обычный 6 4 2 4" xfId="380" xr:uid="{00000000-0005-0000-0000-000077020000}"/>
    <cellStyle name="Обычный 6 4 2 4 2" xfId="901" xr:uid="{00000000-0005-0000-0000-000078020000}"/>
    <cellStyle name="Обычный 6 4 2 5" xfId="551" xr:uid="{00000000-0005-0000-0000-000079020000}"/>
    <cellStyle name="Обычный 6 4 2 5 2" xfId="1072" xr:uid="{00000000-0005-0000-0000-00007A020000}"/>
    <cellStyle name="Обычный 6 4 2 6" xfId="730" xr:uid="{00000000-0005-0000-0000-00007B020000}"/>
    <cellStyle name="Обычный 6 4 3" xfId="211" xr:uid="{00000000-0005-0000-0000-00007C020000}"/>
    <cellStyle name="Обычный 6 4 3 2" xfId="383" xr:uid="{00000000-0005-0000-0000-00007D020000}"/>
    <cellStyle name="Обычный 6 4 3 2 2" xfId="904" xr:uid="{00000000-0005-0000-0000-00007E020000}"/>
    <cellStyle name="Обычный 6 4 3 3" xfId="554" xr:uid="{00000000-0005-0000-0000-00007F020000}"/>
    <cellStyle name="Обычный 6 4 3 3 2" xfId="1075" xr:uid="{00000000-0005-0000-0000-000080020000}"/>
    <cellStyle name="Обычный 6 4 3 4" xfId="733" xr:uid="{00000000-0005-0000-0000-000081020000}"/>
    <cellStyle name="Обычный 6 4 4" xfId="212" xr:uid="{00000000-0005-0000-0000-000082020000}"/>
    <cellStyle name="Обычный 6 4 4 2" xfId="384" xr:uid="{00000000-0005-0000-0000-000083020000}"/>
    <cellStyle name="Обычный 6 4 4 2 2" xfId="905" xr:uid="{00000000-0005-0000-0000-000084020000}"/>
    <cellStyle name="Обычный 6 4 4 3" xfId="555" xr:uid="{00000000-0005-0000-0000-000085020000}"/>
    <cellStyle name="Обычный 6 4 4 3 2" xfId="1076" xr:uid="{00000000-0005-0000-0000-000086020000}"/>
    <cellStyle name="Обычный 6 4 4 4" xfId="734" xr:uid="{00000000-0005-0000-0000-000087020000}"/>
    <cellStyle name="Обычный 6 4 5" xfId="289" xr:uid="{00000000-0005-0000-0000-000088020000}"/>
    <cellStyle name="Обычный 6 4 5 2" xfId="810" xr:uid="{00000000-0005-0000-0000-000089020000}"/>
    <cellStyle name="Обычный 6 4 6" xfId="460" xr:uid="{00000000-0005-0000-0000-00008A020000}"/>
    <cellStyle name="Обычный 6 4 6 2" xfId="981" xr:uid="{00000000-0005-0000-0000-00008B020000}"/>
    <cellStyle name="Обычный 6 4 7" xfId="639" xr:uid="{00000000-0005-0000-0000-00008C020000}"/>
    <cellStyle name="Обычный 6 5" xfId="213" xr:uid="{00000000-0005-0000-0000-00008D020000}"/>
    <cellStyle name="Обычный 6 5 2" xfId="214" xr:uid="{00000000-0005-0000-0000-00008E020000}"/>
    <cellStyle name="Обычный 6 5 2 2" xfId="386" xr:uid="{00000000-0005-0000-0000-00008F020000}"/>
    <cellStyle name="Обычный 6 5 2 2 2" xfId="907" xr:uid="{00000000-0005-0000-0000-000090020000}"/>
    <cellStyle name="Обычный 6 5 2 3" xfId="557" xr:uid="{00000000-0005-0000-0000-000091020000}"/>
    <cellStyle name="Обычный 6 5 2 3 2" xfId="1078" xr:uid="{00000000-0005-0000-0000-000092020000}"/>
    <cellStyle name="Обычный 6 5 2 4" xfId="736" xr:uid="{00000000-0005-0000-0000-000093020000}"/>
    <cellStyle name="Обычный 6 5 3" xfId="215" xr:uid="{00000000-0005-0000-0000-000094020000}"/>
    <cellStyle name="Обычный 6 5 3 2" xfId="387" xr:uid="{00000000-0005-0000-0000-000095020000}"/>
    <cellStyle name="Обычный 6 5 3 2 2" xfId="908" xr:uid="{00000000-0005-0000-0000-000096020000}"/>
    <cellStyle name="Обычный 6 5 3 3" xfId="558" xr:uid="{00000000-0005-0000-0000-000097020000}"/>
    <cellStyle name="Обычный 6 5 3 3 2" xfId="1079" xr:uid="{00000000-0005-0000-0000-000098020000}"/>
    <cellStyle name="Обычный 6 5 3 4" xfId="737" xr:uid="{00000000-0005-0000-0000-000099020000}"/>
    <cellStyle name="Обычный 6 5 4" xfId="385" xr:uid="{00000000-0005-0000-0000-00009A020000}"/>
    <cellStyle name="Обычный 6 5 4 2" xfId="906" xr:uid="{00000000-0005-0000-0000-00009B020000}"/>
    <cellStyle name="Обычный 6 5 5" xfId="556" xr:uid="{00000000-0005-0000-0000-00009C020000}"/>
    <cellStyle name="Обычный 6 5 5 2" xfId="1077" xr:uid="{00000000-0005-0000-0000-00009D020000}"/>
    <cellStyle name="Обычный 6 5 6" xfId="735" xr:uid="{00000000-0005-0000-0000-00009E020000}"/>
    <cellStyle name="Обычный 6 6" xfId="216" xr:uid="{00000000-0005-0000-0000-00009F020000}"/>
    <cellStyle name="Обычный 6 6 2" xfId="388" xr:uid="{00000000-0005-0000-0000-0000A0020000}"/>
    <cellStyle name="Обычный 6 6 2 2" xfId="909" xr:uid="{00000000-0005-0000-0000-0000A1020000}"/>
    <cellStyle name="Обычный 6 6 3" xfId="559" xr:uid="{00000000-0005-0000-0000-0000A2020000}"/>
    <cellStyle name="Обычный 6 6 3 2" xfId="1080" xr:uid="{00000000-0005-0000-0000-0000A3020000}"/>
    <cellStyle name="Обычный 6 6 4" xfId="738" xr:uid="{00000000-0005-0000-0000-0000A4020000}"/>
    <cellStyle name="Обычный 6 7" xfId="217" xr:uid="{00000000-0005-0000-0000-0000A5020000}"/>
    <cellStyle name="Обычный 6 7 2" xfId="389" xr:uid="{00000000-0005-0000-0000-0000A6020000}"/>
    <cellStyle name="Обычный 6 7 2 2" xfId="910" xr:uid="{00000000-0005-0000-0000-0000A7020000}"/>
    <cellStyle name="Обычный 6 7 3" xfId="560" xr:uid="{00000000-0005-0000-0000-0000A8020000}"/>
    <cellStyle name="Обычный 6 7 3 2" xfId="1081" xr:uid="{00000000-0005-0000-0000-0000A9020000}"/>
    <cellStyle name="Обычный 6 7 4" xfId="739" xr:uid="{00000000-0005-0000-0000-0000AA020000}"/>
    <cellStyle name="Обычный 6 8" xfId="218" xr:uid="{00000000-0005-0000-0000-0000AB020000}"/>
    <cellStyle name="Обычный 6 8 2" xfId="390" xr:uid="{00000000-0005-0000-0000-0000AC020000}"/>
    <cellStyle name="Обычный 6 8 2 2" xfId="911" xr:uid="{00000000-0005-0000-0000-0000AD020000}"/>
    <cellStyle name="Обычный 6 8 3" xfId="561" xr:uid="{00000000-0005-0000-0000-0000AE020000}"/>
    <cellStyle name="Обычный 6 8 3 2" xfId="1082" xr:uid="{00000000-0005-0000-0000-0000AF020000}"/>
    <cellStyle name="Обычный 6 8 4" xfId="740" xr:uid="{00000000-0005-0000-0000-0000B0020000}"/>
    <cellStyle name="Обычный 6 9" xfId="106" xr:uid="{00000000-0005-0000-0000-0000B1020000}"/>
    <cellStyle name="Обычный 6 9 2" xfId="629" xr:uid="{00000000-0005-0000-0000-0000B2020000}"/>
    <cellStyle name="Обычный 7" xfId="54" xr:uid="{00000000-0005-0000-0000-0000B3020000}"/>
    <cellStyle name="Обычный 7 2" xfId="58" xr:uid="{00000000-0005-0000-0000-0000B4020000}"/>
    <cellStyle name="Обычный 7 2 10" xfId="455" xr:uid="{00000000-0005-0000-0000-0000B5020000}"/>
    <cellStyle name="Обычный 7 2 10 2" xfId="976" xr:uid="{00000000-0005-0000-0000-0000B6020000}"/>
    <cellStyle name="Обычный 7 2 11" xfId="627" xr:uid="{00000000-0005-0000-0000-0000B7020000}"/>
    <cellStyle name="Обычный 7 2 2" xfId="129" xr:uid="{00000000-0005-0000-0000-0000B8020000}"/>
    <cellStyle name="Обычный 7 2 2 2" xfId="219" xr:uid="{00000000-0005-0000-0000-0000B9020000}"/>
    <cellStyle name="Обычный 7 2 2 2 2" xfId="220" xr:uid="{00000000-0005-0000-0000-0000BA020000}"/>
    <cellStyle name="Обычный 7 2 2 2 2 2" xfId="392" xr:uid="{00000000-0005-0000-0000-0000BB020000}"/>
    <cellStyle name="Обычный 7 2 2 2 2 2 2" xfId="913" xr:uid="{00000000-0005-0000-0000-0000BC020000}"/>
    <cellStyle name="Обычный 7 2 2 2 2 3" xfId="563" xr:uid="{00000000-0005-0000-0000-0000BD020000}"/>
    <cellStyle name="Обычный 7 2 2 2 2 3 2" xfId="1084" xr:uid="{00000000-0005-0000-0000-0000BE020000}"/>
    <cellStyle name="Обычный 7 2 2 2 2 4" xfId="742" xr:uid="{00000000-0005-0000-0000-0000BF020000}"/>
    <cellStyle name="Обычный 7 2 2 2 3" xfId="221" xr:uid="{00000000-0005-0000-0000-0000C0020000}"/>
    <cellStyle name="Обычный 7 2 2 2 3 2" xfId="393" xr:uid="{00000000-0005-0000-0000-0000C1020000}"/>
    <cellStyle name="Обычный 7 2 2 2 3 2 2" xfId="914" xr:uid="{00000000-0005-0000-0000-0000C2020000}"/>
    <cellStyle name="Обычный 7 2 2 2 3 3" xfId="564" xr:uid="{00000000-0005-0000-0000-0000C3020000}"/>
    <cellStyle name="Обычный 7 2 2 2 3 3 2" xfId="1085" xr:uid="{00000000-0005-0000-0000-0000C4020000}"/>
    <cellStyle name="Обычный 7 2 2 2 3 4" xfId="743" xr:uid="{00000000-0005-0000-0000-0000C5020000}"/>
    <cellStyle name="Обычный 7 2 2 2 4" xfId="391" xr:uid="{00000000-0005-0000-0000-0000C6020000}"/>
    <cellStyle name="Обычный 7 2 2 2 4 2" xfId="912" xr:uid="{00000000-0005-0000-0000-0000C7020000}"/>
    <cellStyle name="Обычный 7 2 2 2 5" xfId="562" xr:uid="{00000000-0005-0000-0000-0000C8020000}"/>
    <cellStyle name="Обычный 7 2 2 2 5 2" xfId="1083" xr:uid="{00000000-0005-0000-0000-0000C9020000}"/>
    <cellStyle name="Обычный 7 2 2 2 6" xfId="741" xr:uid="{00000000-0005-0000-0000-0000CA020000}"/>
    <cellStyle name="Обычный 7 2 2 3" xfId="222" xr:uid="{00000000-0005-0000-0000-0000CB020000}"/>
    <cellStyle name="Обычный 7 2 2 3 2" xfId="394" xr:uid="{00000000-0005-0000-0000-0000CC020000}"/>
    <cellStyle name="Обычный 7 2 2 3 2 2" xfId="915" xr:uid="{00000000-0005-0000-0000-0000CD020000}"/>
    <cellStyle name="Обычный 7 2 2 3 3" xfId="565" xr:uid="{00000000-0005-0000-0000-0000CE020000}"/>
    <cellStyle name="Обычный 7 2 2 3 3 2" xfId="1086" xr:uid="{00000000-0005-0000-0000-0000CF020000}"/>
    <cellStyle name="Обычный 7 2 2 3 4" xfId="744" xr:uid="{00000000-0005-0000-0000-0000D0020000}"/>
    <cellStyle name="Обычный 7 2 2 4" xfId="223" xr:uid="{00000000-0005-0000-0000-0000D1020000}"/>
    <cellStyle name="Обычный 7 2 2 4 2" xfId="395" xr:uid="{00000000-0005-0000-0000-0000D2020000}"/>
    <cellStyle name="Обычный 7 2 2 4 2 2" xfId="916" xr:uid="{00000000-0005-0000-0000-0000D3020000}"/>
    <cellStyle name="Обычный 7 2 2 4 3" xfId="566" xr:uid="{00000000-0005-0000-0000-0000D4020000}"/>
    <cellStyle name="Обычный 7 2 2 4 3 2" xfId="1087" xr:uid="{00000000-0005-0000-0000-0000D5020000}"/>
    <cellStyle name="Обычный 7 2 2 4 4" xfId="745" xr:uid="{00000000-0005-0000-0000-0000D6020000}"/>
    <cellStyle name="Обычный 7 2 2 5" xfId="301" xr:uid="{00000000-0005-0000-0000-0000D7020000}"/>
    <cellStyle name="Обычный 7 2 2 5 2" xfId="822" xr:uid="{00000000-0005-0000-0000-0000D8020000}"/>
    <cellStyle name="Обычный 7 2 2 6" xfId="472" xr:uid="{00000000-0005-0000-0000-0000D9020000}"/>
    <cellStyle name="Обычный 7 2 2 6 2" xfId="993" xr:uid="{00000000-0005-0000-0000-0000DA020000}"/>
    <cellStyle name="Обычный 7 2 2 7" xfId="651" xr:uid="{00000000-0005-0000-0000-0000DB020000}"/>
    <cellStyle name="Обычный 7 2 3" xfId="122" xr:uid="{00000000-0005-0000-0000-0000DC020000}"/>
    <cellStyle name="Обычный 7 2 3 2" xfId="224" xr:uid="{00000000-0005-0000-0000-0000DD020000}"/>
    <cellStyle name="Обычный 7 2 3 2 2" xfId="225" xr:uid="{00000000-0005-0000-0000-0000DE020000}"/>
    <cellStyle name="Обычный 7 2 3 2 2 2" xfId="397" xr:uid="{00000000-0005-0000-0000-0000DF020000}"/>
    <cellStyle name="Обычный 7 2 3 2 2 2 2" xfId="918" xr:uid="{00000000-0005-0000-0000-0000E0020000}"/>
    <cellStyle name="Обычный 7 2 3 2 2 3" xfId="568" xr:uid="{00000000-0005-0000-0000-0000E1020000}"/>
    <cellStyle name="Обычный 7 2 3 2 2 3 2" xfId="1089" xr:uid="{00000000-0005-0000-0000-0000E2020000}"/>
    <cellStyle name="Обычный 7 2 3 2 2 4" xfId="747" xr:uid="{00000000-0005-0000-0000-0000E3020000}"/>
    <cellStyle name="Обычный 7 2 3 2 3" xfId="226" xr:uid="{00000000-0005-0000-0000-0000E4020000}"/>
    <cellStyle name="Обычный 7 2 3 2 3 2" xfId="398" xr:uid="{00000000-0005-0000-0000-0000E5020000}"/>
    <cellStyle name="Обычный 7 2 3 2 3 2 2" xfId="919" xr:uid="{00000000-0005-0000-0000-0000E6020000}"/>
    <cellStyle name="Обычный 7 2 3 2 3 3" xfId="569" xr:uid="{00000000-0005-0000-0000-0000E7020000}"/>
    <cellStyle name="Обычный 7 2 3 2 3 3 2" xfId="1090" xr:uid="{00000000-0005-0000-0000-0000E8020000}"/>
    <cellStyle name="Обычный 7 2 3 2 3 4" xfId="748" xr:uid="{00000000-0005-0000-0000-0000E9020000}"/>
    <cellStyle name="Обычный 7 2 3 2 4" xfId="396" xr:uid="{00000000-0005-0000-0000-0000EA020000}"/>
    <cellStyle name="Обычный 7 2 3 2 4 2" xfId="917" xr:uid="{00000000-0005-0000-0000-0000EB020000}"/>
    <cellStyle name="Обычный 7 2 3 2 5" xfId="567" xr:uid="{00000000-0005-0000-0000-0000EC020000}"/>
    <cellStyle name="Обычный 7 2 3 2 5 2" xfId="1088" xr:uid="{00000000-0005-0000-0000-0000ED020000}"/>
    <cellStyle name="Обычный 7 2 3 2 6" xfId="746" xr:uid="{00000000-0005-0000-0000-0000EE020000}"/>
    <cellStyle name="Обычный 7 2 3 3" xfId="227" xr:uid="{00000000-0005-0000-0000-0000EF020000}"/>
    <cellStyle name="Обычный 7 2 3 3 2" xfId="399" xr:uid="{00000000-0005-0000-0000-0000F0020000}"/>
    <cellStyle name="Обычный 7 2 3 3 2 2" xfId="920" xr:uid="{00000000-0005-0000-0000-0000F1020000}"/>
    <cellStyle name="Обычный 7 2 3 3 3" xfId="570" xr:uid="{00000000-0005-0000-0000-0000F2020000}"/>
    <cellStyle name="Обычный 7 2 3 3 3 2" xfId="1091" xr:uid="{00000000-0005-0000-0000-0000F3020000}"/>
    <cellStyle name="Обычный 7 2 3 3 4" xfId="749" xr:uid="{00000000-0005-0000-0000-0000F4020000}"/>
    <cellStyle name="Обычный 7 2 3 4" xfId="228" xr:uid="{00000000-0005-0000-0000-0000F5020000}"/>
    <cellStyle name="Обычный 7 2 3 4 2" xfId="400" xr:uid="{00000000-0005-0000-0000-0000F6020000}"/>
    <cellStyle name="Обычный 7 2 3 4 2 2" xfId="921" xr:uid="{00000000-0005-0000-0000-0000F7020000}"/>
    <cellStyle name="Обычный 7 2 3 4 3" xfId="571" xr:uid="{00000000-0005-0000-0000-0000F8020000}"/>
    <cellStyle name="Обычный 7 2 3 4 3 2" xfId="1092" xr:uid="{00000000-0005-0000-0000-0000F9020000}"/>
    <cellStyle name="Обычный 7 2 3 4 4" xfId="750" xr:uid="{00000000-0005-0000-0000-0000FA020000}"/>
    <cellStyle name="Обычный 7 2 3 5" xfId="294" xr:uid="{00000000-0005-0000-0000-0000FB020000}"/>
    <cellStyle name="Обычный 7 2 3 5 2" xfId="815" xr:uid="{00000000-0005-0000-0000-0000FC020000}"/>
    <cellStyle name="Обычный 7 2 3 6" xfId="465" xr:uid="{00000000-0005-0000-0000-0000FD020000}"/>
    <cellStyle name="Обычный 7 2 3 6 2" xfId="986" xr:uid="{00000000-0005-0000-0000-0000FE020000}"/>
    <cellStyle name="Обычный 7 2 3 7" xfId="644" xr:uid="{00000000-0005-0000-0000-0000FF020000}"/>
    <cellStyle name="Обычный 7 2 4" xfId="229" xr:uid="{00000000-0005-0000-0000-000000030000}"/>
    <cellStyle name="Обычный 7 2 4 2" xfId="230" xr:uid="{00000000-0005-0000-0000-000001030000}"/>
    <cellStyle name="Обычный 7 2 4 2 2" xfId="402" xr:uid="{00000000-0005-0000-0000-000002030000}"/>
    <cellStyle name="Обычный 7 2 4 2 2 2" xfId="923" xr:uid="{00000000-0005-0000-0000-000003030000}"/>
    <cellStyle name="Обычный 7 2 4 2 3" xfId="573" xr:uid="{00000000-0005-0000-0000-000004030000}"/>
    <cellStyle name="Обычный 7 2 4 2 3 2" xfId="1094" xr:uid="{00000000-0005-0000-0000-000005030000}"/>
    <cellStyle name="Обычный 7 2 4 2 4" xfId="752" xr:uid="{00000000-0005-0000-0000-000006030000}"/>
    <cellStyle name="Обычный 7 2 4 3" xfId="231" xr:uid="{00000000-0005-0000-0000-000007030000}"/>
    <cellStyle name="Обычный 7 2 4 3 2" xfId="403" xr:uid="{00000000-0005-0000-0000-000008030000}"/>
    <cellStyle name="Обычный 7 2 4 3 2 2" xfId="924" xr:uid="{00000000-0005-0000-0000-000009030000}"/>
    <cellStyle name="Обычный 7 2 4 3 3" xfId="574" xr:uid="{00000000-0005-0000-0000-00000A030000}"/>
    <cellStyle name="Обычный 7 2 4 3 3 2" xfId="1095" xr:uid="{00000000-0005-0000-0000-00000B030000}"/>
    <cellStyle name="Обычный 7 2 4 3 4" xfId="753" xr:uid="{00000000-0005-0000-0000-00000C030000}"/>
    <cellStyle name="Обычный 7 2 4 4" xfId="401" xr:uid="{00000000-0005-0000-0000-00000D030000}"/>
    <cellStyle name="Обычный 7 2 4 4 2" xfId="922" xr:uid="{00000000-0005-0000-0000-00000E030000}"/>
    <cellStyle name="Обычный 7 2 4 5" xfId="572" xr:uid="{00000000-0005-0000-0000-00000F030000}"/>
    <cellStyle name="Обычный 7 2 4 5 2" xfId="1093" xr:uid="{00000000-0005-0000-0000-000010030000}"/>
    <cellStyle name="Обычный 7 2 4 6" xfId="751" xr:uid="{00000000-0005-0000-0000-000011030000}"/>
    <cellStyle name="Обычный 7 2 5" xfId="232" xr:uid="{00000000-0005-0000-0000-000012030000}"/>
    <cellStyle name="Обычный 7 2 5 2" xfId="404" xr:uid="{00000000-0005-0000-0000-000013030000}"/>
    <cellStyle name="Обычный 7 2 5 2 2" xfId="925" xr:uid="{00000000-0005-0000-0000-000014030000}"/>
    <cellStyle name="Обычный 7 2 5 3" xfId="575" xr:uid="{00000000-0005-0000-0000-000015030000}"/>
    <cellStyle name="Обычный 7 2 5 3 2" xfId="1096" xr:uid="{00000000-0005-0000-0000-000016030000}"/>
    <cellStyle name="Обычный 7 2 5 4" xfId="754" xr:uid="{00000000-0005-0000-0000-000017030000}"/>
    <cellStyle name="Обычный 7 2 6" xfId="233" xr:uid="{00000000-0005-0000-0000-000018030000}"/>
    <cellStyle name="Обычный 7 2 6 2" xfId="405" xr:uid="{00000000-0005-0000-0000-000019030000}"/>
    <cellStyle name="Обычный 7 2 6 2 2" xfId="926" xr:uid="{00000000-0005-0000-0000-00001A030000}"/>
    <cellStyle name="Обычный 7 2 6 3" xfId="576" xr:uid="{00000000-0005-0000-0000-00001B030000}"/>
    <cellStyle name="Обычный 7 2 6 3 2" xfId="1097" xr:uid="{00000000-0005-0000-0000-00001C030000}"/>
    <cellStyle name="Обычный 7 2 6 4" xfId="755" xr:uid="{00000000-0005-0000-0000-00001D030000}"/>
    <cellStyle name="Обычный 7 2 7" xfId="234" xr:uid="{00000000-0005-0000-0000-00001E030000}"/>
    <cellStyle name="Обычный 7 2 7 2" xfId="406" xr:uid="{00000000-0005-0000-0000-00001F030000}"/>
    <cellStyle name="Обычный 7 2 7 2 2" xfId="927" xr:uid="{00000000-0005-0000-0000-000020030000}"/>
    <cellStyle name="Обычный 7 2 7 3" xfId="577" xr:uid="{00000000-0005-0000-0000-000021030000}"/>
    <cellStyle name="Обычный 7 2 7 3 2" xfId="1098" xr:uid="{00000000-0005-0000-0000-000022030000}"/>
    <cellStyle name="Обычный 7 2 7 4" xfId="756" xr:uid="{00000000-0005-0000-0000-000023030000}"/>
    <cellStyle name="Обычный 7 2 8" xfId="111" xr:uid="{00000000-0005-0000-0000-000024030000}"/>
    <cellStyle name="Обычный 7 2 8 2" xfId="634" xr:uid="{00000000-0005-0000-0000-000025030000}"/>
    <cellStyle name="Обычный 7 2 9" xfId="284" xr:uid="{00000000-0005-0000-0000-000026030000}"/>
    <cellStyle name="Обычный 7 2 9 2" xfId="805" xr:uid="{00000000-0005-0000-0000-000027030000}"/>
    <cellStyle name="Обычный 8" xfId="57" xr:uid="{00000000-0005-0000-0000-000028030000}"/>
    <cellStyle name="Обычный 9" xfId="113" xr:uid="{00000000-0005-0000-0000-000029030000}"/>
    <cellStyle name="Обычный 9 2" xfId="131" xr:uid="{00000000-0005-0000-0000-00002A030000}"/>
    <cellStyle name="Обычный 9 2 2" xfId="235" xr:uid="{00000000-0005-0000-0000-00002B030000}"/>
    <cellStyle name="Обычный 9 2 2 2" xfId="236" xr:uid="{00000000-0005-0000-0000-00002C030000}"/>
    <cellStyle name="Обычный 9 2 2 2 2" xfId="408" xr:uid="{00000000-0005-0000-0000-00002D030000}"/>
    <cellStyle name="Обычный 9 2 2 2 2 2" xfId="929" xr:uid="{00000000-0005-0000-0000-00002E030000}"/>
    <cellStyle name="Обычный 9 2 2 2 3" xfId="579" xr:uid="{00000000-0005-0000-0000-00002F030000}"/>
    <cellStyle name="Обычный 9 2 2 2 3 2" xfId="1100" xr:uid="{00000000-0005-0000-0000-000030030000}"/>
    <cellStyle name="Обычный 9 2 2 2 4" xfId="758" xr:uid="{00000000-0005-0000-0000-000031030000}"/>
    <cellStyle name="Обычный 9 2 2 3" xfId="237" xr:uid="{00000000-0005-0000-0000-000032030000}"/>
    <cellStyle name="Обычный 9 2 2 3 2" xfId="409" xr:uid="{00000000-0005-0000-0000-000033030000}"/>
    <cellStyle name="Обычный 9 2 2 3 2 2" xfId="930" xr:uid="{00000000-0005-0000-0000-000034030000}"/>
    <cellStyle name="Обычный 9 2 2 3 3" xfId="580" xr:uid="{00000000-0005-0000-0000-000035030000}"/>
    <cellStyle name="Обычный 9 2 2 3 3 2" xfId="1101" xr:uid="{00000000-0005-0000-0000-000036030000}"/>
    <cellStyle name="Обычный 9 2 2 3 4" xfId="759" xr:uid="{00000000-0005-0000-0000-000037030000}"/>
    <cellStyle name="Обычный 9 2 2 4" xfId="238" xr:uid="{00000000-0005-0000-0000-000038030000}"/>
    <cellStyle name="Обычный 9 2 2 4 2" xfId="410" xr:uid="{00000000-0005-0000-0000-000039030000}"/>
    <cellStyle name="Обычный 9 2 2 4 2 2" xfId="931" xr:uid="{00000000-0005-0000-0000-00003A030000}"/>
    <cellStyle name="Обычный 9 2 2 4 3" xfId="581" xr:uid="{00000000-0005-0000-0000-00003B030000}"/>
    <cellStyle name="Обычный 9 2 2 4 3 2" xfId="1102" xr:uid="{00000000-0005-0000-0000-00003C030000}"/>
    <cellStyle name="Обычный 9 2 2 4 4" xfId="760" xr:uid="{00000000-0005-0000-0000-00003D030000}"/>
    <cellStyle name="Обычный 9 2 2 5" xfId="407" xr:uid="{00000000-0005-0000-0000-00003E030000}"/>
    <cellStyle name="Обычный 9 2 2 5 2" xfId="928" xr:uid="{00000000-0005-0000-0000-00003F030000}"/>
    <cellStyle name="Обычный 9 2 2 6" xfId="578" xr:uid="{00000000-0005-0000-0000-000040030000}"/>
    <cellStyle name="Обычный 9 2 2 6 2" xfId="1099" xr:uid="{00000000-0005-0000-0000-000041030000}"/>
    <cellStyle name="Обычный 9 2 2 7" xfId="757" xr:uid="{00000000-0005-0000-0000-000042030000}"/>
    <cellStyle name="Обычный 9 2 3" xfId="239" xr:uid="{00000000-0005-0000-0000-000043030000}"/>
    <cellStyle name="Обычный 9 2 3 2" xfId="411" xr:uid="{00000000-0005-0000-0000-000044030000}"/>
    <cellStyle name="Обычный 9 2 3 2 2" xfId="932" xr:uid="{00000000-0005-0000-0000-000045030000}"/>
    <cellStyle name="Обычный 9 2 3 3" xfId="582" xr:uid="{00000000-0005-0000-0000-000046030000}"/>
    <cellStyle name="Обычный 9 2 3 3 2" xfId="1103" xr:uid="{00000000-0005-0000-0000-000047030000}"/>
    <cellStyle name="Обычный 9 2 3 4" xfId="761" xr:uid="{00000000-0005-0000-0000-000048030000}"/>
    <cellStyle name="Обычный 9 2 4" xfId="240" xr:uid="{00000000-0005-0000-0000-000049030000}"/>
    <cellStyle name="Обычный 9 2 4 2" xfId="412" xr:uid="{00000000-0005-0000-0000-00004A030000}"/>
    <cellStyle name="Обычный 9 2 4 2 2" xfId="933" xr:uid="{00000000-0005-0000-0000-00004B030000}"/>
    <cellStyle name="Обычный 9 2 4 3" xfId="583" xr:uid="{00000000-0005-0000-0000-00004C030000}"/>
    <cellStyle name="Обычный 9 2 4 3 2" xfId="1104" xr:uid="{00000000-0005-0000-0000-00004D030000}"/>
    <cellStyle name="Обычный 9 2 4 4" xfId="762" xr:uid="{00000000-0005-0000-0000-00004E030000}"/>
    <cellStyle name="Обычный 9 2 5" xfId="303" xr:uid="{00000000-0005-0000-0000-00004F030000}"/>
    <cellStyle name="Обычный 9 2 5 2" xfId="824" xr:uid="{00000000-0005-0000-0000-000050030000}"/>
    <cellStyle name="Обычный 9 2 6" xfId="474" xr:uid="{00000000-0005-0000-0000-000051030000}"/>
    <cellStyle name="Обычный 9 2 6 2" xfId="995" xr:uid="{00000000-0005-0000-0000-000052030000}"/>
    <cellStyle name="Обычный 9 2 7" xfId="653" xr:uid="{00000000-0005-0000-0000-000053030000}"/>
    <cellStyle name="Обычный 9 3" xfId="136" xr:uid="{00000000-0005-0000-0000-000054030000}"/>
    <cellStyle name="Обычный 9 3 2" xfId="241" xr:uid="{00000000-0005-0000-0000-000055030000}"/>
    <cellStyle name="Обычный 9 3 2 2" xfId="413" xr:uid="{00000000-0005-0000-0000-000056030000}"/>
    <cellStyle name="Обычный 9 3 2 2 2" xfId="934" xr:uid="{00000000-0005-0000-0000-000057030000}"/>
    <cellStyle name="Обычный 9 3 2 3" xfId="584" xr:uid="{00000000-0005-0000-0000-000058030000}"/>
    <cellStyle name="Обычный 9 3 2 3 2" xfId="1105" xr:uid="{00000000-0005-0000-0000-000059030000}"/>
    <cellStyle name="Обычный 9 3 2 4" xfId="763" xr:uid="{00000000-0005-0000-0000-00005A030000}"/>
    <cellStyle name="Обычный 9 3 3" xfId="242" xr:uid="{00000000-0005-0000-0000-00005B030000}"/>
    <cellStyle name="Обычный 9 3 3 2" xfId="414" xr:uid="{00000000-0005-0000-0000-00005C030000}"/>
    <cellStyle name="Обычный 9 3 3 2 2" xfId="935" xr:uid="{00000000-0005-0000-0000-00005D030000}"/>
    <cellStyle name="Обычный 9 3 3 3" xfId="585" xr:uid="{00000000-0005-0000-0000-00005E030000}"/>
    <cellStyle name="Обычный 9 3 3 3 2" xfId="1106" xr:uid="{00000000-0005-0000-0000-00005F030000}"/>
    <cellStyle name="Обычный 9 3 3 4" xfId="764" xr:uid="{00000000-0005-0000-0000-000060030000}"/>
    <cellStyle name="Обычный 9 3 4" xfId="243" xr:uid="{00000000-0005-0000-0000-000061030000}"/>
    <cellStyle name="Обычный 9 3 4 2" xfId="415" xr:uid="{00000000-0005-0000-0000-000062030000}"/>
    <cellStyle name="Обычный 9 3 4 2 2" xfId="936" xr:uid="{00000000-0005-0000-0000-000063030000}"/>
    <cellStyle name="Обычный 9 3 4 3" xfId="586" xr:uid="{00000000-0005-0000-0000-000064030000}"/>
    <cellStyle name="Обычный 9 3 4 3 2" xfId="1107" xr:uid="{00000000-0005-0000-0000-000065030000}"/>
    <cellStyle name="Обычный 9 3 4 4" xfId="765" xr:uid="{00000000-0005-0000-0000-000066030000}"/>
    <cellStyle name="Обычный 9 3 5" xfId="308" xr:uid="{00000000-0005-0000-0000-000067030000}"/>
    <cellStyle name="Обычный 9 3 5 2" xfId="829" xr:uid="{00000000-0005-0000-0000-000068030000}"/>
    <cellStyle name="Обычный 9 3 6" xfId="479" xr:uid="{00000000-0005-0000-0000-000069030000}"/>
    <cellStyle name="Обычный 9 3 6 2" xfId="1000" xr:uid="{00000000-0005-0000-0000-00006A030000}"/>
    <cellStyle name="Обычный 9 3 7" xfId="658" xr:uid="{00000000-0005-0000-0000-00006B030000}"/>
    <cellStyle name="Обычный 9 4" xfId="244" xr:uid="{00000000-0005-0000-0000-00006C030000}"/>
    <cellStyle name="Обычный 9 4 2" xfId="416" xr:uid="{00000000-0005-0000-0000-00006D030000}"/>
    <cellStyle name="Обычный 9 4 2 2" xfId="937" xr:uid="{00000000-0005-0000-0000-00006E030000}"/>
    <cellStyle name="Обычный 9 4 3" xfId="587" xr:uid="{00000000-0005-0000-0000-00006F030000}"/>
    <cellStyle name="Обычный 9 4 3 2" xfId="1108" xr:uid="{00000000-0005-0000-0000-000070030000}"/>
    <cellStyle name="Обычный 9 4 4" xfId="766" xr:uid="{00000000-0005-0000-0000-000071030000}"/>
    <cellStyle name="Обычный 9 5" xfId="245" xr:uid="{00000000-0005-0000-0000-000072030000}"/>
    <cellStyle name="Обычный 9 5 2" xfId="417" xr:uid="{00000000-0005-0000-0000-000073030000}"/>
    <cellStyle name="Обычный 9 5 2 2" xfId="938" xr:uid="{00000000-0005-0000-0000-000074030000}"/>
    <cellStyle name="Обычный 9 5 3" xfId="588" xr:uid="{00000000-0005-0000-0000-000075030000}"/>
    <cellStyle name="Обычный 9 5 3 2" xfId="1109" xr:uid="{00000000-0005-0000-0000-000076030000}"/>
    <cellStyle name="Обычный 9 5 4" xfId="767" xr:uid="{00000000-0005-0000-0000-000077030000}"/>
    <cellStyle name="Обычный 9 6" xfId="286" xr:uid="{00000000-0005-0000-0000-000078030000}"/>
    <cellStyle name="Обычный 9 6 2" xfId="807" xr:uid="{00000000-0005-0000-0000-000079030000}"/>
    <cellStyle name="Обычный 9 7" xfId="457" xr:uid="{00000000-0005-0000-0000-00007A030000}"/>
    <cellStyle name="Обычный 9 7 2" xfId="978" xr:uid="{00000000-0005-0000-0000-00007B030000}"/>
    <cellStyle name="Обычный 9 8" xfId="636" xr:uid="{00000000-0005-0000-0000-00007C030000}"/>
    <cellStyle name="Плохой" xfId="38" builtinId="27" customBuiltin="1"/>
    <cellStyle name="Плохой 2" xfId="95" xr:uid="{00000000-0005-0000-0000-00007E030000}"/>
    <cellStyle name="Пояснение" xfId="39" builtinId="53" customBuiltin="1"/>
    <cellStyle name="Пояснение 2" xfId="96" xr:uid="{00000000-0005-0000-0000-000080030000}"/>
    <cellStyle name="Примечание" xfId="40" builtinId="10" customBuiltin="1"/>
    <cellStyle name="Примечание 2" xfId="97" xr:uid="{00000000-0005-0000-0000-000082030000}"/>
    <cellStyle name="Процентный 2" xfId="103" xr:uid="{00000000-0005-0000-0000-000083030000}"/>
    <cellStyle name="Процентный 3" xfId="104" xr:uid="{00000000-0005-0000-0000-000084030000}"/>
    <cellStyle name="Связанная ячейка" xfId="41" builtinId="24" customBuiltin="1"/>
    <cellStyle name="Связанная ячейка 2" xfId="98" xr:uid="{00000000-0005-0000-0000-000086030000}"/>
    <cellStyle name="Стиль 1" xfId="105" xr:uid="{00000000-0005-0000-0000-000087030000}"/>
    <cellStyle name="Текст предупреждения" xfId="42" builtinId="11" customBuiltin="1"/>
    <cellStyle name="Текст предупреждения 2" xfId="99" xr:uid="{00000000-0005-0000-0000-000089030000}"/>
    <cellStyle name="Финансовый" xfId="621" builtinId="3"/>
    <cellStyle name="Финансовый 2" xfId="49" xr:uid="{00000000-0005-0000-0000-00008B030000}"/>
    <cellStyle name="Финансовый 2 10" xfId="451" xr:uid="{00000000-0005-0000-0000-00008C030000}"/>
    <cellStyle name="Финансовый 2 10 2" xfId="972" xr:uid="{00000000-0005-0000-0000-00008D030000}"/>
    <cellStyle name="Финансовый 2 11" xfId="623" xr:uid="{00000000-0005-0000-0000-00008E030000}"/>
    <cellStyle name="Финансовый 2 2" xfId="125" xr:uid="{00000000-0005-0000-0000-00008F030000}"/>
    <cellStyle name="Финансовый 2 2 2" xfId="246" xr:uid="{00000000-0005-0000-0000-000090030000}"/>
    <cellStyle name="Финансовый 2 2 2 2" xfId="247" xr:uid="{00000000-0005-0000-0000-000091030000}"/>
    <cellStyle name="Финансовый 2 2 2 2 2" xfId="50" xr:uid="{00000000-0005-0000-0000-000092030000}"/>
    <cellStyle name="Финансовый 2 2 2 2 3" xfId="419" xr:uid="{00000000-0005-0000-0000-000093030000}"/>
    <cellStyle name="Финансовый 2 2 2 2 3 2" xfId="940" xr:uid="{00000000-0005-0000-0000-000094030000}"/>
    <cellStyle name="Финансовый 2 2 2 2 4" xfId="590" xr:uid="{00000000-0005-0000-0000-000095030000}"/>
    <cellStyle name="Финансовый 2 2 2 2 4 2" xfId="1111" xr:uid="{00000000-0005-0000-0000-000096030000}"/>
    <cellStyle name="Финансовый 2 2 2 2 5" xfId="769" xr:uid="{00000000-0005-0000-0000-000097030000}"/>
    <cellStyle name="Финансовый 2 2 2 3" xfId="248" xr:uid="{00000000-0005-0000-0000-000098030000}"/>
    <cellStyle name="Финансовый 2 2 2 3 2" xfId="420" xr:uid="{00000000-0005-0000-0000-000099030000}"/>
    <cellStyle name="Финансовый 2 2 2 3 2 2" xfId="941" xr:uid="{00000000-0005-0000-0000-00009A030000}"/>
    <cellStyle name="Финансовый 2 2 2 3 3" xfId="591" xr:uid="{00000000-0005-0000-0000-00009B030000}"/>
    <cellStyle name="Финансовый 2 2 2 3 3 2" xfId="1112" xr:uid="{00000000-0005-0000-0000-00009C030000}"/>
    <cellStyle name="Финансовый 2 2 2 3 4" xfId="770" xr:uid="{00000000-0005-0000-0000-00009D030000}"/>
    <cellStyle name="Финансовый 2 2 2 4" xfId="418" xr:uid="{00000000-0005-0000-0000-00009E030000}"/>
    <cellStyle name="Финансовый 2 2 2 4 2" xfId="939" xr:uid="{00000000-0005-0000-0000-00009F030000}"/>
    <cellStyle name="Финансовый 2 2 2 5" xfId="589" xr:uid="{00000000-0005-0000-0000-0000A0030000}"/>
    <cellStyle name="Финансовый 2 2 2 5 2" xfId="1110" xr:uid="{00000000-0005-0000-0000-0000A1030000}"/>
    <cellStyle name="Финансовый 2 2 2 6" xfId="768" xr:uid="{00000000-0005-0000-0000-0000A2030000}"/>
    <cellStyle name="Финансовый 2 2 3" xfId="249" xr:uid="{00000000-0005-0000-0000-0000A3030000}"/>
    <cellStyle name="Финансовый 2 2 3 2" xfId="421" xr:uid="{00000000-0005-0000-0000-0000A4030000}"/>
    <cellStyle name="Финансовый 2 2 3 2 2" xfId="942" xr:uid="{00000000-0005-0000-0000-0000A5030000}"/>
    <cellStyle name="Финансовый 2 2 3 3" xfId="592" xr:uid="{00000000-0005-0000-0000-0000A6030000}"/>
    <cellStyle name="Финансовый 2 2 3 3 2" xfId="1113" xr:uid="{00000000-0005-0000-0000-0000A7030000}"/>
    <cellStyle name="Финансовый 2 2 3 4" xfId="771" xr:uid="{00000000-0005-0000-0000-0000A8030000}"/>
    <cellStyle name="Финансовый 2 2 4" xfId="250" xr:uid="{00000000-0005-0000-0000-0000A9030000}"/>
    <cellStyle name="Финансовый 2 2 4 2" xfId="422" xr:uid="{00000000-0005-0000-0000-0000AA030000}"/>
    <cellStyle name="Финансовый 2 2 4 2 2" xfId="943" xr:uid="{00000000-0005-0000-0000-0000AB030000}"/>
    <cellStyle name="Финансовый 2 2 4 3" xfId="593" xr:uid="{00000000-0005-0000-0000-0000AC030000}"/>
    <cellStyle name="Финансовый 2 2 4 3 2" xfId="1114" xr:uid="{00000000-0005-0000-0000-0000AD030000}"/>
    <cellStyle name="Финансовый 2 2 4 4" xfId="772" xr:uid="{00000000-0005-0000-0000-0000AE030000}"/>
    <cellStyle name="Финансовый 2 2 5" xfId="297" xr:uid="{00000000-0005-0000-0000-0000AF030000}"/>
    <cellStyle name="Финансовый 2 2 5 2" xfId="818" xr:uid="{00000000-0005-0000-0000-0000B0030000}"/>
    <cellStyle name="Финансовый 2 2 6" xfId="468" xr:uid="{00000000-0005-0000-0000-0000B1030000}"/>
    <cellStyle name="Финансовый 2 2 6 2" xfId="989" xr:uid="{00000000-0005-0000-0000-0000B2030000}"/>
    <cellStyle name="Финансовый 2 2 7" xfId="647" xr:uid="{00000000-0005-0000-0000-0000B3030000}"/>
    <cellStyle name="Финансовый 2 3" xfId="118" xr:uid="{00000000-0005-0000-0000-0000B4030000}"/>
    <cellStyle name="Финансовый 2 3 2" xfId="251" xr:uid="{00000000-0005-0000-0000-0000B5030000}"/>
    <cellStyle name="Финансовый 2 3 2 2" xfId="252" xr:uid="{00000000-0005-0000-0000-0000B6030000}"/>
    <cellStyle name="Финансовый 2 3 2 2 2" xfId="424" xr:uid="{00000000-0005-0000-0000-0000B7030000}"/>
    <cellStyle name="Финансовый 2 3 2 2 2 2" xfId="945" xr:uid="{00000000-0005-0000-0000-0000B8030000}"/>
    <cellStyle name="Финансовый 2 3 2 2 3" xfId="595" xr:uid="{00000000-0005-0000-0000-0000B9030000}"/>
    <cellStyle name="Финансовый 2 3 2 2 3 2" xfId="1116" xr:uid="{00000000-0005-0000-0000-0000BA030000}"/>
    <cellStyle name="Финансовый 2 3 2 2 4" xfId="774" xr:uid="{00000000-0005-0000-0000-0000BB030000}"/>
    <cellStyle name="Финансовый 2 3 2 3" xfId="253" xr:uid="{00000000-0005-0000-0000-0000BC030000}"/>
    <cellStyle name="Финансовый 2 3 2 3 2" xfId="425" xr:uid="{00000000-0005-0000-0000-0000BD030000}"/>
    <cellStyle name="Финансовый 2 3 2 3 2 2" xfId="946" xr:uid="{00000000-0005-0000-0000-0000BE030000}"/>
    <cellStyle name="Финансовый 2 3 2 3 3" xfId="596" xr:uid="{00000000-0005-0000-0000-0000BF030000}"/>
    <cellStyle name="Финансовый 2 3 2 3 3 2" xfId="1117" xr:uid="{00000000-0005-0000-0000-0000C0030000}"/>
    <cellStyle name="Финансовый 2 3 2 3 4" xfId="775" xr:uid="{00000000-0005-0000-0000-0000C1030000}"/>
    <cellStyle name="Финансовый 2 3 2 4" xfId="423" xr:uid="{00000000-0005-0000-0000-0000C2030000}"/>
    <cellStyle name="Финансовый 2 3 2 4 2" xfId="944" xr:uid="{00000000-0005-0000-0000-0000C3030000}"/>
    <cellStyle name="Финансовый 2 3 2 5" xfId="594" xr:uid="{00000000-0005-0000-0000-0000C4030000}"/>
    <cellStyle name="Финансовый 2 3 2 5 2" xfId="1115" xr:uid="{00000000-0005-0000-0000-0000C5030000}"/>
    <cellStyle name="Финансовый 2 3 2 6" xfId="773" xr:uid="{00000000-0005-0000-0000-0000C6030000}"/>
    <cellStyle name="Финансовый 2 3 3" xfId="254" xr:uid="{00000000-0005-0000-0000-0000C7030000}"/>
    <cellStyle name="Финансовый 2 3 3 2" xfId="426" xr:uid="{00000000-0005-0000-0000-0000C8030000}"/>
    <cellStyle name="Финансовый 2 3 3 2 2" xfId="947" xr:uid="{00000000-0005-0000-0000-0000C9030000}"/>
    <cellStyle name="Финансовый 2 3 3 3" xfId="597" xr:uid="{00000000-0005-0000-0000-0000CA030000}"/>
    <cellStyle name="Финансовый 2 3 3 3 2" xfId="1118" xr:uid="{00000000-0005-0000-0000-0000CB030000}"/>
    <cellStyle name="Финансовый 2 3 3 4" xfId="776" xr:uid="{00000000-0005-0000-0000-0000CC030000}"/>
    <cellStyle name="Финансовый 2 3 4" xfId="255" xr:uid="{00000000-0005-0000-0000-0000CD030000}"/>
    <cellStyle name="Финансовый 2 3 4 2" xfId="427" xr:uid="{00000000-0005-0000-0000-0000CE030000}"/>
    <cellStyle name="Финансовый 2 3 4 2 2" xfId="948" xr:uid="{00000000-0005-0000-0000-0000CF030000}"/>
    <cellStyle name="Финансовый 2 3 4 3" xfId="598" xr:uid="{00000000-0005-0000-0000-0000D0030000}"/>
    <cellStyle name="Финансовый 2 3 4 3 2" xfId="1119" xr:uid="{00000000-0005-0000-0000-0000D1030000}"/>
    <cellStyle name="Финансовый 2 3 4 4" xfId="777" xr:uid="{00000000-0005-0000-0000-0000D2030000}"/>
    <cellStyle name="Финансовый 2 3 5" xfId="290" xr:uid="{00000000-0005-0000-0000-0000D3030000}"/>
    <cellStyle name="Финансовый 2 3 5 2" xfId="811" xr:uid="{00000000-0005-0000-0000-0000D4030000}"/>
    <cellStyle name="Финансовый 2 3 6" xfId="461" xr:uid="{00000000-0005-0000-0000-0000D5030000}"/>
    <cellStyle name="Финансовый 2 3 6 2" xfId="982" xr:uid="{00000000-0005-0000-0000-0000D6030000}"/>
    <cellStyle name="Финансовый 2 3 7" xfId="640" xr:uid="{00000000-0005-0000-0000-0000D7030000}"/>
    <cellStyle name="Финансовый 2 4" xfId="256" xr:uid="{00000000-0005-0000-0000-0000D8030000}"/>
    <cellStyle name="Финансовый 2 4 2" xfId="257" xr:uid="{00000000-0005-0000-0000-0000D9030000}"/>
    <cellStyle name="Финансовый 2 4 2 2" xfId="429" xr:uid="{00000000-0005-0000-0000-0000DA030000}"/>
    <cellStyle name="Финансовый 2 4 2 2 2" xfId="950" xr:uid="{00000000-0005-0000-0000-0000DB030000}"/>
    <cellStyle name="Финансовый 2 4 2 3" xfId="600" xr:uid="{00000000-0005-0000-0000-0000DC030000}"/>
    <cellStyle name="Финансовый 2 4 2 3 2" xfId="1121" xr:uid="{00000000-0005-0000-0000-0000DD030000}"/>
    <cellStyle name="Финансовый 2 4 2 4" xfId="779" xr:uid="{00000000-0005-0000-0000-0000DE030000}"/>
    <cellStyle name="Финансовый 2 4 3" xfId="258" xr:uid="{00000000-0005-0000-0000-0000DF030000}"/>
    <cellStyle name="Финансовый 2 4 3 2" xfId="430" xr:uid="{00000000-0005-0000-0000-0000E0030000}"/>
    <cellStyle name="Финансовый 2 4 3 2 2" xfId="951" xr:uid="{00000000-0005-0000-0000-0000E1030000}"/>
    <cellStyle name="Финансовый 2 4 3 3" xfId="601" xr:uid="{00000000-0005-0000-0000-0000E2030000}"/>
    <cellStyle name="Финансовый 2 4 3 3 2" xfId="1122" xr:uid="{00000000-0005-0000-0000-0000E3030000}"/>
    <cellStyle name="Финансовый 2 4 3 4" xfId="780" xr:uid="{00000000-0005-0000-0000-0000E4030000}"/>
    <cellStyle name="Финансовый 2 4 4" xfId="428" xr:uid="{00000000-0005-0000-0000-0000E5030000}"/>
    <cellStyle name="Финансовый 2 4 4 2" xfId="949" xr:uid="{00000000-0005-0000-0000-0000E6030000}"/>
    <cellStyle name="Финансовый 2 4 5" xfId="599" xr:uid="{00000000-0005-0000-0000-0000E7030000}"/>
    <cellStyle name="Финансовый 2 4 5 2" xfId="1120" xr:uid="{00000000-0005-0000-0000-0000E8030000}"/>
    <cellStyle name="Финансовый 2 4 6" xfId="778" xr:uid="{00000000-0005-0000-0000-0000E9030000}"/>
    <cellStyle name="Финансовый 2 5" xfId="259" xr:uid="{00000000-0005-0000-0000-0000EA030000}"/>
    <cellStyle name="Финансовый 2 5 2" xfId="431" xr:uid="{00000000-0005-0000-0000-0000EB030000}"/>
    <cellStyle name="Финансовый 2 5 2 2" xfId="952" xr:uid="{00000000-0005-0000-0000-0000EC030000}"/>
    <cellStyle name="Финансовый 2 5 3" xfId="602" xr:uid="{00000000-0005-0000-0000-0000ED030000}"/>
    <cellStyle name="Финансовый 2 5 3 2" xfId="1123" xr:uid="{00000000-0005-0000-0000-0000EE030000}"/>
    <cellStyle name="Финансовый 2 5 4" xfId="781" xr:uid="{00000000-0005-0000-0000-0000EF030000}"/>
    <cellStyle name="Финансовый 2 6" xfId="260" xr:uid="{00000000-0005-0000-0000-0000F0030000}"/>
    <cellStyle name="Финансовый 2 6 2" xfId="432" xr:uid="{00000000-0005-0000-0000-0000F1030000}"/>
    <cellStyle name="Финансовый 2 6 2 2" xfId="953" xr:uid="{00000000-0005-0000-0000-0000F2030000}"/>
    <cellStyle name="Финансовый 2 6 3" xfId="603" xr:uid="{00000000-0005-0000-0000-0000F3030000}"/>
    <cellStyle name="Финансовый 2 6 3 2" xfId="1124" xr:uid="{00000000-0005-0000-0000-0000F4030000}"/>
    <cellStyle name="Финансовый 2 6 4" xfId="782" xr:uid="{00000000-0005-0000-0000-0000F5030000}"/>
    <cellStyle name="Финансовый 2 7" xfId="261" xr:uid="{00000000-0005-0000-0000-0000F6030000}"/>
    <cellStyle name="Финансовый 2 7 2" xfId="433" xr:uid="{00000000-0005-0000-0000-0000F7030000}"/>
    <cellStyle name="Финансовый 2 7 2 2" xfId="954" xr:uid="{00000000-0005-0000-0000-0000F8030000}"/>
    <cellStyle name="Финансовый 2 7 3" xfId="604" xr:uid="{00000000-0005-0000-0000-0000F9030000}"/>
    <cellStyle name="Финансовый 2 7 3 2" xfId="1125" xr:uid="{00000000-0005-0000-0000-0000FA030000}"/>
    <cellStyle name="Финансовый 2 7 4" xfId="783" xr:uid="{00000000-0005-0000-0000-0000FB030000}"/>
    <cellStyle name="Финансовый 2 8" xfId="107" xr:uid="{00000000-0005-0000-0000-0000FC030000}"/>
    <cellStyle name="Финансовый 2 8 2" xfId="630" xr:uid="{00000000-0005-0000-0000-0000FD030000}"/>
    <cellStyle name="Финансовый 2 9" xfId="280" xr:uid="{00000000-0005-0000-0000-0000FE030000}"/>
    <cellStyle name="Финансовый 2 9 2" xfId="801" xr:uid="{00000000-0005-0000-0000-0000FF030000}"/>
    <cellStyle name="Финансовый 3" xfId="51" xr:uid="{00000000-0005-0000-0000-000000040000}"/>
    <cellStyle name="Финансовый 3 10" xfId="452" xr:uid="{00000000-0005-0000-0000-000001040000}"/>
    <cellStyle name="Финансовый 3 10 2" xfId="973" xr:uid="{00000000-0005-0000-0000-000002040000}"/>
    <cellStyle name="Финансовый 3 11" xfId="624" xr:uid="{00000000-0005-0000-0000-000003040000}"/>
    <cellStyle name="Финансовый 3 2" xfId="126" xr:uid="{00000000-0005-0000-0000-000004040000}"/>
    <cellStyle name="Финансовый 3 2 2" xfId="262" xr:uid="{00000000-0005-0000-0000-000005040000}"/>
    <cellStyle name="Финансовый 3 2 2 2" xfId="263" xr:uid="{00000000-0005-0000-0000-000006040000}"/>
    <cellStyle name="Финансовый 3 2 2 2 2" xfId="435" xr:uid="{00000000-0005-0000-0000-000007040000}"/>
    <cellStyle name="Финансовый 3 2 2 2 2 2" xfId="956" xr:uid="{00000000-0005-0000-0000-000008040000}"/>
    <cellStyle name="Финансовый 3 2 2 2 3" xfId="606" xr:uid="{00000000-0005-0000-0000-000009040000}"/>
    <cellStyle name="Финансовый 3 2 2 2 3 2" xfId="1127" xr:uid="{00000000-0005-0000-0000-00000A040000}"/>
    <cellStyle name="Финансовый 3 2 2 2 4" xfId="785" xr:uid="{00000000-0005-0000-0000-00000B040000}"/>
    <cellStyle name="Финансовый 3 2 2 3" xfId="264" xr:uid="{00000000-0005-0000-0000-00000C040000}"/>
    <cellStyle name="Финансовый 3 2 2 3 2" xfId="436" xr:uid="{00000000-0005-0000-0000-00000D040000}"/>
    <cellStyle name="Финансовый 3 2 2 3 2 2" xfId="957" xr:uid="{00000000-0005-0000-0000-00000E040000}"/>
    <cellStyle name="Финансовый 3 2 2 3 3" xfId="607" xr:uid="{00000000-0005-0000-0000-00000F040000}"/>
    <cellStyle name="Финансовый 3 2 2 3 3 2" xfId="1128" xr:uid="{00000000-0005-0000-0000-000010040000}"/>
    <cellStyle name="Финансовый 3 2 2 3 4" xfId="786" xr:uid="{00000000-0005-0000-0000-000011040000}"/>
    <cellStyle name="Финансовый 3 2 2 4" xfId="434" xr:uid="{00000000-0005-0000-0000-000012040000}"/>
    <cellStyle name="Финансовый 3 2 2 4 2" xfId="955" xr:uid="{00000000-0005-0000-0000-000013040000}"/>
    <cellStyle name="Финансовый 3 2 2 5" xfId="605" xr:uid="{00000000-0005-0000-0000-000014040000}"/>
    <cellStyle name="Финансовый 3 2 2 5 2" xfId="1126" xr:uid="{00000000-0005-0000-0000-000015040000}"/>
    <cellStyle name="Финансовый 3 2 2 6" xfId="784" xr:uid="{00000000-0005-0000-0000-000016040000}"/>
    <cellStyle name="Финансовый 3 2 3" xfId="265" xr:uid="{00000000-0005-0000-0000-000017040000}"/>
    <cellStyle name="Финансовый 3 2 3 2" xfId="437" xr:uid="{00000000-0005-0000-0000-000018040000}"/>
    <cellStyle name="Финансовый 3 2 3 2 2" xfId="958" xr:uid="{00000000-0005-0000-0000-000019040000}"/>
    <cellStyle name="Финансовый 3 2 3 3" xfId="608" xr:uid="{00000000-0005-0000-0000-00001A040000}"/>
    <cellStyle name="Финансовый 3 2 3 3 2" xfId="1129" xr:uid="{00000000-0005-0000-0000-00001B040000}"/>
    <cellStyle name="Финансовый 3 2 3 4" xfId="787" xr:uid="{00000000-0005-0000-0000-00001C040000}"/>
    <cellStyle name="Финансовый 3 2 4" xfId="266" xr:uid="{00000000-0005-0000-0000-00001D040000}"/>
    <cellStyle name="Финансовый 3 2 4 2" xfId="438" xr:uid="{00000000-0005-0000-0000-00001E040000}"/>
    <cellStyle name="Финансовый 3 2 4 2 2" xfId="959" xr:uid="{00000000-0005-0000-0000-00001F040000}"/>
    <cellStyle name="Финансовый 3 2 4 3" xfId="609" xr:uid="{00000000-0005-0000-0000-000020040000}"/>
    <cellStyle name="Финансовый 3 2 4 3 2" xfId="1130" xr:uid="{00000000-0005-0000-0000-000021040000}"/>
    <cellStyle name="Финансовый 3 2 4 4" xfId="788" xr:uid="{00000000-0005-0000-0000-000022040000}"/>
    <cellStyle name="Финансовый 3 2 5" xfId="298" xr:uid="{00000000-0005-0000-0000-000023040000}"/>
    <cellStyle name="Финансовый 3 2 5 2" xfId="819" xr:uid="{00000000-0005-0000-0000-000024040000}"/>
    <cellStyle name="Финансовый 3 2 6" xfId="469" xr:uid="{00000000-0005-0000-0000-000025040000}"/>
    <cellStyle name="Финансовый 3 2 6 2" xfId="990" xr:uid="{00000000-0005-0000-0000-000026040000}"/>
    <cellStyle name="Финансовый 3 2 7" xfId="648" xr:uid="{00000000-0005-0000-0000-000027040000}"/>
    <cellStyle name="Финансовый 3 3" xfId="119" xr:uid="{00000000-0005-0000-0000-000028040000}"/>
    <cellStyle name="Финансовый 3 3 2" xfId="267" xr:uid="{00000000-0005-0000-0000-000029040000}"/>
    <cellStyle name="Финансовый 3 3 2 2" xfId="268" xr:uid="{00000000-0005-0000-0000-00002A040000}"/>
    <cellStyle name="Финансовый 3 3 2 2 2" xfId="440" xr:uid="{00000000-0005-0000-0000-00002B040000}"/>
    <cellStyle name="Финансовый 3 3 2 2 2 2" xfId="961" xr:uid="{00000000-0005-0000-0000-00002C040000}"/>
    <cellStyle name="Финансовый 3 3 2 2 3" xfId="611" xr:uid="{00000000-0005-0000-0000-00002D040000}"/>
    <cellStyle name="Финансовый 3 3 2 2 3 2" xfId="1132" xr:uid="{00000000-0005-0000-0000-00002E040000}"/>
    <cellStyle name="Финансовый 3 3 2 2 4" xfId="790" xr:uid="{00000000-0005-0000-0000-00002F040000}"/>
    <cellStyle name="Финансовый 3 3 2 3" xfId="269" xr:uid="{00000000-0005-0000-0000-000030040000}"/>
    <cellStyle name="Финансовый 3 3 2 3 2" xfId="441" xr:uid="{00000000-0005-0000-0000-000031040000}"/>
    <cellStyle name="Финансовый 3 3 2 3 2 2" xfId="962" xr:uid="{00000000-0005-0000-0000-000032040000}"/>
    <cellStyle name="Финансовый 3 3 2 3 3" xfId="612" xr:uid="{00000000-0005-0000-0000-000033040000}"/>
    <cellStyle name="Финансовый 3 3 2 3 3 2" xfId="1133" xr:uid="{00000000-0005-0000-0000-000034040000}"/>
    <cellStyle name="Финансовый 3 3 2 3 4" xfId="791" xr:uid="{00000000-0005-0000-0000-000035040000}"/>
    <cellStyle name="Финансовый 3 3 2 4" xfId="439" xr:uid="{00000000-0005-0000-0000-000036040000}"/>
    <cellStyle name="Финансовый 3 3 2 4 2" xfId="960" xr:uid="{00000000-0005-0000-0000-000037040000}"/>
    <cellStyle name="Финансовый 3 3 2 5" xfId="610" xr:uid="{00000000-0005-0000-0000-000038040000}"/>
    <cellStyle name="Финансовый 3 3 2 5 2" xfId="1131" xr:uid="{00000000-0005-0000-0000-000039040000}"/>
    <cellStyle name="Финансовый 3 3 2 6" xfId="789" xr:uid="{00000000-0005-0000-0000-00003A040000}"/>
    <cellStyle name="Финансовый 3 3 3" xfId="270" xr:uid="{00000000-0005-0000-0000-00003B040000}"/>
    <cellStyle name="Финансовый 3 3 3 2" xfId="442" xr:uid="{00000000-0005-0000-0000-00003C040000}"/>
    <cellStyle name="Финансовый 3 3 3 2 2" xfId="963" xr:uid="{00000000-0005-0000-0000-00003D040000}"/>
    <cellStyle name="Финансовый 3 3 3 3" xfId="613" xr:uid="{00000000-0005-0000-0000-00003E040000}"/>
    <cellStyle name="Финансовый 3 3 3 3 2" xfId="1134" xr:uid="{00000000-0005-0000-0000-00003F040000}"/>
    <cellStyle name="Финансовый 3 3 3 4" xfId="792" xr:uid="{00000000-0005-0000-0000-000040040000}"/>
    <cellStyle name="Финансовый 3 3 4" xfId="271" xr:uid="{00000000-0005-0000-0000-000041040000}"/>
    <cellStyle name="Финансовый 3 3 4 2" xfId="443" xr:uid="{00000000-0005-0000-0000-000042040000}"/>
    <cellStyle name="Финансовый 3 3 4 2 2" xfId="964" xr:uid="{00000000-0005-0000-0000-000043040000}"/>
    <cellStyle name="Финансовый 3 3 4 3" xfId="614" xr:uid="{00000000-0005-0000-0000-000044040000}"/>
    <cellStyle name="Финансовый 3 3 4 3 2" xfId="1135" xr:uid="{00000000-0005-0000-0000-000045040000}"/>
    <cellStyle name="Финансовый 3 3 4 4" xfId="793" xr:uid="{00000000-0005-0000-0000-000046040000}"/>
    <cellStyle name="Финансовый 3 3 5" xfId="291" xr:uid="{00000000-0005-0000-0000-000047040000}"/>
    <cellStyle name="Финансовый 3 3 5 2" xfId="812" xr:uid="{00000000-0005-0000-0000-000048040000}"/>
    <cellStyle name="Финансовый 3 3 6" xfId="462" xr:uid="{00000000-0005-0000-0000-000049040000}"/>
    <cellStyle name="Финансовый 3 3 6 2" xfId="983" xr:uid="{00000000-0005-0000-0000-00004A040000}"/>
    <cellStyle name="Финансовый 3 3 7" xfId="641" xr:uid="{00000000-0005-0000-0000-00004B040000}"/>
    <cellStyle name="Финансовый 3 4" xfId="272" xr:uid="{00000000-0005-0000-0000-00004C040000}"/>
    <cellStyle name="Финансовый 3 4 2" xfId="273" xr:uid="{00000000-0005-0000-0000-00004D040000}"/>
    <cellStyle name="Финансовый 3 4 2 2" xfId="445" xr:uid="{00000000-0005-0000-0000-00004E040000}"/>
    <cellStyle name="Финансовый 3 4 2 2 2" xfId="966" xr:uid="{00000000-0005-0000-0000-00004F040000}"/>
    <cellStyle name="Финансовый 3 4 2 3" xfId="616" xr:uid="{00000000-0005-0000-0000-000050040000}"/>
    <cellStyle name="Финансовый 3 4 2 3 2" xfId="1137" xr:uid="{00000000-0005-0000-0000-000051040000}"/>
    <cellStyle name="Финансовый 3 4 2 4" xfId="795" xr:uid="{00000000-0005-0000-0000-000052040000}"/>
    <cellStyle name="Финансовый 3 4 3" xfId="274" xr:uid="{00000000-0005-0000-0000-000053040000}"/>
    <cellStyle name="Финансовый 3 4 3 2" xfId="446" xr:uid="{00000000-0005-0000-0000-000054040000}"/>
    <cellStyle name="Финансовый 3 4 3 2 2" xfId="967" xr:uid="{00000000-0005-0000-0000-000055040000}"/>
    <cellStyle name="Финансовый 3 4 3 3" xfId="617" xr:uid="{00000000-0005-0000-0000-000056040000}"/>
    <cellStyle name="Финансовый 3 4 3 3 2" xfId="1138" xr:uid="{00000000-0005-0000-0000-000057040000}"/>
    <cellStyle name="Финансовый 3 4 3 4" xfId="796" xr:uid="{00000000-0005-0000-0000-000058040000}"/>
    <cellStyle name="Финансовый 3 4 4" xfId="444" xr:uid="{00000000-0005-0000-0000-000059040000}"/>
    <cellStyle name="Финансовый 3 4 4 2" xfId="965" xr:uid="{00000000-0005-0000-0000-00005A040000}"/>
    <cellStyle name="Финансовый 3 4 5" xfId="615" xr:uid="{00000000-0005-0000-0000-00005B040000}"/>
    <cellStyle name="Финансовый 3 4 5 2" xfId="1136" xr:uid="{00000000-0005-0000-0000-00005C040000}"/>
    <cellStyle name="Финансовый 3 4 6" xfId="794" xr:uid="{00000000-0005-0000-0000-00005D040000}"/>
    <cellStyle name="Финансовый 3 5" xfId="275" xr:uid="{00000000-0005-0000-0000-00005E040000}"/>
    <cellStyle name="Финансовый 3 5 2" xfId="447" xr:uid="{00000000-0005-0000-0000-00005F040000}"/>
    <cellStyle name="Финансовый 3 5 2 2" xfId="968" xr:uid="{00000000-0005-0000-0000-000060040000}"/>
    <cellStyle name="Финансовый 3 5 3" xfId="618" xr:uid="{00000000-0005-0000-0000-000061040000}"/>
    <cellStyle name="Финансовый 3 5 3 2" xfId="1139" xr:uid="{00000000-0005-0000-0000-000062040000}"/>
    <cellStyle name="Финансовый 3 5 4" xfId="797" xr:uid="{00000000-0005-0000-0000-000063040000}"/>
    <cellStyle name="Финансовый 3 6" xfId="276" xr:uid="{00000000-0005-0000-0000-000064040000}"/>
    <cellStyle name="Финансовый 3 6 2" xfId="448" xr:uid="{00000000-0005-0000-0000-000065040000}"/>
    <cellStyle name="Финансовый 3 6 2 2" xfId="969" xr:uid="{00000000-0005-0000-0000-000066040000}"/>
    <cellStyle name="Финансовый 3 6 3" xfId="619" xr:uid="{00000000-0005-0000-0000-000067040000}"/>
    <cellStyle name="Финансовый 3 6 3 2" xfId="1140" xr:uid="{00000000-0005-0000-0000-000068040000}"/>
    <cellStyle name="Финансовый 3 6 4" xfId="798" xr:uid="{00000000-0005-0000-0000-000069040000}"/>
    <cellStyle name="Финансовый 3 7" xfId="277" xr:uid="{00000000-0005-0000-0000-00006A040000}"/>
    <cellStyle name="Финансовый 3 7 2" xfId="449" xr:uid="{00000000-0005-0000-0000-00006B040000}"/>
    <cellStyle name="Финансовый 3 7 2 2" xfId="970" xr:uid="{00000000-0005-0000-0000-00006C040000}"/>
    <cellStyle name="Финансовый 3 7 3" xfId="620" xr:uid="{00000000-0005-0000-0000-00006D040000}"/>
    <cellStyle name="Финансовый 3 7 3 2" xfId="1141" xr:uid="{00000000-0005-0000-0000-00006E040000}"/>
    <cellStyle name="Финансовый 3 7 4" xfId="799" xr:uid="{00000000-0005-0000-0000-00006F040000}"/>
    <cellStyle name="Финансовый 3 8" xfId="108" xr:uid="{00000000-0005-0000-0000-000070040000}"/>
    <cellStyle name="Финансовый 3 8 2" xfId="631" xr:uid="{00000000-0005-0000-0000-000071040000}"/>
    <cellStyle name="Финансовый 3 9" xfId="281" xr:uid="{00000000-0005-0000-0000-000072040000}"/>
    <cellStyle name="Финансовый 3 9 2" xfId="802" xr:uid="{00000000-0005-0000-0000-000073040000}"/>
    <cellStyle name="Финансовый 4" xfId="1142" xr:uid="{00000000-0005-0000-0000-000074040000}"/>
    <cellStyle name="Хороший" xfId="43" builtinId="26" customBuiltin="1"/>
    <cellStyle name="Хороший 2" xfId="100" xr:uid="{00000000-0005-0000-0000-000076040000}"/>
  </cellStyles>
  <dxfs count="1">
    <dxf>
      <font>
        <color auto="1"/>
      </font>
      <fill>
        <patternFill>
          <bgColor theme="0" tint="-4.9958800012207406E-2"/>
        </patternFill>
      </fill>
    </dxf>
  </dxfs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57"/>
  <sheetViews>
    <sheetView tabSelected="1" view="pageBreakPreview" zoomScaleNormal="70" zoomScaleSheetLayoutView="100" workbookViewId="0">
      <selection activeCell="E352" sqref="E352"/>
    </sheetView>
  </sheetViews>
  <sheetFormatPr defaultColWidth="9" defaultRowHeight="15.75" x14ac:dyDescent="0.25"/>
  <cols>
    <col min="1" max="1" width="13.25" style="24" customWidth="1"/>
    <col min="2" max="2" width="73.875" style="25" customWidth="1"/>
    <col min="3" max="3" width="11.75" style="7" customWidth="1"/>
    <col min="4" max="5" width="16.25" style="105" customWidth="1"/>
    <col min="6" max="6" width="16.25" style="28" customWidth="1"/>
    <col min="7" max="8" width="16.25" style="26" customWidth="1"/>
    <col min="9" max="9" width="14.75" style="1" bestFit="1" customWidth="1"/>
    <col min="10" max="10" width="16.75" style="1" customWidth="1"/>
    <col min="11" max="16384" width="9" style="1"/>
  </cols>
  <sheetData>
    <row r="1" spans="1:20" ht="15.75" customHeight="1" x14ac:dyDescent="0.25">
      <c r="C1" s="99"/>
      <c r="F1" s="26"/>
      <c r="G1" s="100" t="s">
        <v>688</v>
      </c>
      <c r="H1" s="100"/>
    </row>
    <row r="2" spans="1:20" ht="18.75" customHeight="1" x14ac:dyDescent="0.25">
      <c r="C2" s="99"/>
      <c r="F2" s="26"/>
      <c r="G2" s="100" t="s">
        <v>0</v>
      </c>
      <c r="H2" s="100"/>
    </row>
    <row r="3" spans="1:20" ht="18.75" customHeight="1" x14ac:dyDescent="0.25">
      <c r="C3" s="99"/>
      <c r="F3" s="26"/>
      <c r="G3" s="27" t="s">
        <v>689</v>
      </c>
      <c r="H3" s="27"/>
    </row>
    <row r="4" spans="1:20" ht="18.75" customHeight="1" x14ac:dyDescent="0.25">
      <c r="C4" s="99"/>
      <c r="F4" s="99"/>
      <c r="H4" s="100"/>
    </row>
    <row r="5" spans="1:20" x14ac:dyDescent="0.25">
      <c r="C5" s="99"/>
      <c r="F5" s="99"/>
      <c r="H5" s="100"/>
    </row>
    <row r="6" spans="1:20" x14ac:dyDescent="0.25">
      <c r="A6" s="139" t="s">
        <v>700</v>
      </c>
      <c r="B6" s="139"/>
      <c r="C6" s="139"/>
      <c r="D6" s="139"/>
      <c r="E6" s="139"/>
      <c r="F6" s="139"/>
      <c r="G6" s="139"/>
      <c r="H6" s="139"/>
    </row>
    <row r="7" spans="1:20" ht="41.25" customHeight="1" x14ac:dyDescent="0.25">
      <c r="A7" s="136"/>
      <c r="B7" s="136"/>
      <c r="C7" s="136"/>
      <c r="D7" s="136"/>
      <c r="E7" s="136"/>
      <c r="F7" s="136"/>
      <c r="G7" s="136"/>
      <c r="H7" s="136"/>
    </row>
    <row r="8" spans="1:20" x14ac:dyDescent="0.25">
      <c r="C8" s="99"/>
      <c r="F8" s="99"/>
    </row>
    <row r="9" spans="1:20" x14ac:dyDescent="0.25">
      <c r="A9" s="144" t="s">
        <v>693</v>
      </c>
      <c r="B9" s="144"/>
      <c r="C9" s="144"/>
      <c r="D9" s="144"/>
      <c r="E9" s="144"/>
      <c r="F9" s="144"/>
      <c r="G9" s="144"/>
      <c r="H9" s="144"/>
    </row>
    <row r="10" spans="1:20" x14ac:dyDescent="0.25">
      <c r="A10" s="146" t="s">
        <v>31</v>
      </c>
      <c r="B10" s="146"/>
      <c r="C10" s="146"/>
      <c r="D10" s="146"/>
      <c r="E10" s="146"/>
      <c r="F10" s="146"/>
      <c r="G10" s="146"/>
      <c r="H10" s="146"/>
    </row>
    <row r="11" spans="1:20" ht="15.75" customHeight="1" x14ac:dyDescent="0.25">
      <c r="A11" s="144" t="s">
        <v>692</v>
      </c>
      <c r="B11" s="144"/>
      <c r="C11" s="144"/>
      <c r="D11" s="144"/>
      <c r="E11" s="144"/>
      <c r="F11" s="144"/>
      <c r="G11" s="144"/>
      <c r="H11" s="144"/>
    </row>
    <row r="12" spans="1:20" x14ac:dyDescent="0.25">
      <c r="A12" s="144" t="s">
        <v>696</v>
      </c>
      <c r="B12" s="144"/>
      <c r="C12" s="144"/>
      <c r="D12" s="144"/>
      <c r="E12" s="144"/>
      <c r="F12" s="144"/>
      <c r="G12" s="144"/>
      <c r="H12" s="144"/>
    </row>
    <row r="13" spans="1:20" ht="25.5" customHeight="1" x14ac:dyDescent="0.25">
      <c r="A13" s="145" t="s">
        <v>698</v>
      </c>
      <c r="B13" s="145"/>
      <c r="C13" s="145"/>
      <c r="D13" s="145"/>
      <c r="E13" s="145"/>
      <c r="F13" s="145"/>
      <c r="G13" s="145"/>
      <c r="H13" s="14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</row>
    <row r="14" spans="1:20" x14ac:dyDescent="0.25">
      <c r="A14" s="103" t="s">
        <v>695</v>
      </c>
      <c r="B14" s="103"/>
      <c r="C14" s="103"/>
      <c r="D14" s="103"/>
      <c r="E14" s="103"/>
      <c r="F14" s="103"/>
      <c r="G14" s="103"/>
      <c r="H14" s="103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</row>
    <row r="15" spans="1:20" x14ac:dyDescent="0.25">
      <c r="B15" s="29"/>
      <c r="C15" s="99"/>
      <c r="F15" s="99"/>
    </row>
    <row r="16" spans="1:20" ht="16.5" thickBot="1" x14ac:dyDescent="0.3">
      <c r="A16" s="139" t="s">
        <v>104</v>
      </c>
      <c r="B16" s="139"/>
      <c r="C16" s="139"/>
      <c r="D16" s="139"/>
      <c r="E16" s="139"/>
      <c r="F16" s="139"/>
      <c r="G16" s="139"/>
      <c r="H16" s="139"/>
    </row>
    <row r="17" spans="1:8" s="3" customFormat="1" ht="66" customHeight="1" x14ac:dyDescent="0.25">
      <c r="A17" s="123" t="s">
        <v>32</v>
      </c>
      <c r="B17" s="125" t="s">
        <v>33</v>
      </c>
      <c r="C17" s="127" t="s">
        <v>105</v>
      </c>
      <c r="D17" s="140" t="s">
        <v>697</v>
      </c>
      <c r="E17" s="129"/>
      <c r="F17" s="141" t="s">
        <v>687</v>
      </c>
      <c r="G17" s="129"/>
      <c r="H17" s="142" t="s">
        <v>2</v>
      </c>
    </row>
    <row r="18" spans="1:8" s="3" customFormat="1" ht="48" customHeight="1" x14ac:dyDescent="0.25">
      <c r="A18" s="124"/>
      <c r="B18" s="126"/>
      <c r="C18" s="128"/>
      <c r="D18" s="13" t="s">
        <v>685</v>
      </c>
      <c r="E18" s="14" t="s">
        <v>4</v>
      </c>
      <c r="F18" s="14" t="s">
        <v>686</v>
      </c>
      <c r="G18" s="13" t="s">
        <v>684</v>
      </c>
      <c r="H18" s="143"/>
    </row>
    <row r="19" spans="1:8" s="2" customFormat="1" ht="16.5" thickBot="1" x14ac:dyDescent="0.3">
      <c r="A19" s="9">
        <v>1</v>
      </c>
      <c r="B19" s="30">
        <v>2</v>
      </c>
      <c r="C19" s="31">
        <v>3</v>
      </c>
      <c r="D19" s="8">
        <v>4</v>
      </c>
      <c r="E19" s="9">
        <v>5</v>
      </c>
      <c r="F19" s="9" t="s">
        <v>683</v>
      </c>
      <c r="G19" s="30">
        <v>7</v>
      </c>
      <c r="H19" s="30">
        <v>8</v>
      </c>
    </row>
    <row r="20" spans="1:8" s="2" customFormat="1" ht="16.5" thickBot="1" x14ac:dyDescent="0.3">
      <c r="A20" s="130" t="s">
        <v>106</v>
      </c>
      <c r="B20" s="131"/>
      <c r="C20" s="131"/>
      <c r="D20" s="131"/>
      <c r="E20" s="131"/>
      <c r="F20" s="131"/>
      <c r="G20" s="131"/>
      <c r="H20" s="132"/>
    </row>
    <row r="21" spans="1:8" s="2" customFormat="1" x14ac:dyDescent="0.25">
      <c r="A21" s="32" t="s">
        <v>34</v>
      </c>
      <c r="B21" s="33" t="s">
        <v>107</v>
      </c>
      <c r="C21" s="34" t="s">
        <v>690</v>
      </c>
      <c r="D21" s="106">
        <f>D27+D29+D35</f>
        <v>1745.3244575412436</v>
      </c>
      <c r="E21" s="10">
        <f>E27+E29+E35</f>
        <v>1250.1887326295998</v>
      </c>
      <c r="F21" s="35">
        <f>E21-D21</f>
        <v>-495.13572491164382</v>
      </c>
      <c r="G21" s="36">
        <f>F21/D21*100</f>
        <v>-28.369265254506026</v>
      </c>
      <c r="H21" s="37" t="s">
        <v>694</v>
      </c>
    </row>
    <row r="22" spans="1:8" s="2" customFormat="1" ht="36.75" customHeight="1" x14ac:dyDescent="0.25">
      <c r="A22" s="38" t="s">
        <v>35</v>
      </c>
      <c r="B22" s="39" t="s">
        <v>108</v>
      </c>
      <c r="C22" s="40" t="s">
        <v>690</v>
      </c>
      <c r="D22" s="107" t="s">
        <v>277</v>
      </c>
      <c r="E22" s="11" t="s">
        <v>277</v>
      </c>
      <c r="F22" s="15" t="s">
        <v>694</v>
      </c>
      <c r="G22" s="23" t="s">
        <v>694</v>
      </c>
      <c r="H22" s="41" t="s">
        <v>694</v>
      </c>
    </row>
    <row r="23" spans="1:8" s="2" customFormat="1" ht="25.5" x14ac:dyDescent="0.25">
      <c r="A23" s="38" t="s">
        <v>37</v>
      </c>
      <c r="B23" s="42" t="s">
        <v>109</v>
      </c>
      <c r="C23" s="40" t="s">
        <v>690</v>
      </c>
      <c r="D23" s="107" t="s">
        <v>277</v>
      </c>
      <c r="E23" s="11" t="s">
        <v>277</v>
      </c>
      <c r="F23" s="15" t="s">
        <v>694</v>
      </c>
      <c r="G23" s="23" t="s">
        <v>694</v>
      </c>
      <c r="H23" s="41" t="s">
        <v>694</v>
      </c>
    </row>
    <row r="24" spans="1:8" s="2" customFormat="1" ht="25.5" x14ac:dyDescent="0.25">
      <c r="A24" s="38" t="s">
        <v>50</v>
      </c>
      <c r="B24" s="42" t="s">
        <v>110</v>
      </c>
      <c r="C24" s="40" t="s">
        <v>690</v>
      </c>
      <c r="D24" s="107" t="s">
        <v>277</v>
      </c>
      <c r="E24" s="11" t="s">
        <v>277</v>
      </c>
      <c r="F24" s="15" t="s">
        <v>694</v>
      </c>
      <c r="G24" s="23" t="s">
        <v>694</v>
      </c>
      <c r="H24" s="41" t="s">
        <v>694</v>
      </c>
    </row>
    <row r="25" spans="1:8" s="2" customFormat="1" ht="25.5" x14ac:dyDescent="0.25">
      <c r="A25" s="38" t="s">
        <v>51</v>
      </c>
      <c r="B25" s="42" t="s">
        <v>111</v>
      </c>
      <c r="C25" s="40" t="s">
        <v>690</v>
      </c>
      <c r="D25" s="107" t="s">
        <v>277</v>
      </c>
      <c r="E25" s="11" t="s">
        <v>277</v>
      </c>
      <c r="F25" s="15" t="s">
        <v>694</v>
      </c>
      <c r="G25" s="23" t="s">
        <v>694</v>
      </c>
      <c r="H25" s="41" t="s">
        <v>694</v>
      </c>
    </row>
    <row r="26" spans="1:8" s="2" customFormat="1" x14ac:dyDescent="0.25">
      <c r="A26" s="38" t="s">
        <v>53</v>
      </c>
      <c r="B26" s="43" t="s">
        <v>112</v>
      </c>
      <c r="C26" s="40" t="s">
        <v>690</v>
      </c>
      <c r="D26" s="107" t="s">
        <v>277</v>
      </c>
      <c r="E26" s="11" t="s">
        <v>277</v>
      </c>
      <c r="F26" s="15" t="s">
        <v>694</v>
      </c>
      <c r="G26" s="23" t="s">
        <v>694</v>
      </c>
      <c r="H26" s="41" t="s">
        <v>694</v>
      </c>
    </row>
    <row r="27" spans="1:8" s="2" customFormat="1" x14ac:dyDescent="0.25">
      <c r="A27" s="38" t="s">
        <v>76</v>
      </c>
      <c r="B27" s="43" t="s">
        <v>113</v>
      </c>
      <c r="C27" s="40" t="s">
        <v>690</v>
      </c>
      <c r="D27" s="107">
        <f>1664304.10285677/1000</f>
        <v>1664.30410285677</v>
      </c>
      <c r="E27" s="15">
        <v>1221.3374360296</v>
      </c>
      <c r="F27" s="15">
        <f>E27-D27</f>
        <v>-442.96666682717</v>
      </c>
      <c r="G27" s="44">
        <f>F27/D27*100</f>
        <v>-26.615728824246716</v>
      </c>
      <c r="H27" s="41" t="s">
        <v>694</v>
      </c>
    </row>
    <row r="28" spans="1:8" s="2" customFormat="1" ht="15.75" customHeight="1" x14ac:dyDescent="0.25">
      <c r="A28" s="38" t="s">
        <v>77</v>
      </c>
      <c r="B28" s="43" t="s">
        <v>114</v>
      </c>
      <c r="C28" s="40" t="s">
        <v>690</v>
      </c>
      <c r="D28" s="107" t="s">
        <v>277</v>
      </c>
      <c r="E28" s="15"/>
      <c r="F28" s="15" t="s">
        <v>694</v>
      </c>
      <c r="G28" s="23" t="s">
        <v>694</v>
      </c>
      <c r="H28" s="41" t="s">
        <v>694</v>
      </c>
    </row>
    <row r="29" spans="1:8" s="2" customFormat="1" x14ac:dyDescent="0.25">
      <c r="A29" s="38" t="s">
        <v>115</v>
      </c>
      <c r="B29" s="43" t="s">
        <v>116</v>
      </c>
      <c r="C29" s="40" t="s">
        <v>690</v>
      </c>
      <c r="D29" s="107">
        <v>68.843908740000003</v>
      </c>
      <c r="E29" s="15">
        <v>8.836707839999999</v>
      </c>
      <c r="F29" s="15">
        <f>E29-D29</f>
        <v>-60.007200900000001</v>
      </c>
      <c r="G29" s="44">
        <f>F29/D29*100</f>
        <v>-87.164139861126657</v>
      </c>
      <c r="H29" s="41" t="s">
        <v>694</v>
      </c>
    </row>
    <row r="30" spans="1:8" s="2" customFormat="1" x14ac:dyDescent="0.25">
      <c r="A30" s="38" t="s">
        <v>117</v>
      </c>
      <c r="B30" s="43" t="s">
        <v>118</v>
      </c>
      <c r="C30" s="40" t="s">
        <v>690</v>
      </c>
      <c r="D30" s="107" t="s">
        <v>277</v>
      </c>
      <c r="E30" s="11" t="s">
        <v>277</v>
      </c>
      <c r="F30" s="15" t="s">
        <v>694</v>
      </c>
      <c r="G30" s="23" t="s">
        <v>694</v>
      </c>
      <c r="H30" s="41" t="s">
        <v>694</v>
      </c>
    </row>
    <row r="31" spans="1:8" s="2" customFormat="1" x14ac:dyDescent="0.25">
      <c r="A31" s="38" t="s">
        <v>119</v>
      </c>
      <c r="B31" s="43" t="s">
        <v>120</v>
      </c>
      <c r="C31" s="40" t="s">
        <v>690</v>
      </c>
      <c r="D31" s="107" t="s">
        <v>277</v>
      </c>
      <c r="E31" s="11" t="s">
        <v>277</v>
      </c>
      <c r="F31" s="15" t="s">
        <v>694</v>
      </c>
      <c r="G31" s="23" t="s">
        <v>694</v>
      </c>
      <c r="H31" s="41" t="s">
        <v>694</v>
      </c>
    </row>
    <row r="32" spans="1:8" s="2" customFormat="1" ht="25.5" x14ac:dyDescent="0.25">
      <c r="A32" s="38" t="s">
        <v>121</v>
      </c>
      <c r="B32" s="42" t="s">
        <v>122</v>
      </c>
      <c r="C32" s="40" t="s">
        <v>690</v>
      </c>
      <c r="D32" s="107" t="s">
        <v>277</v>
      </c>
      <c r="E32" s="11" t="s">
        <v>277</v>
      </c>
      <c r="F32" s="15" t="s">
        <v>694</v>
      </c>
      <c r="G32" s="23" t="s">
        <v>694</v>
      </c>
      <c r="H32" s="41" t="s">
        <v>694</v>
      </c>
    </row>
    <row r="33" spans="1:9" s="2" customFormat="1" x14ac:dyDescent="0.25">
      <c r="A33" s="38" t="s">
        <v>123</v>
      </c>
      <c r="B33" s="45" t="s">
        <v>48</v>
      </c>
      <c r="C33" s="40" t="s">
        <v>690</v>
      </c>
      <c r="D33" s="107" t="s">
        <v>277</v>
      </c>
      <c r="E33" s="11" t="s">
        <v>277</v>
      </c>
      <c r="F33" s="15" t="s">
        <v>694</v>
      </c>
      <c r="G33" s="23" t="s">
        <v>694</v>
      </c>
      <c r="H33" s="41" t="s">
        <v>694</v>
      </c>
    </row>
    <row r="34" spans="1:9" s="2" customFormat="1" x14ac:dyDescent="0.25">
      <c r="A34" s="38" t="s">
        <v>124</v>
      </c>
      <c r="B34" s="45" t="s">
        <v>49</v>
      </c>
      <c r="C34" s="40" t="s">
        <v>690</v>
      </c>
      <c r="D34" s="107" t="s">
        <v>277</v>
      </c>
      <c r="E34" s="11" t="s">
        <v>277</v>
      </c>
      <c r="F34" s="15" t="s">
        <v>694</v>
      </c>
      <c r="G34" s="23" t="s">
        <v>694</v>
      </c>
      <c r="H34" s="41" t="s">
        <v>694</v>
      </c>
    </row>
    <row r="35" spans="1:9" s="2" customFormat="1" ht="16.5" thickBot="1" x14ac:dyDescent="0.3">
      <c r="A35" s="38" t="s">
        <v>125</v>
      </c>
      <c r="B35" s="43" t="s">
        <v>126</v>
      </c>
      <c r="C35" s="46" t="s">
        <v>690</v>
      </c>
      <c r="D35" s="108">
        <v>12.176445944473601</v>
      </c>
      <c r="E35" s="47">
        <v>20.014588759999999</v>
      </c>
      <c r="F35" s="47">
        <f>E35-D35</f>
        <v>7.8381428155263979</v>
      </c>
      <c r="G35" s="48">
        <f>F35/D35*100</f>
        <v>64.371351470449525</v>
      </c>
      <c r="H35" s="49" t="s">
        <v>694</v>
      </c>
    </row>
    <row r="36" spans="1:9" s="2" customFormat="1" ht="25.5" customHeight="1" x14ac:dyDescent="0.25">
      <c r="A36" s="38" t="s">
        <v>81</v>
      </c>
      <c r="B36" s="50" t="s">
        <v>127</v>
      </c>
      <c r="C36" s="34" t="s">
        <v>690</v>
      </c>
      <c r="D36" s="109">
        <f>D42+D44+D50</f>
        <v>1641.7601747250046</v>
      </c>
      <c r="E36" s="109">
        <f>E42+E44+E50</f>
        <v>1146.1068878363196</v>
      </c>
      <c r="F36" s="16">
        <f>E36-D36</f>
        <v>-495.65328688868499</v>
      </c>
      <c r="G36" s="51">
        <f>F36/D36*100</f>
        <v>-30.190358769770199</v>
      </c>
      <c r="H36" s="52" t="s">
        <v>694</v>
      </c>
      <c r="I36" s="4"/>
    </row>
    <row r="37" spans="1:9" s="2" customFormat="1" x14ac:dyDescent="0.25">
      <c r="A37" s="38" t="s">
        <v>83</v>
      </c>
      <c r="B37" s="43" t="s">
        <v>108</v>
      </c>
      <c r="C37" s="40" t="s">
        <v>690</v>
      </c>
      <c r="D37" s="11" t="s">
        <v>277</v>
      </c>
      <c r="E37" s="11" t="s">
        <v>277</v>
      </c>
      <c r="F37" s="15" t="s">
        <v>694</v>
      </c>
      <c r="G37" s="23" t="s">
        <v>694</v>
      </c>
      <c r="H37" s="52" t="s">
        <v>694</v>
      </c>
    </row>
    <row r="38" spans="1:9" s="2" customFormat="1" ht="36.75" customHeight="1" x14ac:dyDescent="0.25">
      <c r="A38" s="38" t="s">
        <v>128</v>
      </c>
      <c r="B38" s="53" t="s">
        <v>109</v>
      </c>
      <c r="C38" s="40" t="s">
        <v>690</v>
      </c>
      <c r="D38" s="11" t="s">
        <v>277</v>
      </c>
      <c r="E38" s="11" t="s">
        <v>277</v>
      </c>
      <c r="F38" s="15" t="s">
        <v>694</v>
      </c>
      <c r="G38" s="23" t="s">
        <v>694</v>
      </c>
      <c r="H38" s="52" t="s">
        <v>694</v>
      </c>
    </row>
    <row r="39" spans="1:9" s="2" customFormat="1" ht="33.75" customHeight="1" x14ac:dyDescent="0.25">
      <c r="A39" s="38" t="s">
        <v>129</v>
      </c>
      <c r="B39" s="53" t="s">
        <v>110</v>
      </c>
      <c r="C39" s="40" t="s">
        <v>690</v>
      </c>
      <c r="D39" s="11" t="s">
        <v>277</v>
      </c>
      <c r="E39" s="11" t="s">
        <v>277</v>
      </c>
      <c r="F39" s="15" t="s">
        <v>694</v>
      </c>
      <c r="G39" s="23" t="s">
        <v>694</v>
      </c>
      <c r="H39" s="52" t="s">
        <v>694</v>
      </c>
    </row>
    <row r="40" spans="1:9" s="2" customFormat="1" ht="25.5" x14ac:dyDescent="0.25">
      <c r="A40" s="38" t="s">
        <v>130</v>
      </c>
      <c r="B40" s="53" t="s">
        <v>111</v>
      </c>
      <c r="C40" s="40" t="s">
        <v>690</v>
      </c>
      <c r="D40" s="11" t="s">
        <v>277</v>
      </c>
      <c r="E40" s="11" t="s">
        <v>277</v>
      </c>
      <c r="F40" s="15" t="s">
        <v>694</v>
      </c>
      <c r="G40" s="23" t="s">
        <v>694</v>
      </c>
      <c r="H40" s="52" t="s">
        <v>694</v>
      </c>
    </row>
    <row r="41" spans="1:9" s="2" customFormat="1" x14ac:dyDescent="0.25">
      <c r="A41" s="38" t="s">
        <v>85</v>
      </c>
      <c r="B41" s="43" t="s">
        <v>112</v>
      </c>
      <c r="C41" s="40" t="s">
        <v>690</v>
      </c>
      <c r="D41" s="11" t="s">
        <v>277</v>
      </c>
      <c r="E41" s="11" t="s">
        <v>277</v>
      </c>
      <c r="F41" s="15" t="s">
        <v>694</v>
      </c>
      <c r="G41" s="23" t="s">
        <v>694</v>
      </c>
      <c r="H41" s="52" t="s">
        <v>694</v>
      </c>
    </row>
    <row r="42" spans="1:9" s="2" customFormat="1" x14ac:dyDescent="0.25">
      <c r="A42" s="38" t="s">
        <v>87</v>
      </c>
      <c r="B42" s="43" t="s">
        <v>113</v>
      </c>
      <c r="C42" s="40" t="s">
        <v>690</v>
      </c>
      <c r="D42" s="11">
        <f>1624220.54894686/1000</f>
        <v>1624.2205489468599</v>
      </c>
      <c r="E42" s="15">
        <f>1133843.6139381/1000</f>
        <v>1133.8436139380999</v>
      </c>
      <c r="F42" s="15">
        <f>E42-D42</f>
        <v>-490.37693500876003</v>
      </c>
      <c r="G42" s="44">
        <f>F42/D42*100</f>
        <v>-30.191523886747955</v>
      </c>
      <c r="H42" s="52" t="s">
        <v>694</v>
      </c>
    </row>
    <row r="43" spans="1:9" s="2" customFormat="1" x14ac:dyDescent="0.25">
      <c r="A43" s="38" t="s">
        <v>88</v>
      </c>
      <c r="B43" s="43" t="s">
        <v>114</v>
      </c>
      <c r="C43" s="40" t="s">
        <v>690</v>
      </c>
      <c r="D43" s="11" t="s">
        <v>277</v>
      </c>
      <c r="E43" s="11" t="s">
        <v>277</v>
      </c>
      <c r="F43" s="15" t="s">
        <v>694</v>
      </c>
      <c r="G43" s="23" t="s">
        <v>694</v>
      </c>
      <c r="H43" s="52" t="s">
        <v>694</v>
      </c>
    </row>
    <row r="44" spans="1:9" s="2" customFormat="1" x14ac:dyDescent="0.25">
      <c r="A44" s="38" t="s">
        <v>90</v>
      </c>
      <c r="B44" s="43" t="s">
        <v>116</v>
      </c>
      <c r="C44" s="40" t="s">
        <v>690</v>
      </c>
      <c r="D44" s="11">
        <f>13179.1544043639/1000</f>
        <v>13.179154404363901</v>
      </c>
      <c r="E44" s="15">
        <f>8505.40393279011/1000</f>
        <v>8.5054039327901094</v>
      </c>
      <c r="F44" s="15">
        <f>E44-D44</f>
        <v>-4.6737504715737916</v>
      </c>
      <c r="G44" s="44">
        <f>F44/D44*100</f>
        <v>-35.463204452830546</v>
      </c>
      <c r="H44" s="52" t="s">
        <v>694</v>
      </c>
    </row>
    <row r="45" spans="1:9" s="2" customFormat="1" x14ac:dyDescent="0.25">
      <c r="A45" s="38" t="s">
        <v>100</v>
      </c>
      <c r="B45" s="43" t="s">
        <v>118</v>
      </c>
      <c r="C45" s="40" t="s">
        <v>690</v>
      </c>
      <c r="D45" s="11" t="s">
        <v>277</v>
      </c>
      <c r="E45" s="11" t="s">
        <v>277</v>
      </c>
      <c r="F45" s="15" t="s">
        <v>694</v>
      </c>
      <c r="G45" s="23" t="s">
        <v>694</v>
      </c>
      <c r="H45" s="52" t="s">
        <v>694</v>
      </c>
    </row>
    <row r="46" spans="1:9" s="2" customFormat="1" ht="15.75" customHeight="1" x14ac:dyDescent="0.25">
      <c r="A46" s="38" t="s">
        <v>102</v>
      </c>
      <c r="B46" s="43" t="s">
        <v>120</v>
      </c>
      <c r="C46" s="40" t="s">
        <v>690</v>
      </c>
      <c r="D46" s="11" t="s">
        <v>277</v>
      </c>
      <c r="E46" s="11" t="s">
        <v>277</v>
      </c>
      <c r="F46" s="15" t="s">
        <v>694</v>
      </c>
      <c r="G46" s="23" t="s">
        <v>694</v>
      </c>
      <c r="H46" s="52" t="s">
        <v>694</v>
      </c>
    </row>
    <row r="47" spans="1:9" s="2" customFormat="1" ht="26.25" customHeight="1" x14ac:dyDescent="0.25">
      <c r="A47" s="38" t="s">
        <v>131</v>
      </c>
      <c r="B47" s="42" t="s">
        <v>122</v>
      </c>
      <c r="C47" s="40" t="s">
        <v>690</v>
      </c>
      <c r="D47" s="11" t="s">
        <v>277</v>
      </c>
      <c r="E47" s="11" t="s">
        <v>277</v>
      </c>
      <c r="F47" s="15" t="s">
        <v>694</v>
      </c>
      <c r="G47" s="23" t="s">
        <v>694</v>
      </c>
      <c r="H47" s="52" t="s">
        <v>694</v>
      </c>
    </row>
    <row r="48" spans="1:9" s="2" customFormat="1" x14ac:dyDescent="0.25">
      <c r="A48" s="38" t="s">
        <v>132</v>
      </c>
      <c r="B48" s="53" t="s">
        <v>48</v>
      </c>
      <c r="C48" s="40" t="s">
        <v>690</v>
      </c>
      <c r="D48" s="11" t="s">
        <v>277</v>
      </c>
      <c r="E48" s="11" t="s">
        <v>277</v>
      </c>
      <c r="F48" s="15" t="s">
        <v>694</v>
      </c>
      <c r="G48" s="23" t="s">
        <v>694</v>
      </c>
      <c r="H48" s="52" t="s">
        <v>694</v>
      </c>
    </row>
    <row r="49" spans="1:10" s="2" customFormat="1" x14ac:dyDescent="0.25">
      <c r="A49" s="38" t="s">
        <v>133</v>
      </c>
      <c r="B49" s="53" t="s">
        <v>49</v>
      </c>
      <c r="C49" s="40" t="s">
        <v>690</v>
      </c>
      <c r="D49" s="11" t="s">
        <v>277</v>
      </c>
      <c r="E49" s="11" t="s">
        <v>277</v>
      </c>
      <c r="F49" s="15" t="s">
        <v>694</v>
      </c>
      <c r="G49" s="23" t="s">
        <v>694</v>
      </c>
      <c r="H49" s="52" t="s">
        <v>694</v>
      </c>
    </row>
    <row r="50" spans="1:10" s="2" customFormat="1" x14ac:dyDescent="0.25">
      <c r="A50" s="38" t="s">
        <v>134</v>
      </c>
      <c r="B50" s="43" t="s">
        <v>126</v>
      </c>
      <c r="C50" s="40" t="s">
        <v>690</v>
      </c>
      <c r="D50" s="11">
        <f>4360.47137378057/1000</f>
        <v>4.3604713737805696</v>
      </c>
      <c r="E50" s="15">
        <f>3757.86996542945/1000</f>
        <v>3.7578699654294501</v>
      </c>
      <c r="F50" s="15">
        <f t="shared" ref="F50:F55" si="0">E50-D50</f>
        <v>-0.60260140835111953</v>
      </c>
      <c r="G50" s="44">
        <f t="shared" ref="G50:G55" si="1">F50/D50*100</f>
        <v>-13.819639132928385</v>
      </c>
      <c r="H50" s="52" t="s">
        <v>694</v>
      </c>
    </row>
    <row r="51" spans="1:10" s="2" customFormat="1" x14ac:dyDescent="0.25">
      <c r="A51" s="38" t="s">
        <v>135</v>
      </c>
      <c r="B51" s="54" t="s">
        <v>136</v>
      </c>
      <c r="C51" s="40" t="s">
        <v>690</v>
      </c>
      <c r="D51" s="11">
        <f>D52+D53+D58+D59</f>
        <v>806.87740099637699</v>
      </c>
      <c r="E51" s="15">
        <f>E52+E53+E58+E59</f>
        <v>551.92661366000004</v>
      </c>
      <c r="F51" s="15">
        <f t="shared" si="0"/>
        <v>-254.95078733637695</v>
      </c>
      <c r="G51" s="44">
        <f t="shared" si="1"/>
        <v>-31.597215019475023</v>
      </c>
      <c r="H51" s="52" t="s">
        <v>694</v>
      </c>
      <c r="I51" s="4"/>
      <c r="J51" s="4"/>
    </row>
    <row r="52" spans="1:10" s="2" customFormat="1" x14ac:dyDescent="0.25">
      <c r="A52" s="38" t="s">
        <v>128</v>
      </c>
      <c r="B52" s="53" t="s">
        <v>137</v>
      </c>
      <c r="C52" s="40" t="s">
        <v>690</v>
      </c>
      <c r="D52" s="11">
        <f>10591.6560663/1000</f>
        <v>10.591656066300001</v>
      </c>
      <c r="E52" s="15">
        <f>7332.78277/1000</f>
        <v>7.3327827699999997</v>
      </c>
      <c r="F52" s="15">
        <f t="shared" si="0"/>
        <v>-3.2588732963000009</v>
      </c>
      <c r="G52" s="44">
        <f t="shared" si="1"/>
        <v>-30.768307391220155</v>
      </c>
      <c r="H52" s="52" t="s">
        <v>694</v>
      </c>
    </row>
    <row r="53" spans="1:10" s="2" customFormat="1" x14ac:dyDescent="0.25">
      <c r="A53" s="38" t="s">
        <v>129</v>
      </c>
      <c r="B53" s="45" t="s">
        <v>138</v>
      </c>
      <c r="C53" s="40" t="s">
        <v>690</v>
      </c>
      <c r="D53" s="11">
        <f>D54</f>
        <v>758.53917998905001</v>
      </c>
      <c r="E53" s="11">
        <f>E54</f>
        <v>518.93491456000004</v>
      </c>
      <c r="F53" s="15">
        <f t="shared" si="0"/>
        <v>-239.60426542904997</v>
      </c>
      <c r="G53" s="44">
        <f t="shared" si="1"/>
        <v>-31.587592539716773</v>
      </c>
      <c r="H53" s="52" t="s">
        <v>694</v>
      </c>
    </row>
    <row r="54" spans="1:10" s="2" customFormat="1" x14ac:dyDescent="0.25">
      <c r="A54" s="38" t="s">
        <v>139</v>
      </c>
      <c r="B54" s="55" t="s">
        <v>140</v>
      </c>
      <c r="C54" s="40" t="s">
        <v>690</v>
      </c>
      <c r="D54" s="11">
        <f>758539.17998905/1000</f>
        <v>758.53917998905001</v>
      </c>
      <c r="E54" s="11">
        <f>518934.91456/1000</f>
        <v>518.93491456000004</v>
      </c>
      <c r="F54" s="15">
        <f t="shared" si="0"/>
        <v>-239.60426542904997</v>
      </c>
      <c r="G54" s="44">
        <f t="shared" si="1"/>
        <v>-31.587592539716773</v>
      </c>
      <c r="H54" s="52" t="s">
        <v>694</v>
      </c>
    </row>
    <row r="55" spans="1:10" s="2" customFormat="1" ht="27" customHeight="1" x14ac:dyDescent="0.25">
      <c r="A55" s="38" t="s">
        <v>141</v>
      </c>
      <c r="B55" s="56" t="s">
        <v>142</v>
      </c>
      <c r="C55" s="40" t="s">
        <v>690</v>
      </c>
      <c r="D55" s="11">
        <f>758539.17998905/1000</f>
        <v>758.53917998905001</v>
      </c>
      <c r="E55" s="15">
        <v>360.35993227</v>
      </c>
      <c r="F55" s="15">
        <f t="shared" si="0"/>
        <v>-398.17924771905001</v>
      </c>
      <c r="G55" s="44">
        <f t="shared" si="1"/>
        <v>-52.492904549083143</v>
      </c>
      <c r="H55" s="52" t="s">
        <v>694</v>
      </c>
    </row>
    <row r="56" spans="1:10" s="2" customFormat="1" x14ac:dyDescent="0.25">
      <c r="A56" s="38" t="s">
        <v>143</v>
      </c>
      <c r="B56" s="56" t="s">
        <v>144</v>
      </c>
      <c r="C56" s="40" t="s">
        <v>690</v>
      </c>
      <c r="D56" s="11" t="s">
        <v>277</v>
      </c>
      <c r="E56" s="15"/>
      <c r="F56" s="15" t="s">
        <v>694</v>
      </c>
      <c r="G56" s="23" t="s">
        <v>694</v>
      </c>
      <c r="H56" s="41" t="s">
        <v>694</v>
      </c>
    </row>
    <row r="57" spans="1:10" s="2" customFormat="1" ht="15.75" customHeight="1" x14ac:dyDescent="0.25">
      <c r="A57" s="38" t="s">
        <v>145</v>
      </c>
      <c r="B57" s="55" t="s">
        <v>146</v>
      </c>
      <c r="C57" s="40" t="s">
        <v>690</v>
      </c>
      <c r="D57" s="11" t="s">
        <v>277</v>
      </c>
      <c r="E57" s="15"/>
      <c r="F57" s="15" t="s">
        <v>694</v>
      </c>
      <c r="G57" s="23" t="s">
        <v>694</v>
      </c>
      <c r="H57" s="41" t="s">
        <v>694</v>
      </c>
    </row>
    <row r="58" spans="1:10" s="2" customFormat="1" x14ac:dyDescent="0.25">
      <c r="A58" s="38" t="s">
        <v>130</v>
      </c>
      <c r="B58" s="45" t="s">
        <v>147</v>
      </c>
      <c r="C58" s="40" t="s">
        <v>690</v>
      </c>
      <c r="D58" s="11">
        <f>24407.2886944347/1000</f>
        <v>24.407288694434801</v>
      </c>
      <c r="E58" s="15">
        <f>16319.90873/1000</f>
        <v>16.319908729999998</v>
      </c>
      <c r="F58" s="15">
        <f>E58-D58</f>
        <v>-8.0873799644348026</v>
      </c>
      <c r="G58" s="44">
        <f>F58/D58*100</f>
        <v>-33.135101836521635</v>
      </c>
      <c r="H58" s="41" t="s">
        <v>694</v>
      </c>
    </row>
    <row r="59" spans="1:10" s="2" customFormat="1" x14ac:dyDescent="0.25">
      <c r="A59" s="38" t="s">
        <v>148</v>
      </c>
      <c r="B59" s="45" t="s">
        <v>149</v>
      </c>
      <c r="C59" s="40" t="s">
        <v>690</v>
      </c>
      <c r="D59" s="11">
        <f>13339.2762465923/1000</f>
        <v>13.3392762465923</v>
      </c>
      <c r="E59" s="15">
        <f>9339.00760000003/1000</f>
        <v>9.3390076000000306</v>
      </c>
      <c r="F59" s="15">
        <f>E59-D59</f>
        <v>-4.0002686465922697</v>
      </c>
      <c r="G59" s="44">
        <f>F59/D59*100</f>
        <v>-29.9886483542478</v>
      </c>
      <c r="H59" s="41" t="s">
        <v>694</v>
      </c>
    </row>
    <row r="60" spans="1:10" s="2" customFormat="1" ht="25.5" customHeight="1" x14ac:dyDescent="0.25">
      <c r="A60" s="38" t="s">
        <v>150</v>
      </c>
      <c r="B60" s="54" t="s">
        <v>151</v>
      </c>
      <c r="C60" s="40" t="s">
        <v>690</v>
      </c>
      <c r="D60" s="11">
        <f>D65</f>
        <v>36.6722848370812</v>
      </c>
      <c r="E60" s="11">
        <f>E65</f>
        <v>11.93169702</v>
      </c>
      <c r="F60" s="15">
        <f>E60-D60</f>
        <v>-24.740587817081199</v>
      </c>
      <c r="G60" s="44">
        <f>F60/D60*100</f>
        <v>-67.463993386266296</v>
      </c>
      <c r="H60" s="41" t="s">
        <v>694</v>
      </c>
    </row>
    <row r="61" spans="1:10" s="2" customFormat="1" ht="35.25" customHeight="1" x14ac:dyDescent="0.25">
      <c r="A61" s="38" t="s">
        <v>152</v>
      </c>
      <c r="B61" s="53" t="s">
        <v>153</v>
      </c>
      <c r="C61" s="40" t="s">
        <v>690</v>
      </c>
      <c r="D61" s="11" t="s">
        <v>277</v>
      </c>
      <c r="E61" s="11" t="s">
        <v>277</v>
      </c>
      <c r="F61" s="15" t="s">
        <v>694</v>
      </c>
      <c r="G61" s="23" t="s">
        <v>694</v>
      </c>
      <c r="H61" s="41" t="s">
        <v>694</v>
      </c>
    </row>
    <row r="62" spans="1:10" s="2" customFormat="1" ht="39" customHeight="1" x14ac:dyDescent="0.25">
      <c r="A62" s="38" t="s">
        <v>154</v>
      </c>
      <c r="B62" s="53" t="s">
        <v>155</v>
      </c>
      <c r="C62" s="40" t="s">
        <v>690</v>
      </c>
      <c r="D62" s="11" t="s">
        <v>277</v>
      </c>
      <c r="E62" s="11" t="s">
        <v>277</v>
      </c>
      <c r="F62" s="15" t="s">
        <v>694</v>
      </c>
      <c r="G62" s="23" t="s">
        <v>694</v>
      </c>
      <c r="H62" s="41" t="s">
        <v>694</v>
      </c>
    </row>
    <row r="63" spans="1:10" s="2" customFormat="1" x14ac:dyDescent="0.25">
      <c r="A63" s="38" t="s">
        <v>156</v>
      </c>
      <c r="B63" s="45" t="s">
        <v>157</v>
      </c>
      <c r="C63" s="40" t="s">
        <v>690</v>
      </c>
      <c r="D63" s="11" t="s">
        <v>277</v>
      </c>
      <c r="E63" s="11" t="s">
        <v>277</v>
      </c>
      <c r="F63" s="15" t="s">
        <v>694</v>
      </c>
      <c r="G63" s="23" t="s">
        <v>694</v>
      </c>
      <c r="H63" s="41" t="s">
        <v>694</v>
      </c>
    </row>
    <row r="64" spans="1:10" s="2" customFormat="1" x14ac:dyDescent="0.25">
      <c r="A64" s="38" t="s">
        <v>158</v>
      </c>
      <c r="B64" s="45" t="s">
        <v>159</v>
      </c>
      <c r="C64" s="40" t="s">
        <v>690</v>
      </c>
      <c r="D64" s="11" t="s">
        <v>277</v>
      </c>
      <c r="E64" s="11" t="s">
        <v>277</v>
      </c>
      <c r="F64" s="15" t="s">
        <v>694</v>
      </c>
      <c r="G64" s="23" t="s">
        <v>694</v>
      </c>
      <c r="H64" s="41" t="s">
        <v>694</v>
      </c>
    </row>
    <row r="65" spans="1:8" s="2" customFormat="1" x14ac:dyDescent="0.25">
      <c r="A65" s="38" t="s">
        <v>160</v>
      </c>
      <c r="B65" s="45" t="s">
        <v>161</v>
      </c>
      <c r="C65" s="40" t="s">
        <v>690</v>
      </c>
      <c r="D65" s="11">
        <f>36672.2848370812/1000</f>
        <v>36.6722848370812</v>
      </c>
      <c r="E65" s="15">
        <f>11931.69702/1000</f>
        <v>11.93169702</v>
      </c>
      <c r="F65" s="15">
        <f t="shared" ref="F65:F71" si="2">E65-D65</f>
        <v>-24.740587817081199</v>
      </c>
      <c r="G65" s="44">
        <f t="shared" ref="G65:G71" si="3">F65/D65*100</f>
        <v>-67.463993386266296</v>
      </c>
      <c r="H65" s="41" t="s">
        <v>694</v>
      </c>
    </row>
    <row r="66" spans="1:8" s="2" customFormat="1" x14ac:dyDescent="0.25">
      <c r="A66" s="38" t="s">
        <v>162</v>
      </c>
      <c r="B66" s="54" t="s">
        <v>163</v>
      </c>
      <c r="C66" s="40" t="s">
        <v>690</v>
      </c>
      <c r="D66" s="11">
        <f>471214.151070406/1000</f>
        <v>471.21415107040605</v>
      </c>
      <c r="E66" s="15">
        <f>332561.119536322/1000</f>
        <v>332.561119536322</v>
      </c>
      <c r="F66" s="15">
        <f t="shared" si="2"/>
        <v>-138.65303153408405</v>
      </c>
      <c r="G66" s="44">
        <f t="shared" si="3"/>
        <v>-29.424632350094114</v>
      </c>
      <c r="H66" s="41" t="s">
        <v>694</v>
      </c>
    </row>
    <row r="67" spans="1:8" s="2" customFormat="1" x14ac:dyDescent="0.25">
      <c r="A67" s="38" t="s">
        <v>164</v>
      </c>
      <c r="B67" s="54" t="s">
        <v>165</v>
      </c>
      <c r="C67" s="40" t="s">
        <v>690</v>
      </c>
      <c r="D67" s="11">
        <f>265575.935268465/1000</f>
        <v>265.575935268465</v>
      </c>
      <c r="E67" s="15">
        <f>197305.84698/1000</f>
        <v>197.30584698000001</v>
      </c>
      <c r="F67" s="15">
        <f t="shared" si="2"/>
        <v>-68.27008828846499</v>
      </c>
      <c r="G67" s="44">
        <f t="shared" si="3"/>
        <v>-25.706428641379809</v>
      </c>
      <c r="H67" s="41" t="s">
        <v>694</v>
      </c>
    </row>
    <row r="68" spans="1:8" s="2" customFormat="1" x14ac:dyDescent="0.25">
      <c r="A68" s="38" t="s">
        <v>166</v>
      </c>
      <c r="B68" s="54" t="s">
        <v>167</v>
      </c>
      <c r="C68" s="40" t="s">
        <v>690</v>
      </c>
      <c r="D68" s="11">
        <f>D69+D70</f>
        <v>18.240522460000001</v>
      </c>
      <c r="E68" s="11">
        <f>E69+E70</f>
        <v>13.564434050000001</v>
      </c>
      <c r="F68" s="15">
        <f t="shared" si="2"/>
        <v>-4.6760884100000002</v>
      </c>
      <c r="G68" s="44">
        <f t="shared" si="3"/>
        <v>-25.63571531601842</v>
      </c>
      <c r="H68" s="41" t="s">
        <v>694</v>
      </c>
    </row>
    <row r="69" spans="1:8" s="2" customFormat="1" x14ac:dyDescent="0.25">
      <c r="A69" s="38" t="s">
        <v>92</v>
      </c>
      <c r="B69" s="45" t="s">
        <v>168</v>
      </c>
      <c r="C69" s="40" t="s">
        <v>690</v>
      </c>
      <c r="D69" s="11">
        <f>13433.484/1000</f>
        <v>13.433484</v>
      </c>
      <c r="E69" s="15">
        <f>10057.332/1000</f>
        <v>10.057332000000001</v>
      </c>
      <c r="F69" s="15">
        <f t="shared" si="2"/>
        <v>-3.3761519999999994</v>
      </c>
      <c r="G69" s="44">
        <f t="shared" si="3"/>
        <v>-25.132363279697206</v>
      </c>
      <c r="H69" s="41" t="s">
        <v>694</v>
      </c>
    </row>
    <row r="70" spans="1:8" s="2" customFormat="1" x14ac:dyDescent="0.25">
      <c r="A70" s="38" t="s">
        <v>96</v>
      </c>
      <c r="B70" s="45" t="s">
        <v>169</v>
      </c>
      <c r="C70" s="40" t="s">
        <v>690</v>
      </c>
      <c r="D70" s="11">
        <f>4807.03846/1000</f>
        <v>4.8070384599999993</v>
      </c>
      <c r="E70" s="15">
        <f>3507.10205/1000</f>
        <v>3.5071020499999999</v>
      </c>
      <c r="F70" s="15">
        <f t="shared" si="2"/>
        <v>-1.2999364099999995</v>
      </c>
      <c r="G70" s="44">
        <f t="shared" si="3"/>
        <v>-27.042355096946729</v>
      </c>
      <c r="H70" s="41" t="s">
        <v>694</v>
      </c>
    </row>
    <row r="71" spans="1:8" s="2" customFormat="1" x14ac:dyDescent="0.25">
      <c r="A71" s="38" t="s">
        <v>170</v>
      </c>
      <c r="B71" s="54" t="s">
        <v>171</v>
      </c>
      <c r="C71" s="40" t="s">
        <v>690</v>
      </c>
      <c r="D71" s="11">
        <f>D73</f>
        <v>0.70437699041689406</v>
      </c>
      <c r="E71" s="11">
        <f>E73</f>
        <v>0.36944555000000001</v>
      </c>
      <c r="F71" s="15">
        <f t="shared" si="2"/>
        <v>-0.33493144041689404</v>
      </c>
      <c r="G71" s="44">
        <f t="shared" si="3"/>
        <v>-47.550025763712242</v>
      </c>
      <c r="H71" s="41" t="s">
        <v>694</v>
      </c>
    </row>
    <row r="72" spans="1:8" s="2" customFormat="1" x14ac:dyDescent="0.25">
      <c r="A72" s="38" t="s">
        <v>172</v>
      </c>
      <c r="B72" s="45" t="s">
        <v>173</v>
      </c>
      <c r="C72" s="40" t="s">
        <v>690</v>
      </c>
      <c r="D72" s="11" t="s">
        <v>277</v>
      </c>
      <c r="E72" s="11" t="s">
        <v>277</v>
      </c>
      <c r="F72" s="15" t="s">
        <v>694</v>
      </c>
      <c r="G72" s="23" t="s">
        <v>694</v>
      </c>
      <c r="H72" s="41" t="s">
        <v>694</v>
      </c>
    </row>
    <row r="73" spans="1:8" s="2" customFormat="1" x14ac:dyDescent="0.25">
      <c r="A73" s="38" t="s">
        <v>174</v>
      </c>
      <c r="B73" s="45" t="s">
        <v>175</v>
      </c>
      <c r="C73" s="40" t="s">
        <v>690</v>
      </c>
      <c r="D73" s="11">
        <f>704.376990416894/1000</f>
        <v>0.70437699041689406</v>
      </c>
      <c r="E73" s="15">
        <f>369.44555/1000</f>
        <v>0.36944555000000001</v>
      </c>
      <c r="F73" s="15">
        <f>E73-D73</f>
        <v>-0.33493144041689404</v>
      </c>
      <c r="G73" s="44">
        <f>F73/D73*100</f>
        <v>-47.550025763712242</v>
      </c>
      <c r="H73" s="41" t="s">
        <v>694</v>
      </c>
    </row>
    <row r="74" spans="1:8" s="2" customFormat="1" ht="16.5" thickBot="1" x14ac:dyDescent="0.3">
      <c r="A74" s="57" t="s">
        <v>176</v>
      </c>
      <c r="B74" s="58" t="s">
        <v>177</v>
      </c>
      <c r="C74" s="59" t="s">
        <v>690</v>
      </c>
      <c r="D74" s="110" t="s">
        <v>277</v>
      </c>
      <c r="E74" s="110" t="s">
        <v>277</v>
      </c>
      <c r="F74" s="47" t="s">
        <v>694</v>
      </c>
      <c r="G74" s="60" t="s">
        <v>694</v>
      </c>
      <c r="H74" s="49" t="s">
        <v>694</v>
      </c>
    </row>
    <row r="75" spans="1:8" s="2" customFormat="1" x14ac:dyDescent="0.25">
      <c r="A75" s="61" t="s">
        <v>178</v>
      </c>
      <c r="B75" s="62" t="s">
        <v>179</v>
      </c>
      <c r="C75" s="63" t="s">
        <v>690</v>
      </c>
      <c r="D75" s="10" t="s">
        <v>277</v>
      </c>
      <c r="E75" s="10" t="s">
        <v>277</v>
      </c>
      <c r="F75" s="16" t="s">
        <v>694</v>
      </c>
      <c r="G75" s="16" t="s">
        <v>694</v>
      </c>
      <c r="H75" s="64" t="s">
        <v>694</v>
      </c>
    </row>
    <row r="76" spans="1:8" s="2" customFormat="1" x14ac:dyDescent="0.25">
      <c r="A76" s="38" t="s">
        <v>180</v>
      </c>
      <c r="B76" s="45" t="s">
        <v>181</v>
      </c>
      <c r="C76" s="40" t="s">
        <v>690</v>
      </c>
      <c r="D76" s="11" t="s">
        <v>277</v>
      </c>
      <c r="E76" s="11" t="s">
        <v>277</v>
      </c>
      <c r="F76" s="15" t="s">
        <v>694</v>
      </c>
      <c r="G76" s="23" t="s">
        <v>694</v>
      </c>
      <c r="H76" s="65" t="s">
        <v>694</v>
      </c>
    </row>
    <row r="77" spans="1:8" s="2" customFormat="1" x14ac:dyDescent="0.25">
      <c r="A77" s="38" t="s">
        <v>182</v>
      </c>
      <c r="B77" s="45" t="s">
        <v>183</v>
      </c>
      <c r="C77" s="40" t="s">
        <v>690</v>
      </c>
      <c r="D77" s="11" t="s">
        <v>277</v>
      </c>
      <c r="E77" s="11" t="s">
        <v>277</v>
      </c>
      <c r="F77" s="15" t="s">
        <v>694</v>
      </c>
      <c r="G77" s="23" t="s">
        <v>694</v>
      </c>
      <c r="H77" s="65" t="s">
        <v>694</v>
      </c>
    </row>
    <row r="78" spans="1:8" s="2" customFormat="1" ht="16.5" thickBot="1" x14ac:dyDescent="0.3">
      <c r="A78" s="66" t="s">
        <v>184</v>
      </c>
      <c r="B78" s="67" t="s">
        <v>185</v>
      </c>
      <c r="C78" s="46" t="s">
        <v>690</v>
      </c>
      <c r="D78" s="12" t="s">
        <v>277</v>
      </c>
      <c r="E78" s="12" t="s">
        <v>277</v>
      </c>
      <c r="F78" s="47" t="s">
        <v>694</v>
      </c>
      <c r="G78" s="48" t="s">
        <v>694</v>
      </c>
      <c r="H78" s="49" t="s">
        <v>694</v>
      </c>
    </row>
    <row r="79" spans="1:8" s="2" customFormat="1" ht="25.5" customHeight="1" x14ac:dyDescent="0.25">
      <c r="A79" s="32" t="s">
        <v>186</v>
      </c>
      <c r="B79" s="33" t="s">
        <v>187</v>
      </c>
      <c r="C79" s="34" t="s">
        <v>690</v>
      </c>
      <c r="D79" s="109">
        <f>D21-D36</f>
        <v>103.56428281623903</v>
      </c>
      <c r="E79" s="109">
        <f>E21-E36</f>
        <v>104.0818447932802</v>
      </c>
      <c r="F79" s="16">
        <f>E79-D79</f>
        <v>0.51756197704116857</v>
      </c>
      <c r="G79" s="51">
        <f>F79/D79*100</f>
        <v>0.49974949178136358</v>
      </c>
      <c r="H79" s="52" t="s">
        <v>694</v>
      </c>
    </row>
    <row r="80" spans="1:8" s="2" customFormat="1" ht="26.25" customHeight="1" x14ac:dyDescent="0.25">
      <c r="A80" s="38" t="s">
        <v>188</v>
      </c>
      <c r="B80" s="43" t="s">
        <v>108</v>
      </c>
      <c r="C80" s="40" t="s">
        <v>690</v>
      </c>
      <c r="D80" s="11" t="s">
        <v>277</v>
      </c>
      <c r="E80" s="11" t="s">
        <v>277</v>
      </c>
      <c r="F80" s="15" t="s">
        <v>694</v>
      </c>
      <c r="G80" s="23" t="s">
        <v>694</v>
      </c>
      <c r="H80" s="52" t="s">
        <v>694</v>
      </c>
    </row>
    <row r="81" spans="1:8" s="2" customFormat="1" ht="35.25" customHeight="1" x14ac:dyDescent="0.25">
      <c r="A81" s="38" t="s">
        <v>189</v>
      </c>
      <c r="B81" s="53" t="s">
        <v>109</v>
      </c>
      <c r="C81" s="40" t="s">
        <v>690</v>
      </c>
      <c r="D81" s="11" t="s">
        <v>277</v>
      </c>
      <c r="E81" s="11" t="s">
        <v>277</v>
      </c>
      <c r="F81" s="15" t="s">
        <v>694</v>
      </c>
      <c r="G81" s="23" t="s">
        <v>694</v>
      </c>
      <c r="H81" s="52" t="s">
        <v>694</v>
      </c>
    </row>
    <row r="82" spans="1:8" s="2" customFormat="1" ht="35.25" customHeight="1" x14ac:dyDescent="0.25">
      <c r="A82" s="38" t="s">
        <v>190</v>
      </c>
      <c r="B82" s="53" t="s">
        <v>110</v>
      </c>
      <c r="C82" s="40" t="s">
        <v>690</v>
      </c>
      <c r="D82" s="11" t="s">
        <v>277</v>
      </c>
      <c r="E82" s="11" t="s">
        <v>277</v>
      </c>
      <c r="F82" s="15" t="s">
        <v>694</v>
      </c>
      <c r="G82" s="23" t="s">
        <v>694</v>
      </c>
      <c r="H82" s="52" t="s">
        <v>694</v>
      </c>
    </row>
    <row r="83" spans="1:8" s="2" customFormat="1" ht="32.25" customHeight="1" x14ac:dyDescent="0.25">
      <c r="A83" s="38" t="s">
        <v>191</v>
      </c>
      <c r="B83" s="53" t="s">
        <v>111</v>
      </c>
      <c r="C83" s="40" t="s">
        <v>690</v>
      </c>
      <c r="D83" s="11" t="s">
        <v>277</v>
      </c>
      <c r="E83" s="11" t="s">
        <v>277</v>
      </c>
      <c r="F83" s="15" t="s">
        <v>694</v>
      </c>
      <c r="G83" s="23" t="s">
        <v>694</v>
      </c>
      <c r="H83" s="52" t="s">
        <v>694</v>
      </c>
    </row>
    <row r="84" spans="1:8" s="2" customFormat="1" x14ac:dyDescent="0.25">
      <c r="A84" s="38" t="s">
        <v>192</v>
      </c>
      <c r="B84" s="43" t="s">
        <v>112</v>
      </c>
      <c r="C84" s="40" t="s">
        <v>690</v>
      </c>
      <c r="D84" s="11" t="s">
        <v>277</v>
      </c>
      <c r="E84" s="11" t="s">
        <v>277</v>
      </c>
      <c r="F84" s="15" t="s">
        <v>694</v>
      </c>
      <c r="G84" s="23" t="s">
        <v>694</v>
      </c>
      <c r="H84" s="52" t="s">
        <v>694</v>
      </c>
    </row>
    <row r="85" spans="1:8" s="2" customFormat="1" x14ac:dyDescent="0.25">
      <c r="A85" s="38" t="s">
        <v>193</v>
      </c>
      <c r="B85" s="43" t="s">
        <v>113</v>
      </c>
      <c r="C85" s="40" t="s">
        <v>690</v>
      </c>
      <c r="D85" s="11">
        <f>D27-D42</f>
        <v>40.083553909910052</v>
      </c>
      <c r="E85" s="11">
        <f>E27-E42</f>
        <v>87.493822091500078</v>
      </c>
      <c r="F85" s="15" t="s">
        <v>694</v>
      </c>
      <c r="G85" s="23" t="s">
        <v>694</v>
      </c>
      <c r="H85" s="52" t="s">
        <v>694</v>
      </c>
    </row>
    <row r="86" spans="1:8" s="2" customFormat="1" x14ac:dyDescent="0.25">
      <c r="A86" s="38" t="s">
        <v>194</v>
      </c>
      <c r="B86" s="43" t="s">
        <v>114</v>
      </c>
      <c r="C86" s="40" t="s">
        <v>690</v>
      </c>
      <c r="D86" s="11" t="s">
        <v>277</v>
      </c>
      <c r="E86" s="11" t="s">
        <v>277</v>
      </c>
      <c r="F86" s="15" t="s">
        <v>694</v>
      </c>
      <c r="G86" s="23" t="s">
        <v>694</v>
      </c>
      <c r="H86" s="52" t="s">
        <v>694</v>
      </c>
    </row>
    <row r="87" spans="1:8" s="2" customFormat="1" x14ac:dyDescent="0.25">
      <c r="A87" s="38" t="s">
        <v>195</v>
      </c>
      <c r="B87" s="43" t="s">
        <v>116</v>
      </c>
      <c r="C87" s="40" t="s">
        <v>690</v>
      </c>
      <c r="D87" s="11">
        <f>D29-D44</f>
        <v>55.664754335636104</v>
      </c>
      <c r="E87" s="11">
        <f>E29-E44</f>
        <v>0.33130390720988956</v>
      </c>
      <c r="F87" s="15">
        <f>E87-D87</f>
        <v>-55.333450428426218</v>
      </c>
      <c r="G87" s="44">
        <f>F87/D87*100</f>
        <v>-99.404822834190099</v>
      </c>
      <c r="H87" s="52" t="s">
        <v>694</v>
      </c>
    </row>
    <row r="88" spans="1:8" s="2" customFormat="1" x14ac:dyDescent="0.25">
      <c r="A88" s="38" t="s">
        <v>196</v>
      </c>
      <c r="B88" s="43" t="s">
        <v>118</v>
      </c>
      <c r="C88" s="40" t="s">
        <v>690</v>
      </c>
      <c r="D88" s="11" t="s">
        <v>277</v>
      </c>
      <c r="E88" s="11" t="s">
        <v>277</v>
      </c>
      <c r="F88" s="15" t="s">
        <v>694</v>
      </c>
      <c r="G88" s="23" t="s">
        <v>694</v>
      </c>
      <c r="H88" s="52" t="s">
        <v>694</v>
      </c>
    </row>
    <row r="89" spans="1:8" s="2" customFormat="1" x14ac:dyDescent="0.25">
      <c r="A89" s="38" t="s">
        <v>197</v>
      </c>
      <c r="B89" s="43" t="s">
        <v>120</v>
      </c>
      <c r="C89" s="40" t="s">
        <v>690</v>
      </c>
      <c r="D89" s="11" t="s">
        <v>277</v>
      </c>
      <c r="E89" s="11" t="s">
        <v>277</v>
      </c>
      <c r="F89" s="15" t="s">
        <v>694</v>
      </c>
      <c r="G89" s="23" t="s">
        <v>694</v>
      </c>
      <c r="H89" s="52" t="s">
        <v>694</v>
      </c>
    </row>
    <row r="90" spans="1:8" s="2" customFormat="1" ht="30" customHeight="1" x14ac:dyDescent="0.25">
      <c r="A90" s="38" t="s">
        <v>198</v>
      </c>
      <c r="B90" s="42" t="s">
        <v>122</v>
      </c>
      <c r="C90" s="40" t="s">
        <v>690</v>
      </c>
      <c r="D90" s="11" t="s">
        <v>277</v>
      </c>
      <c r="E90" s="11" t="s">
        <v>277</v>
      </c>
      <c r="F90" s="15" t="s">
        <v>694</v>
      </c>
      <c r="G90" s="23" t="s">
        <v>694</v>
      </c>
      <c r="H90" s="52" t="s">
        <v>694</v>
      </c>
    </row>
    <row r="91" spans="1:8" s="2" customFormat="1" x14ac:dyDescent="0.25">
      <c r="A91" s="38" t="s">
        <v>199</v>
      </c>
      <c r="B91" s="53" t="s">
        <v>48</v>
      </c>
      <c r="C91" s="40" t="s">
        <v>690</v>
      </c>
      <c r="D91" s="11" t="s">
        <v>277</v>
      </c>
      <c r="E91" s="11" t="s">
        <v>277</v>
      </c>
      <c r="F91" s="15" t="s">
        <v>694</v>
      </c>
      <c r="G91" s="23" t="s">
        <v>694</v>
      </c>
      <c r="H91" s="52" t="s">
        <v>694</v>
      </c>
    </row>
    <row r="92" spans="1:8" s="2" customFormat="1" x14ac:dyDescent="0.25">
      <c r="A92" s="38" t="s">
        <v>200</v>
      </c>
      <c r="B92" s="45" t="s">
        <v>49</v>
      </c>
      <c r="C92" s="40" t="s">
        <v>690</v>
      </c>
      <c r="D92" s="11" t="s">
        <v>277</v>
      </c>
      <c r="E92" s="11" t="s">
        <v>277</v>
      </c>
      <c r="F92" s="15" t="s">
        <v>694</v>
      </c>
      <c r="G92" s="23" t="s">
        <v>694</v>
      </c>
      <c r="H92" s="52" t="s">
        <v>694</v>
      </c>
    </row>
    <row r="93" spans="1:8" s="2" customFormat="1" x14ac:dyDescent="0.25">
      <c r="A93" s="38" t="s">
        <v>201</v>
      </c>
      <c r="B93" s="43" t="s">
        <v>126</v>
      </c>
      <c r="C93" s="40" t="s">
        <v>690</v>
      </c>
      <c r="D93" s="11">
        <f>D35-D50</f>
        <v>7.8159745706930313</v>
      </c>
      <c r="E93" s="11">
        <f>E35-E50</f>
        <v>16.256718794570549</v>
      </c>
      <c r="F93" s="15">
        <f>E93-D93</f>
        <v>8.4407442238775179</v>
      </c>
      <c r="G93" s="44">
        <f>F93/D93*100</f>
        <v>107.99349649277441</v>
      </c>
      <c r="H93" s="52" t="s">
        <v>694</v>
      </c>
    </row>
    <row r="94" spans="1:8" s="2" customFormat="1" x14ac:dyDescent="0.25">
      <c r="A94" s="38" t="s">
        <v>202</v>
      </c>
      <c r="B94" s="68" t="s">
        <v>203</v>
      </c>
      <c r="C94" s="40" t="s">
        <v>690</v>
      </c>
      <c r="D94" s="11">
        <f>D95-D101</f>
        <v>118.3975431202</v>
      </c>
      <c r="E94" s="11">
        <f>E95-E101</f>
        <v>87.235523940000007</v>
      </c>
      <c r="F94" s="15">
        <f>E94-D94</f>
        <v>-31.162019180199991</v>
      </c>
      <c r="G94" s="44">
        <f>F94/D94*100</f>
        <v>-26.319819110235731</v>
      </c>
      <c r="H94" s="52" t="s">
        <v>694</v>
      </c>
    </row>
    <row r="95" spans="1:8" s="2" customFormat="1" x14ac:dyDescent="0.25">
      <c r="A95" s="38" t="s">
        <v>5</v>
      </c>
      <c r="B95" s="42" t="s">
        <v>204</v>
      </c>
      <c r="C95" s="40" t="s">
        <v>690</v>
      </c>
      <c r="D95" s="11">
        <f>D97+D98+D100</f>
        <v>148.33811315</v>
      </c>
      <c r="E95" s="11">
        <f>E97+E98+E100</f>
        <v>113.48439451</v>
      </c>
      <c r="F95" s="15">
        <f>E95-D95</f>
        <v>-34.853718639999997</v>
      </c>
      <c r="G95" s="44">
        <f>F95/D95*100</f>
        <v>-23.496131843578056</v>
      </c>
      <c r="H95" s="52" t="s">
        <v>694</v>
      </c>
    </row>
    <row r="96" spans="1:8" s="2" customFormat="1" x14ac:dyDescent="0.25">
      <c r="A96" s="38" t="s">
        <v>205</v>
      </c>
      <c r="B96" s="53" t="s">
        <v>206</v>
      </c>
      <c r="C96" s="40" t="s">
        <v>690</v>
      </c>
      <c r="D96" s="11" t="s">
        <v>277</v>
      </c>
      <c r="E96" s="11" t="s">
        <v>277</v>
      </c>
      <c r="F96" s="15" t="s">
        <v>694</v>
      </c>
      <c r="G96" s="23" t="s">
        <v>694</v>
      </c>
      <c r="H96" s="52" t="s">
        <v>694</v>
      </c>
    </row>
    <row r="97" spans="1:8" s="2" customFormat="1" x14ac:dyDescent="0.25">
      <c r="A97" s="38" t="s">
        <v>207</v>
      </c>
      <c r="B97" s="53" t="s">
        <v>208</v>
      </c>
      <c r="C97" s="40" t="s">
        <v>690</v>
      </c>
      <c r="D97" s="11">
        <f>15949.93079/1000</f>
        <v>15.94993079</v>
      </c>
      <c r="E97" s="15">
        <f>13000.14792/1000</f>
        <v>13.00014792</v>
      </c>
      <c r="F97" s="15">
        <f>E97-D97</f>
        <v>-2.9497828699999999</v>
      </c>
      <c r="G97" s="44">
        <f>F97/D97*100</f>
        <v>-18.494016737987362</v>
      </c>
      <c r="H97" s="52" t="s">
        <v>694</v>
      </c>
    </row>
    <row r="98" spans="1:8" s="2" customFormat="1" x14ac:dyDescent="0.25">
      <c r="A98" s="38" t="s">
        <v>209</v>
      </c>
      <c r="B98" s="53" t="s">
        <v>210</v>
      </c>
      <c r="C98" s="40" t="s">
        <v>690</v>
      </c>
      <c r="D98" s="11">
        <f>D99</f>
        <v>7.9212912100000006</v>
      </c>
      <c r="E98" s="11">
        <f>E99</f>
        <v>6.79919706</v>
      </c>
      <c r="F98" s="15" t="s">
        <v>694</v>
      </c>
      <c r="G98" s="23" t="s">
        <v>694</v>
      </c>
      <c r="H98" s="52" t="s">
        <v>694</v>
      </c>
    </row>
    <row r="99" spans="1:8" s="2" customFormat="1" x14ac:dyDescent="0.25">
      <c r="A99" s="38" t="s">
        <v>211</v>
      </c>
      <c r="B99" s="55" t="s">
        <v>212</v>
      </c>
      <c r="C99" s="40" t="s">
        <v>690</v>
      </c>
      <c r="D99" s="11">
        <f>7921.29121/1000</f>
        <v>7.9212912100000006</v>
      </c>
      <c r="E99" s="11">
        <f>6799.19706/1000</f>
        <v>6.79919706</v>
      </c>
      <c r="F99" s="15" t="s">
        <v>694</v>
      </c>
      <c r="G99" s="23" t="s">
        <v>694</v>
      </c>
      <c r="H99" s="52" t="s">
        <v>694</v>
      </c>
    </row>
    <row r="100" spans="1:8" s="2" customFormat="1" x14ac:dyDescent="0.25">
      <c r="A100" s="38" t="s">
        <v>213</v>
      </c>
      <c r="B100" s="45" t="s">
        <v>214</v>
      </c>
      <c r="C100" s="40" t="s">
        <v>690</v>
      </c>
      <c r="D100" s="11">
        <f>124466.89115/1000</f>
        <v>124.46689115</v>
      </c>
      <c r="E100" s="15">
        <f>93685.04953/1000</f>
        <v>93.685049530000001</v>
      </c>
      <c r="F100" s="15">
        <f>E100-D100</f>
        <v>-30.781841619999994</v>
      </c>
      <c r="G100" s="44">
        <f>F100/D100*100</f>
        <v>-24.730947592242483</v>
      </c>
      <c r="H100" s="52" t="s">
        <v>694</v>
      </c>
    </row>
    <row r="101" spans="1:8" s="2" customFormat="1" x14ac:dyDescent="0.25">
      <c r="A101" s="38" t="s">
        <v>6</v>
      </c>
      <c r="B101" s="54" t="s">
        <v>171</v>
      </c>
      <c r="C101" s="40" t="s">
        <v>690</v>
      </c>
      <c r="D101" s="11">
        <f>D102+D103+D104+D106</f>
        <v>29.9405700298</v>
      </c>
      <c r="E101" s="11">
        <f>E102+E103+E104+E106</f>
        <v>26.248870570000001</v>
      </c>
      <c r="F101" s="15">
        <f>E101-D101</f>
        <v>-3.6916994597999988</v>
      </c>
      <c r="G101" s="44">
        <f>F101/D101*100</f>
        <v>-12.330090763554708</v>
      </c>
      <c r="H101" s="52" t="s">
        <v>694</v>
      </c>
    </row>
    <row r="102" spans="1:8" s="2" customFormat="1" x14ac:dyDescent="0.25">
      <c r="A102" s="38" t="s">
        <v>215</v>
      </c>
      <c r="B102" s="45" t="s">
        <v>216</v>
      </c>
      <c r="C102" s="40" t="s">
        <v>690</v>
      </c>
      <c r="D102" s="11">
        <f>1723.8701898/1000</f>
        <v>1.7238701898</v>
      </c>
      <c r="E102" s="15">
        <f>1366.57316/1000</f>
        <v>1.36657316</v>
      </c>
      <c r="F102" s="15">
        <f>E102-D102</f>
        <v>-0.3572970298</v>
      </c>
      <c r="G102" s="44">
        <f>F102/D102*100</f>
        <v>-20.726446336510577</v>
      </c>
      <c r="H102" s="52" t="s">
        <v>694</v>
      </c>
    </row>
    <row r="103" spans="1:8" s="2" customFormat="1" x14ac:dyDescent="0.25">
      <c r="A103" s="38" t="s">
        <v>217</v>
      </c>
      <c r="B103" s="45" t="s">
        <v>218</v>
      </c>
      <c r="C103" s="40" t="s">
        <v>690</v>
      </c>
      <c r="D103" s="11">
        <v>0</v>
      </c>
      <c r="E103" s="15">
        <v>0</v>
      </c>
      <c r="F103" s="15" t="s">
        <v>694</v>
      </c>
      <c r="G103" s="44" t="s">
        <v>694</v>
      </c>
      <c r="H103" s="52" t="s">
        <v>694</v>
      </c>
    </row>
    <row r="104" spans="1:8" s="2" customFormat="1" x14ac:dyDescent="0.25">
      <c r="A104" s="38" t="s">
        <v>219</v>
      </c>
      <c r="B104" s="45" t="s">
        <v>220</v>
      </c>
      <c r="C104" s="40" t="s">
        <v>690</v>
      </c>
      <c r="D104" s="11">
        <f>D105</f>
        <v>16.569819729999999</v>
      </c>
      <c r="E104" s="11">
        <f>E105</f>
        <v>16.399251209999999</v>
      </c>
      <c r="F104" s="15">
        <f>E104-D104</f>
        <v>-0.17056851999999978</v>
      </c>
      <c r="G104" s="44">
        <f>F104/D104*100</f>
        <v>-1.029392731963052</v>
      </c>
      <c r="H104" s="52" t="s">
        <v>694</v>
      </c>
    </row>
    <row r="105" spans="1:8" s="2" customFormat="1" x14ac:dyDescent="0.25">
      <c r="A105" s="38" t="s">
        <v>221</v>
      </c>
      <c r="B105" s="55" t="s">
        <v>222</v>
      </c>
      <c r="C105" s="40" t="s">
        <v>690</v>
      </c>
      <c r="D105" s="11">
        <f>16569.81973/1000</f>
        <v>16.569819729999999</v>
      </c>
      <c r="E105" s="15">
        <f>16399.25121/1000</f>
        <v>16.399251209999999</v>
      </c>
      <c r="F105" s="15">
        <f>E105-D105</f>
        <v>-0.17056851999999978</v>
      </c>
      <c r="G105" s="44">
        <f>F105/D105*100</f>
        <v>-1.029392731963052</v>
      </c>
      <c r="H105" s="52" t="s">
        <v>694</v>
      </c>
    </row>
    <row r="106" spans="1:8" s="2" customFormat="1" x14ac:dyDescent="0.25">
      <c r="A106" s="38" t="s">
        <v>223</v>
      </c>
      <c r="B106" s="45" t="s">
        <v>224</v>
      </c>
      <c r="C106" s="40" t="s">
        <v>690</v>
      </c>
      <c r="D106" s="11">
        <f>11646.88011/1000</f>
        <v>11.64688011</v>
      </c>
      <c r="E106" s="15">
        <f>8483.0462/1000</f>
        <v>8.4830462000000004</v>
      </c>
      <c r="F106" s="15">
        <f>E106-D106</f>
        <v>-3.1638339099999992</v>
      </c>
      <c r="G106" s="44">
        <f>F106/D106*100</f>
        <v>-27.164647357222599</v>
      </c>
      <c r="H106" s="52" t="s">
        <v>694</v>
      </c>
    </row>
    <row r="107" spans="1:8" s="2" customFormat="1" ht="26.25" customHeight="1" x14ac:dyDescent="0.25">
      <c r="A107" s="38" t="s">
        <v>225</v>
      </c>
      <c r="B107" s="68" t="s">
        <v>226</v>
      </c>
      <c r="C107" s="40" t="s">
        <v>690</v>
      </c>
      <c r="D107" s="11">
        <f>D79+D94</f>
        <v>221.96182593643903</v>
      </c>
      <c r="E107" s="11">
        <f>E79+E94</f>
        <v>191.3173687332802</v>
      </c>
      <c r="F107" s="15">
        <f>E107-D107</f>
        <v>-30.644457203158822</v>
      </c>
      <c r="G107" s="44">
        <f>F107/D107*100</f>
        <v>-13.806183596603756</v>
      </c>
      <c r="H107" s="52" t="s">
        <v>694</v>
      </c>
    </row>
    <row r="108" spans="1:8" s="2" customFormat="1" ht="33" customHeight="1" x14ac:dyDescent="0.25">
      <c r="A108" s="38" t="s">
        <v>7</v>
      </c>
      <c r="B108" s="42" t="s">
        <v>227</v>
      </c>
      <c r="C108" s="40" t="s">
        <v>690</v>
      </c>
      <c r="D108" s="11" t="s">
        <v>277</v>
      </c>
      <c r="E108" s="11" t="s">
        <v>277</v>
      </c>
      <c r="F108" s="15" t="s">
        <v>694</v>
      </c>
      <c r="G108" s="23" t="s">
        <v>694</v>
      </c>
      <c r="H108" s="52" t="s">
        <v>694</v>
      </c>
    </row>
    <row r="109" spans="1:8" s="2" customFormat="1" ht="32.25" customHeight="1" x14ac:dyDescent="0.25">
      <c r="A109" s="38" t="s">
        <v>228</v>
      </c>
      <c r="B109" s="53" t="s">
        <v>109</v>
      </c>
      <c r="C109" s="40" t="s">
        <v>690</v>
      </c>
      <c r="D109" s="11" t="s">
        <v>277</v>
      </c>
      <c r="E109" s="11" t="s">
        <v>277</v>
      </c>
      <c r="F109" s="15" t="s">
        <v>694</v>
      </c>
      <c r="G109" s="23" t="s">
        <v>694</v>
      </c>
      <c r="H109" s="52" t="s">
        <v>694</v>
      </c>
    </row>
    <row r="110" spans="1:8" s="2" customFormat="1" ht="32.25" customHeight="1" x14ac:dyDescent="0.25">
      <c r="A110" s="38" t="s">
        <v>229</v>
      </c>
      <c r="B110" s="53" t="s">
        <v>110</v>
      </c>
      <c r="C110" s="40" t="s">
        <v>690</v>
      </c>
      <c r="D110" s="11" t="s">
        <v>277</v>
      </c>
      <c r="E110" s="11" t="s">
        <v>277</v>
      </c>
      <c r="F110" s="15" t="s">
        <v>694</v>
      </c>
      <c r="G110" s="23" t="s">
        <v>694</v>
      </c>
      <c r="H110" s="52" t="s">
        <v>694</v>
      </c>
    </row>
    <row r="111" spans="1:8" s="2" customFormat="1" ht="32.25" customHeight="1" x14ac:dyDescent="0.25">
      <c r="A111" s="38" t="s">
        <v>230</v>
      </c>
      <c r="B111" s="53" t="s">
        <v>111</v>
      </c>
      <c r="C111" s="40" t="s">
        <v>690</v>
      </c>
      <c r="D111" s="11" t="s">
        <v>277</v>
      </c>
      <c r="E111" s="11" t="s">
        <v>277</v>
      </c>
      <c r="F111" s="15" t="s">
        <v>694</v>
      </c>
      <c r="G111" s="23" t="s">
        <v>694</v>
      </c>
      <c r="H111" s="52" t="s">
        <v>694</v>
      </c>
    </row>
    <row r="112" spans="1:8" s="2" customFormat="1" x14ac:dyDescent="0.25">
      <c r="A112" s="38" t="s">
        <v>8</v>
      </c>
      <c r="B112" s="43" t="s">
        <v>112</v>
      </c>
      <c r="C112" s="40" t="s">
        <v>690</v>
      </c>
      <c r="D112" s="11" t="s">
        <v>277</v>
      </c>
      <c r="E112" s="11" t="s">
        <v>277</v>
      </c>
      <c r="F112" s="15" t="s">
        <v>694</v>
      </c>
      <c r="G112" s="23" t="s">
        <v>694</v>
      </c>
      <c r="H112" s="52" t="s">
        <v>694</v>
      </c>
    </row>
    <row r="113" spans="1:8" s="2" customFormat="1" x14ac:dyDescent="0.25">
      <c r="A113" s="38" t="s">
        <v>9</v>
      </c>
      <c r="B113" s="43" t="s">
        <v>113</v>
      </c>
      <c r="C113" s="40" t="s">
        <v>690</v>
      </c>
      <c r="D113" s="11" t="s">
        <v>699</v>
      </c>
      <c r="E113" s="11" t="s">
        <v>277</v>
      </c>
      <c r="F113" s="15" t="s">
        <v>694</v>
      </c>
      <c r="G113" s="23" t="s">
        <v>694</v>
      </c>
      <c r="H113" s="52" t="s">
        <v>694</v>
      </c>
    </row>
    <row r="114" spans="1:8" s="2" customFormat="1" x14ac:dyDescent="0.25">
      <c r="A114" s="38" t="s">
        <v>10</v>
      </c>
      <c r="B114" s="43" t="s">
        <v>114</v>
      </c>
      <c r="C114" s="40" t="s">
        <v>690</v>
      </c>
      <c r="D114" s="11" t="s">
        <v>277</v>
      </c>
      <c r="E114" s="11" t="s">
        <v>277</v>
      </c>
      <c r="F114" s="15" t="s">
        <v>694</v>
      </c>
      <c r="G114" s="23" t="s">
        <v>694</v>
      </c>
      <c r="H114" s="52" t="s">
        <v>694</v>
      </c>
    </row>
    <row r="115" spans="1:8" s="2" customFormat="1" x14ac:dyDescent="0.25">
      <c r="A115" s="38" t="s">
        <v>231</v>
      </c>
      <c r="B115" s="43" t="s">
        <v>116</v>
      </c>
      <c r="C115" s="40" t="s">
        <v>690</v>
      </c>
      <c r="D115" s="11" t="s">
        <v>277</v>
      </c>
      <c r="E115" s="11" t="s">
        <v>277</v>
      </c>
      <c r="F115" s="15" t="s">
        <v>694</v>
      </c>
      <c r="G115" s="23" t="s">
        <v>694</v>
      </c>
      <c r="H115" s="52" t="s">
        <v>694</v>
      </c>
    </row>
    <row r="116" spans="1:8" s="2" customFormat="1" x14ac:dyDescent="0.25">
      <c r="A116" s="38" t="s">
        <v>232</v>
      </c>
      <c r="B116" s="43" t="s">
        <v>118</v>
      </c>
      <c r="C116" s="40" t="s">
        <v>690</v>
      </c>
      <c r="D116" s="11" t="s">
        <v>277</v>
      </c>
      <c r="E116" s="11" t="s">
        <v>277</v>
      </c>
      <c r="F116" s="15" t="s">
        <v>694</v>
      </c>
      <c r="G116" s="23" t="s">
        <v>694</v>
      </c>
      <c r="H116" s="52" t="s">
        <v>694</v>
      </c>
    </row>
    <row r="117" spans="1:8" s="2" customFormat="1" x14ac:dyDescent="0.25">
      <c r="A117" s="38" t="s">
        <v>233</v>
      </c>
      <c r="B117" s="43" t="s">
        <v>120</v>
      </c>
      <c r="C117" s="40" t="s">
        <v>690</v>
      </c>
      <c r="D117" s="11" t="s">
        <v>277</v>
      </c>
      <c r="E117" s="11" t="s">
        <v>277</v>
      </c>
      <c r="F117" s="15" t="s">
        <v>694</v>
      </c>
      <c r="G117" s="23" t="s">
        <v>694</v>
      </c>
      <c r="H117" s="52" t="s">
        <v>694</v>
      </c>
    </row>
    <row r="118" spans="1:8" s="2" customFormat="1" ht="25.5" x14ac:dyDescent="0.25">
      <c r="A118" s="38" t="s">
        <v>234</v>
      </c>
      <c r="B118" s="42" t="s">
        <v>122</v>
      </c>
      <c r="C118" s="40" t="s">
        <v>690</v>
      </c>
      <c r="D118" s="11" t="s">
        <v>277</v>
      </c>
      <c r="E118" s="11" t="s">
        <v>277</v>
      </c>
      <c r="F118" s="15" t="s">
        <v>694</v>
      </c>
      <c r="G118" s="23" t="s">
        <v>694</v>
      </c>
      <c r="H118" s="52" t="s">
        <v>694</v>
      </c>
    </row>
    <row r="119" spans="1:8" s="2" customFormat="1" x14ac:dyDescent="0.25">
      <c r="A119" s="38" t="s">
        <v>235</v>
      </c>
      <c r="B119" s="45" t="s">
        <v>48</v>
      </c>
      <c r="C119" s="40" t="s">
        <v>690</v>
      </c>
      <c r="D119" s="11" t="s">
        <v>277</v>
      </c>
      <c r="E119" s="11" t="s">
        <v>277</v>
      </c>
      <c r="F119" s="15" t="s">
        <v>694</v>
      </c>
      <c r="G119" s="23" t="s">
        <v>694</v>
      </c>
      <c r="H119" s="52" t="s">
        <v>694</v>
      </c>
    </row>
    <row r="120" spans="1:8" s="2" customFormat="1" x14ac:dyDescent="0.25">
      <c r="A120" s="38" t="s">
        <v>236</v>
      </c>
      <c r="B120" s="45" t="s">
        <v>49</v>
      </c>
      <c r="C120" s="40" t="s">
        <v>690</v>
      </c>
      <c r="D120" s="11" t="s">
        <v>277</v>
      </c>
      <c r="E120" s="11" t="s">
        <v>277</v>
      </c>
      <c r="F120" s="15" t="s">
        <v>694</v>
      </c>
      <c r="G120" s="23" t="s">
        <v>694</v>
      </c>
      <c r="H120" s="52" t="s">
        <v>694</v>
      </c>
    </row>
    <row r="121" spans="1:8" s="2" customFormat="1" x14ac:dyDescent="0.25">
      <c r="A121" s="38" t="s">
        <v>237</v>
      </c>
      <c r="B121" s="43" t="s">
        <v>126</v>
      </c>
      <c r="C121" s="40" t="s">
        <v>690</v>
      </c>
      <c r="D121" s="11" t="s">
        <v>277</v>
      </c>
      <c r="E121" s="11" t="s">
        <v>277</v>
      </c>
      <c r="F121" s="15" t="s">
        <v>694</v>
      </c>
      <c r="G121" s="23" t="s">
        <v>694</v>
      </c>
      <c r="H121" s="52" t="s">
        <v>694</v>
      </c>
    </row>
    <row r="122" spans="1:8" s="2" customFormat="1" x14ac:dyDescent="0.25">
      <c r="A122" s="38" t="s">
        <v>238</v>
      </c>
      <c r="B122" s="68" t="s">
        <v>239</v>
      </c>
      <c r="C122" s="40" t="s">
        <v>690</v>
      </c>
      <c r="D122" s="11">
        <v>48.873781875753501</v>
      </c>
      <c r="E122" s="11">
        <v>36.03299999999998</v>
      </c>
      <c r="F122" s="15">
        <f>E122-D122</f>
        <v>-12.840781875753521</v>
      </c>
      <c r="G122" s="44">
        <f>F122/D122*100</f>
        <v>-26.273354307627027</v>
      </c>
      <c r="H122" s="52" t="s">
        <v>694</v>
      </c>
    </row>
    <row r="123" spans="1:8" s="2" customFormat="1" ht="36.75" customHeight="1" x14ac:dyDescent="0.25">
      <c r="A123" s="38" t="s">
        <v>11</v>
      </c>
      <c r="B123" s="39" t="s">
        <v>108</v>
      </c>
      <c r="C123" s="40" t="s">
        <v>690</v>
      </c>
      <c r="D123" s="11" t="s">
        <v>277</v>
      </c>
      <c r="E123" s="11" t="s">
        <v>277</v>
      </c>
      <c r="F123" s="15" t="s">
        <v>694</v>
      </c>
      <c r="G123" s="23" t="s">
        <v>694</v>
      </c>
      <c r="H123" s="52" t="s">
        <v>694</v>
      </c>
    </row>
    <row r="124" spans="1:8" s="2" customFormat="1" ht="25.5" x14ac:dyDescent="0.25">
      <c r="A124" s="38" t="s">
        <v>240</v>
      </c>
      <c r="B124" s="53" t="s">
        <v>109</v>
      </c>
      <c r="C124" s="40" t="s">
        <v>690</v>
      </c>
      <c r="D124" s="11" t="s">
        <v>277</v>
      </c>
      <c r="E124" s="11" t="s">
        <v>277</v>
      </c>
      <c r="F124" s="15" t="s">
        <v>694</v>
      </c>
      <c r="G124" s="23" t="s">
        <v>694</v>
      </c>
      <c r="H124" s="52" t="s">
        <v>694</v>
      </c>
    </row>
    <row r="125" spans="1:8" s="2" customFormat="1" ht="25.5" x14ac:dyDescent="0.25">
      <c r="A125" s="38" t="s">
        <v>241</v>
      </c>
      <c r="B125" s="53" t="s">
        <v>110</v>
      </c>
      <c r="C125" s="40" t="s">
        <v>690</v>
      </c>
      <c r="D125" s="11" t="s">
        <v>277</v>
      </c>
      <c r="E125" s="11" t="s">
        <v>277</v>
      </c>
      <c r="F125" s="15" t="s">
        <v>694</v>
      </c>
      <c r="G125" s="23" t="s">
        <v>694</v>
      </c>
      <c r="H125" s="52" t="s">
        <v>694</v>
      </c>
    </row>
    <row r="126" spans="1:8" s="2" customFormat="1" ht="25.5" x14ac:dyDescent="0.25">
      <c r="A126" s="38" t="s">
        <v>242</v>
      </c>
      <c r="B126" s="53" t="s">
        <v>111</v>
      </c>
      <c r="C126" s="40" t="s">
        <v>690</v>
      </c>
      <c r="D126" s="11" t="s">
        <v>277</v>
      </c>
      <c r="E126" s="11" t="s">
        <v>277</v>
      </c>
      <c r="F126" s="15" t="s">
        <v>694</v>
      </c>
      <c r="G126" s="23" t="s">
        <v>694</v>
      </c>
      <c r="H126" s="52" t="s">
        <v>694</v>
      </c>
    </row>
    <row r="127" spans="1:8" s="2" customFormat="1" x14ac:dyDescent="0.25">
      <c r="A127" s="38" t="s">
        <v>12</v>
      </c>
      <c r="B127" s="54" t="s">
        <v>243</v>
      </c>
      <c r="C127" s="40" t="s">
        <v>690</v>
      </c>
      <c r="D127" s="11" t="s">
        <v>277</v>
      </c>
      <c r="E127" s="11" t="s">
        <v>277</v>
      </c>
      <c r="F127" s="15" t="s">
        <v>694</v>
      </c>
      <c r="G127" s="23" t="s">
        <v>694</v>
      </c>
      <c r="H127" s="52" t="s">
        <v>694</v>
      </c>
    </row>
    <row r="128" spans="1:8" s="2" customFormat="1" x14ac:dyDescent="0.25">
      <c r="A128" s="38" t="s">
        <v>13</v>
      </c>
      <c r="B128" s="54" t="s">
        <v>244</v>
      </c>
      <c r="C128" s="40" t="s">
        <v>690</v>
      </c>
      <c r="D128" s="11" t="s">
        <v>277</v>
      </c>
      <c r="E128" s="11" t="s">
        <v>277</v>
      </c>
      <c r="F128" s="15" t="s">
        <v>694</v>
      </c>
      <c r="G128" s="23" t="s">
        <v>694</v>
      </c>
      <c r="H128" s="52" t="s">
        <v>694</v>
      </c>
    </row>
    <row r="129" spans="1:9" s="2" customFormat="1" x14ac:dyDescent="0.25">
      <c r="A129" s="38" t="s">
        <v>14</v>
      </c>
      <c r="B129" s="54" t="s">
        <v>245</v>
      </c>
      <c r="C129" s="40" t="s">
        <v>690</v>
      </c>
      <c r="D129" s="11" t="s">
        <v>277</v>
      </c>
      <c r="E129" s="11" t="s">
        <v>277</v>
      </c>
      <c r="F129" s="15" t="s">
        <v>694</v>
      </c>
      <c r="G129" s="23" t="s">
        <v>694</v>
      </c>
      <c r="H129" s="52" t="s">
        <v>694</v>
      </c>
    </row>
    <row r="130" spans="1:9" s="2" customFormat="1" x14ac:dyDescent="0.25">
      <c r="A130" s="38" t="s">
        <v>246</v>
      </c>
      <c r="B130" s="54" t="s">
        <v>247</v>
      </c>
      <c r="C130" s="40" t="s">
        <v>690</v>
      </c>
      <c r="D130" s="11" t="s">
        <v>277</v>
      </c>
      <c r="E130" s="11" t="s">
        <v>277</v>
      </c>
      <c r="F130" s="15" t="s">
        <v>694</v>
      </c>
      <c r="G130" s="23" t="s">
        <v>694</v>
      </c>
      <c r="H130" s="52" t="s">
        <v>694</v>
      </c>
      <c r="I130" s="104"/>
    </row>
    <row r="131" spans="1:9" s="2" customFormat="1" x14ac:dyDescent="0.25">
      <c r="A131" s="38" t="s">
        <v>248</v>
      </c>
      <c r="B131" s="54" t="s">
        <v>249</v>
      </c>
      <c r="C131" s="40" t="s">
        <v>690</v>
      </c>
      <c r="D131" s="11" t="s">
        <v>277</v>
      </c>
      <c r="E131" s="11" t="s">
        <v>277</v>
      </c>
      <c r="F131" s="15" t="s">
        <v>694</v>
      </c>
      <c r="G131" s="23" t="s">
        <v>694</v>
      </c>
      <c r="H131" s="52" t="s">
        <v>694</v>
      </c>
    </row>
    <row r="132" spans="1:9" s="2" customFormat="1" x14ac:dyDescent="0.25">
      <c r="A132" s="38" t="s">
        <v>250</v>
      </c>
      <c r="B132" s="54" t="s">
        <v>251</v>
      </c>
      <c r="C132" s="40" t="s">
        <v>690</v>
      </c>
      <c r="D132" s="11" t="s">
        <v>277</v>
      </c>
      <c r="E132" s="11" t="s">
        <v>277</v>
      </c>
      <c r="F132" s="15" t="s">
        <v>694</v>
      </c>
      <c r="G132" s="23" t="s">
        <v>694</v>
      </c>
      <c r="H132" s="52" t="s">
        <v>694</v>
      </c>
    </row>
    <row r="133" spans="1:9" s="2" customFormat="1" ht="29.25" customHeight="1" x14ac:dyDescent="0.25">
      <c r="A133" s="38" t="s">
        <v>252</v>
      </c>
      <c r="B133" s="54" t="s">
        <v>122</v>
      </c>
      <c r="C133" s="40" t="s">
        <v>690</v>
      </c>
      <c r="D133" s="11" t="s">
        <v>277</v>
      </c>
      <c r="E133" s="11" t="s">
        <v>277</v>
      </c>
      <c r="F133" s="15" t="s">
        <v>694</v>
      </c>
      <c r="G133" s="23" t="s">
        <v>694</v>
      </c>
      <c r="H133" s="52" t="s">
        <v>694</v>
      </c>
    </row>
    <row r="134" spans="1:9" s="2" customFormat="1" x14ac:dyDescent="0.25">
      <c r="A134" s="38" t="s">
        <v>253</v>
      </c>
      <c r="B134" s="45" t="s">
        <v>254</v>
      </c>
      <c r="C134" s="40" t="s">
        <v>690</v>
      </c>
      <c r="D134" s="11" t="s">
        <v>277</v>
      </c>
      <c r="E134" s="11" t="s">
        <v>277</v>
      </c>
      <c r="F134" s="15" t="s">
        <v>694</v>
      </c>
      <c r="G134" s="23" t="s">
        <v>694</v>
      </c>
      <c r="H134" s="52" t="s">
        <v>694</v>
      </c>
    </row>
    <row r="135" spans="1:9" s="2" customFormat="1" x14ac:dyDescent="0.25">
      <c r="A135" s="38" t="s">
        <v>255</v>
      </c>
      <c r="B135" s="45" t="s">
        <v>49</v>
      </c>
      <c r="C135" s="40" t="s">
        <v>690</v>
      </c>
      <c r="D135" s="11" t="s">
        <v>277</v>
      </c>
      <c r="E135" s="11" t="s">
        <v>277</v>
      </c>
      <c r="F135" s="15" t="s">
        <v>694</v>
      </c>
      <c r="G135" s="23" t="s">
        <v>694</v>
      </c>
      <c r="H135" s="52" t="s">
        <v>694</v>
      </c>
    </row>
    <row r="136" spans="1:9" s="2" customFormat="1" x14ac:dyDescent="0.25">
      <c r="A136" s="38" t="s">
        <v>256</v>
      </c>
      <c r="B136" s="54" t="s">
        <v>257</v>
      </c>
      <c r="C136" s="40" t="s">
        <v>690</v>
      </c>
      <c r="D136" s="11" t="s">
        <v>277</v>
      </c>
      <c r="E136" s="11" t="s">
        <v>277</v>
      </c>
      <c r="F136" s="15" t="s">
        <v>694</v>
      </c>
      <c r="G136" s="23" t="s">
        <v>694</v>
      </c>
      <c r="H136" s="52" t="s">
        <v>694</v>
      </c>
    </row>
    <row r="137" spans="1:9" s="2" customFormat="1" ht="21.75" customHeight="1" x14ac:dyDescent="0.25">
      <c r="A137" s="38" t="s">
        <v>258</v>
      </c>
      <c r="B137" s="68" t="s">
        <v>259</v>
      </c>
      <c r="C137" s="40" t="s">
        <v>690</v>
      </c>
      <c r="D137" s="11">
        <f>D107-D122</f>
        <v>173.08804406068552</v>
      </c>
      <c r="E137" s="11">
        <f>E107-E122</f>
        <v>155.28436873328022</v>
      </c>
      <c r="F137" s="15">
        <f>E137-D137</f>
        <v>-17.803675327405301</v>
      </c>
      <c r="G137" s="44">
        <f>F137/D137*100</f>
        <v>-10.285907050381391</v>
      </c>
      <c r="H137" s="52" t="s">
        <v>694</v>
      </c>
    </row>
    <row r="138" spans="1:9" s="2" customFormat="1" ht="23.25" customHeight="1" x14ac:dyDescent="0.25">
      <c r="A138" s="38" t="s">
        <v>15</v>
      </c>
      <c r="B138" s="43" t="s">
        <v>108</v>
      </c>
      <c r="C138" s="40" t="s">
        <v>690</v>
      </c>
      <c r="D138" s="11" t="s">
        <v>277</v>
      </c>
      <c r="E138" s="11" t="s">
        <v>277</v>
      </c>
      <c r="F138" s="15" t="s">
        <v>694</v>
      </c>
      <c r="G138" s="23" t="s">
        <v>694</v>
      </c>
      <c r="H138" s="52" t="s">
        <v>694</v>
      </c>
    </row>
    <row r="139" spans="1:9" s="2" customFormat="1" ht="36" customHeight="1" x14ac:dyDescent="0.25">
      <c r="A139" s="38" t="s">
        <v>260</v>
      </c>
      <c r="B139" s="53" t="s">
        <v>109</v>
      </c>
      <c r="C139" s="40" t="s">
        <v>690</v>
      </c>
      <c r="D139" s="11" t="s">
        <v>277</v>
      </c>
      <c r="E139" s="11" t="s">
        <v>277</v>
      </c>
      <c r="F139" s="15" t="s">
        <v>694</v>
      </c>
      <c r="G139" s="23" t="s">
        <v>694</v>
      </c>
      <c r="H139" s="52" t="s">
        <v>694</v>
      </c>
    </row>
    <row r="140" spans="1:9" s="2" customFormat="1" ht="35.25" customHeight="1" x14ac:dyDescent="0.25">
      <c r="A140" s="38" t="s">
        <v>261</v>
      </c>
      <c r="B140" s="53" t="s">
        <v>110</v>
      </c>
      <c r="C140" s="40" t="s">
        <v>690</v>
      </c>
      <c r="D140" s="11" t="s">
        <v>277</v>
      </c>
      <c r="E140" s="11" t="s">
        <v>277</v>
      </c>
      <c r="F140" s="15" t="s">
        <v>694</v>
      </c>
      <c r="G140" s="23" t="s">
        <v>694</v>
      </c>
      <c r="H140" s="52" t="s">
        <v>694</v>
      </c>
    </row>
    <row r="141" spans="1:9" s="2" customFormat="1" ht="31.5" customHeight="1" x14ac:dyDescent="0.25">
      <c r="A141" s="38" t="s">
        <v>262</v>
      </c>
      <c r="B141" s="53" t="s">
        <v>111</v>
      </c>
      <c r="C141" s="40" t="s">
        <v>690</v>
      </c>
      <c r="D141" s="11" t="s">
        <v>277</v>
      </c>
      <c r="E141" s="11" t="s">
        <v>277</v>
      </c>
      <c r="F141" s="15" t="s">
        <v>694</v>
      </c>
      <c r="G141" s="23" t="s">
        <v>694</v>
      </c>
      <c r="H141" s="52" t="s">
        <v>694</v>
      </c>
    </row>
    <row r="142" spans="1:9" s="2" customFormat="1" x14ac:dyDescent="0.25">
      <c r="A142" s="38" t="s">
        <v>16</v>
      </c>
      <c r="B142" s="43" t="s">
        <v>112</v>
      </c>
      <c r="C142" s="40" t="s">
        <v>690</v>
      </c>
      <c r="D142" s="11" t="s">
        <v>277</v>
      </c>
      <c r="E142" s="11" t="s">
        <v>277</v>
      </c>
      <c r="F142" s="15" t="s">
        <v>694</v>
      </c>
      <c r="G142" s="23" t="s">
        <v>694</v>
      </c>
      <c r="H142" s="52" t="s">
        <v>694</v>
      </c>
    </row>
    <row r="143" spans="1:9" s="2" customFormat="1" x14ac:dyDescent="0.25">
      <c r="A143" s="38" t="s">
        <v>17</v>
      </c>
      <c r="B143" s="43" t="s">
        <v>113</v>
      </c>
      <c r="C143" s="40" t="s">
        <v>690</v>
      </c>
      <c r="D143" s="11" t="str">
        <f>D140</f>
        <v>-</v>
      </c>
      <c r="E143" s="11" t="s">
        <v>277</v>
      </c>
      <c r="F143" s="15" t="s">
        <v>694</v>
      </c>
      <c r="G143" s="23" t="s">
        <v>694</v>
      </c>
      <c r="H143" s="52" t="s">
        <v>694</v>
      </c>
    </row>
    <row r="144" spans="1:9" s="2" customFormat="1" x14ac:dyDescent="0.25">
      <c r="A144" s="38" t="s">
        <v>18</v>
      </c>
      <c r="B144" s="43" t="s">
        <v>114</v>
      </c>
      <c r="C144" s="40" t="s">
        <v>690</v>
      </c>
      <c r="D144" s="11" t="s">
        <v>277</v>
      </c>
      <c r="E144" s="11" t="s">
        <v>277</v>
      </c>
      <c r="F144" s="15" t="s">
        <v>694</v>
      </c>
      <c r="G144" s="23" t="s">
        <v>694</v>
      </c>
      <c r="H144" s="52" t="s">
        <v>694</v>
      </c>
    </row>
    <row r="145" spans="1:8" s="2" customFormat="1" x14ac:dyDescent="0.25">
      <c r="A145" s="38" t="s">
        <v>263</v>
      </c>
      <c r="B145" s="42" t="s">
        <v>116</v>
      </c>
      <c r="C145" s="40" t="s">
        <v>690</v>
      </c>
      <c r="D145" s="11" t="s">
        <v>277</v>
      </c>
      <c r="E145" s="11" t="s">
        <v>277</v>
      </c>
      <c r="F145" s="15" t="s">
        <v>694</v>
      </c>
      <c r="G145" s="23" t="s">
        <v>694</v>
      </c>
      <c r="H145" s="52" t="s">
        <v>694</v>
      </c>
    </row>
    <row r="146" spans="1:8" s="2" customFormat="1" x14ac:dyDescent="0.25">
      <c r="A146" s="38" t="s">
        <v>264</v>
      </c>
      <c r="B146" s="43" t="s">
        <v>118</v>
      </c>
      <c r="C146" s="40" t="s">
        <v>690</v>
      </c>
      <c r="D146" s="11" t="s">
        <v>277</v>
      </c>
      <c r="E146" s="11" t="s">
        <v>277</v>
      </c>
      <c r="F146" s="15" t="s">
        <v>694</v>
      </c>
      <c r="G146" s="23" t="s">
        <v>694</v>
      </c>
      <c r="H146" s="52" t="s">
        <v>694</v>
      </c>
    </row>
    <row r="147" spans="1:8" s="2" customFormat="1" x14ac:dyDescent="0.25">
      <c r="A147" s="38" t="s">
        <v>265</v>
      </c>
      <c r="B147" s="43" t="s">
        <v>120</v>
      </c>
      <c r="C147" s="40" t="s">
        <v>690</v>
      </c>
      <c r="D147" s="11" t="s">
        <v>277</v>
      </c>
      <c r="E147" s="11" t="s">
        <v>277</v>
      </c>
      <c r="F147" s="15" t="s">
        <v>694</v>
      </c>
      <c r="G147" s="23" t="s">
        <v>694</v>
      </c>
      <c r="H147" s="52" t="s">
        <v>694</v>
      </c>
    </row>
    <row r="148" spans="1:8" s="2" customFormat="1" ht="25.5" x14ac:dyDescent="0.25">
      <c r="A148" s="38" t="s">
        <v>266</v>
      </c>
      <c r="B148" s="42" t="s">
        <v>122</v>
      </c>
      <c r="C148" s="40" t="s">
        <v>690</v>
      </c>
      <c r="D148" s="11" t="s">
        <v>277</v>
      </c>
      <c r="E148" s="11" t="s">
        <v>277</v>
      </c>
      <c r="F148" s="15" t="s">
        <v>694</v>
      </c>
      <c r="G148" s="23" t="s">
        <v>694</v>
      </c>
      <c r="H148" s="52" t="s">
        <v>694</v>
      </c>
    </row>
    <row r="149" spans="1:8" s="2" customFormat="1" x14ac:dyDescent="0.25">
      <c r="A149" s="38" t="s">
        <v>267</v>
      </c>
      <c r="B149" s="45" t="s">
        <v>48</v>
      </c>
      <c r="C149" s="40" t="s">
        <v>690</v>
      </c>
      <c r="D149" s="11" t="s">
        <v>277</v>
      </c>
      <c r="E149" s="11" t="s">
        <v>277</v>
      </c>
      <c r="F149" s="15" t="s">
        <v>694</v>
      </c>
      <c r="G149" s="23" t="s">
        <v>694</v>
      </c>
      <c r="H149" s="52" t="s">
        <v>694</v>
      </c>
    </row>
    <row r="150" spans="1:8" s="2" customFormat="1" x14ac:dyDescent="0.25">
      <c r="A150" s="38" t="s">
        <v>268</v>
      </c>
      <c r="B150" s="45" t="s">
        <v>49</v>
      </c>
      <c r="C150" s="40" t="s">
        <v>690</v>
      </c>
      <c r="D150" s="11" t="s">
        <v>277</v>
      </c>
      <c r="E150" s="11" t="s">
        <v>277</v>
      </c>
      <c r="F150" s="15" t="s">
        <v>694</v>
      </c>
      <c r="G150" s="23" t="s">
        <v>694</v>
      </c>
      <c r="H150" s="52" t="s">
        <v>694</v>
      </c>
    </row>
    <row r="151" spans="1:8" s="2" customFormat="1" x14ac:dyDescent="0.25">
      <c r="A151" s="38" t="s">
        <v>269</v>
      </c>
      <c r="B151" s="43" t="s">
        <v>126</v>
      </c>
      <c r="C151" s="40" t="s">
        <v>690</v>
      </c>
      <c r="D151" s="11" t="s">
        <v>277</v>
      </c>
      <c r="E151" s="11" t="s">
        <v>277</v>
      </c>
      <c r="F151" s="15" t="s">
        <v>694</v>
      </c>
      <c r="G151" s="23" t="s">
        <v>694</v>
      </c>
      <c r="H151" s="52" t="s">
        <v>694</v>
      </c>
    </row>
    <row r="152" spans="1:8" s="2" customFormat="1" x14ac:dyDescent="0.25">
      <c r="A152" s="38" t="s">
        <v>270</v>
      </c>
      <c r="B152" s="68" t="s">
        <v>271</v>
      </c>
      <c r="C152" s="40" t="s">
        <v>690</v>
      </c>
      <c r="D152" s="11" t="s">
        <v>277</v>
      </c>
      <c r="E152" s="11" t="s">
        <v>277</v>
      </c>
      <c r="F152" s="15" t="s">
        <v>694</v>
      </c>
      <c r="G152" s="23" t="s">
        <v>694</v>
      </c>
      <c r="H152" s="52" t="s">
        <v>694</v>
      </c>
    </row>
    <row r="153" spans="1:8" s="2" customFormat="1" x14ac:dyDescent="0.25">
      <c r="A153" s="38" t="s">
        <v>19</v>
      </c>
      <c r="B153" s="54" t="s">
        <v>272</v>
      </c>
      <c r="C153" s="40" t="s">
        <v>690</v>
      </c>
      <c r="D153" s="11" t="s">
        <v>277</v>
      </c>
      <c r="E153" s="11" t="s">
        <v>277</v>
      </c>
      <c r="F153" s="15" t="s">
        <v>694</v>
      </c>
      <c r="G153" s="23" t="s">
        <v>694</v>
      </c>
      <c r="H153" s="52" t="s">
        <v>694</v>
      </c>
    </row>
    <row r="154" spans="1:8" s="2" customFormat="1" x14ac:dyDescent="0.25">
      <c r="A154" s="38" t="s">
        <v>20</v>
      </c>
      <c r="B154" s="54" t="s">
        <v>273</v>
      </c>
      <c r="C154" s="40" t="s">
        <v>690</v>
      </c>
      <c r="D154" s="11" t="s">
        <v>277</v>
      </c>
      <c r="E154" s="11" t="s">
        <v>277</v>
      </c>
      <c r="F154" s="15" t="s">
        <v>694</v>
      </c>
      <c r="G154" s="23" t="s">
        <v>694</v>
      </c>
      <c r="H154" s="52" t="s">
        <v>694</v>
      </c>
    </row>
    <row r="155" spans="1:8" s="2" customFormat="1" x14ac:dyDescent="0.25">
      <c r="A155" s="38" t="s">
        <v>21</v>
      </c>
      <c r="B155" s="54" t="s">
        <v>274</v>
      </c>
      <c r="C155" s="40" t="s">
        <v>690</v>
      </c>
      <c r="D155" s="11" t="s">
        <v>277</v>
      </c>
      <c r="E155" s="11" t="s">
        <v>277</v>
      </c>
      <c r="F155" s="15" t="s">
        <v>694</v>
      </c>
      <c r="G155" s="23" t="s">
        <v>694</v>
      </c>
      <c r="H155" s="52" t="s">
        <v>694</v>
      </c>
    </row>
    <row r="156" spans="1:8" s="2" customFormat="1" ht="16.5" thickBot="1" x14ac:dyDescent="0.3">
      <c r="A156" s="66" t="s">
        <v>22</v>
      </c>
      <c r="B156" s="54" t="s">
        <v>275</v>
      </c>
      <c r="C156" s="46" t="s">
        <v>690</v>
      </c>
      <c r="D156" s="12" t="s">
        <v>277</v>
      </c>
      <c r="E156" s="12" t="s">
        <v>277</v>
      </c>
      <c r="F156" s="47" t="s">
        <v>694</v>
      </c>
      <c r="G156" s="60" t="s">
        <v>694</v>
      </c>
      <c r="H156" s="49" t="s">
        <v>694</v>
      </c>
    </row>
    <row r="157" spans="1:8" s="2" customFormat="1" x14ac:dyDescent="0.25">
      <c r="A157" s="61" t="s">
        <v>276</v>
      </c>
      <c r="B157" s="50" t="s">
        <v>179</v>
      </c>
      <c r="C157" s="34" t="s">
        <v>277</v>
      </c>
      <c r="D157" s="10" t="s">
        <v>277</v>
      </c>
      <c r="E157" s="16"/>
      <c r="F157" s="16" t="s">
        <v>694</v>
      </c>
      <c r="G157" s="69" t="s">
        <v>694</v>
      </c>
      <c r="H157" s="52" t="s">
        <v>694</v>
      </c>
    </row>
    <row r="158" spans="1:8" s="2" customFormat="1" ht="25.5" x14ac:dyDescent="0.25">
      <c r="A158" s="38" t="s">
        <v>23</v>
      </c>
      <c r="B158" s="54" t="s">
        <v>278</v>
      </c>
      <c r="C158" s="40" t="s">
        <v>690</v>
      </c>
      <c r="D158" s="11">
        <f>D107+D103+D67</f>
        <v>487.53776120490403</v>
      </c>
      <c r="E158" s="11">
        <f>E107+E103+E67</f>
        <v>388.62321571328022</v>
      </c>
      <c r="F158" s="15">
        <f>E158-D158</f>
        <v>-98.914545491623812</v>
      </c>
      <c r="G158" s="44">
        <f>F158/D158*100</f>
        <v>-20.288591646145676</v>
      </c>
      <c r="H158" s="41" t="s">
        <v>694</v>
      </c>
    </row>
    <row r="159" spans="1:8" s="2" customFormat="1" x14ac:dyDescent="0.25">
      <c r="A159" s="38" t="s">
        <v>24</v>
      </c>
      <c r="B159" s="54" t="s">
        <v>279</v>
      </c>
      <c r="C159" s="40" t="s">
        <v>690</v>
      </c>
      <c r="D159" s="11" t="s">
        <v>277</v>
      </c>
      <c r="E159" s="11" t="s">
        <v>277</v>
      </c>
      <c r="F159" s="15" t="s">
        <v>694</v>
      </c>
      <c r="G159" s="23" t="s">
        <v>694</v>
      </c>
      <c r="H159" s="41" t="s">
        <v>694</v>
      </c>
    </row>
    <row r="160" spans="1:8" s="2" customFormat="1" x14ac:dyDescent="0.25">
      <c r="A160" s="38" t="s">
        <v>280</v>
      </c>
      <c r="B160" s="53" t="s">
        <v>281</v>
      </c>
      <c r="C160" s="40" t="s">
        <v>690</v>
      </c>
      <c r="D160" s="11" t="s">
        <v>277</v>
      </c>
      <c r="E160" s="11" t="s">
        <v>277</v>
      </c>
      <c r="F160" s="15" t="s">
        <v>694</v>
      </c>
      <c r="G160" s="23" t="s">
        <v>694</v>
      </c>
      <c r="H160" s="41" t="s">
        <v>694</v>
      </c>
    </row>
    <row r="161" spans="1:8" s="2" customFormat="1" x14ac:dyDescent="0.25">
      <c r="A161" s="38" t="s">
        <v>25</v>
      </c>
      <c r="B161" s="54" t="s">
        <v>282</v>
      </c>
      <c r="C161" s="40" t="s">
        <v>690</v>
      </c>
      <c r="D161" s="11" t="s">
        <v>277</v>
      </c>
      <c r="E161" s="11" t="s">
        <v>277</v>
      </c>
      <c r="F161" s="15" t="s">
        <v>694</v>
      </c>
      <c r="G161" s="23" t="s">
        <v>694</v>
      </c>
      <c r="H161" s="41" t="s">
        <v>694</v>
      </c>
    </row>
    <row r="162" spans="1:8" s="2" customFormat="1" x14ac:dyDescent="0.25">
      <c r="A162" s="57" t="s">
        <v>283</v>
      </c>
      <c r="B162" s="53" t="s">
        <v>284</v>
      </c>
      <c r="C162" s="40" t="s">
        <v>690</v>
      </c>
      <c r="D162" s="11" t="s">
        <v>277</v>
      </c>
      <c r="E162" s="11" t="s">
        <v>277</v>
      </c>
      <c r="F162" s="15" t="s">
        <v>694</v>
      </c>
      <c r="G162" s="23" t="s">
        <v>694</v>
      </c>
      <c r="H162" s="41" t="s">
        <v>694</v>
      </c>
    </row>
    <row r="163" spans="1:8" s="2" customFormat="1" ht="39.75" customHeight="1" thickBot="1" x14ac:dyDescent="0.3">
      <c r="A163" s="66" t="s">
        <v>26</v>
      </c>
      <c r="B163" s="70" t="s">
        <v>285</v>
      </c>
      <c r="C163" s="46" t="s">
        <v>277</v>
      </c>
      <c r="D163" s="12" t="s">
        <v>277</v>
      </c>
      <c r="E163" s="12" t="s">
        <v>277</v>
      </c>
      <c r="F163" s="47" t="s">
        <v>694</v>
      </c>
      <c r="G163" s="60" t="s">
        <v>694</v>
      </c>
      <c r="H163" s="49" t="s">
        <v>694</v>
      </c>
    </row>
    <row r="164" spans="1:8" s="2" customFormat="1" ht="16.5" thickBot="1" x14ac:dyDescent="0.3">
      <c r="A164" s="130" t="s">
        <v>286</v>
      </c>
      <c r="B164" s="131"/>
      <c r="C164" s="131"/>
      <c r="D164" s="133"/>
      <c r="E164" s="133"/>
      <c r="F164" s="133"/>
      <c r="G164" s="133"/>
      <c r="H164" s="134"/>
    </row>
    <row r="165" spans="1:8" s="2" customFormat="1" x14ac:dyDescent="0.25">
      <c r="A165" s="32" t="s">
        <v>287</v>
      </c>
      <c r="B165" s="33" t="s">
        <v>288</v>
      </c>
      <c r="C165" s="40" t="s">
        <v>690</v>
      </c>
      <c r="D165" s="17">
        <f>D166+D170+D171+D173+D174+D175+D176+D179+D182</f>
        <v>2212.3958642064099</v>
      </c>
      <c r="E165" s="17">
        <f>E166+E170+E171+E173+E174+E175+E176+E179+E182</f>
        <v>1471.0878341599998</v>
      </c>
      <c r="F165" s="16">
        <f t="shared" ref="F165:F196" si="4">E165-D165</f>
        <v>-741.30803004641007</v>
      </c>
      <c r="G165" s="69">
        <f>F165/D165*100</f>
        <v>-33.507024761697366</v>
      </c>
      <c r="H165" s="71" t="s">
        <v>694</v>
      </c>
    </row>
    <row r="166" spans="1:8" s="2" customFormat="1" x14ac:dyDescent="0.25">
      <c r="A166" s="38" t="s">
        <v>27</v>
      </c>
      <c r="B166" s="43" t="s">
        <v>108</v>
      </c>
      <c r="C166" s="40" t="s">
        <v>690</v>
      </c>
      <c r="D166" s="18">
        <v>0</v>
      </c>
      <c r="E166" s="18">
        <v>0</v>
      </c>
      <c r="F166" s="16">
        <f t="shared" si="4"/>
        <v>0</v>
      </c>
      <c r="G166" s="69">
        <v>0</v>
      </c>
      <c r="H166" s="71" t="s">
        <v>694</v>
      </c>
    </row>
    <row r="167" spans="1:8" s="2" customFormat="1" ht="25.5" x14ac:dyDescent="0.25">
      <c r="A167" s="38" t="s">
        <v>289</v>
      </c>
      <c r="B167" s="53" t="s">
        <v>109</v>
      </c>
      <c r="C167" s="40" t="s">
        <v>690</v>
      </c>
      <c r="D167" s="18">
        <v>0</v>
      </c>
      <c r="E167" s="18">
        <v>0</v>
      </c>
      <c r="F167" s="16">
        <f t="shared" si="4"/>
        <v>0</v>
      </c>
      <c r="G167" s="69">
        <v>0</v>
      </c>
      <c r="H167" s="71" t="s">
        <v>694</v>
      </c>
    </row>
    <row r="168" spans="1:8" s="2" customFormat="1" ht="25.5" x14ac:dyDescent="0.25">
      <c r="A168" s="38" t="s">
        <v>290</v>
      </c>
      <c r="B168" s="53" t="s">
        <v>110</v>
      </c>
      <c r="C168" s="40" t="s">
        <v>690</v>
      </c>
      <c r="D168" s="18">
        <v>0</v>
      </c>
      <c r="E168" s="18">
        <v>0</v>
      </c>
      <c r="F168" s="16">
        <f t="shared" si="4"/>
        <v>0</v>
      </c>
      <c r="G168" s="69">
        <v>0</v>
      </c>
      <c r="H168" s="71" t="s">
        <v>694</v>
      </c>
    </row>
    <row r="169" spans="1:8" s="2" customFormat="1" ht="25.5" x14ac:dyDescent="0.25">
      <c r="A169" s="38" t="s">
        <v>291</v>
      </c>
      <c r="B169" s="53" t="s">
        <v>111</v>
      </c>
      <c r="C169" s="40" t="s">
        <v>690</v>
      </c>
      <c r="D169" s="18">
        <v>0</v>
      </c>
      <c r="E169" s="18">
        <v>0</v>
      </c>
      <c r="F169" s="16">
        <f t="shared" si="4"/>
        <v>0</v>
      </c>
      <c r="G169" s="69">
        <v>0</v>
      </c>
      <c r="H169" s="71" t="s">
        <v>694</v>
      </c>
    </row>
    <row r="170" spans="1:8" s="2" customFormat="1" x14ac:dyDescent="0.25">
      <c r="A170" s="38" t="s">
        <v>28</v>
      </c>
      <c r="B170" s="43" t="s">
        <v>112</v>
      </c>
      <c r="C170" s="40" t="s">
        <v>690</v>
      </c>
      <c r="D170" s="18">
        <v>0</v>
      </c>
      <c r="E170" s="18">
        <v>0</v>
      </c>
      <c r="F170" s="16">
        <f t="shared" si="4"/>
        <v>0</v>
      </c>
      <c r="G170" s="69">
        <v>0</v>
      </c>
      <c r="H170" s="71" t="s">
        <v>694</v>
      </c>
    </row>
    <row r="171" spans="1:8" s="2" customFormat="1" x14ac:dyDescent="0.25">
      <c r="A171" s="38" t="s">
        <v>29</v>
      </c>
      <c r="B171" s="43" t="s">
        <v>113</v>
      </c>
      <c r="C171" s="40" t="s">
        <v>690</v>
      </c>
      <c r="D171" s="18">
        <f>1938028.35887041/1000</f>
        <v>1938.0283588704099</v>
      </c>
      <c r="E171" s="18">
        <f>1289386.12918/1000</f>
        <v>1289.3861291799999</v>
      </c>
      <c r="F171" s="16">
        <f t="shared" si="4"/>
        <v>-648.64222969040998</v>
      </c>
      <c r="G171" s="69">
        <f t="shared" ref="G171:G229" si="5">F171/D171*100</f>
        <v>-33.469181538110959</v>
      </c>
      <c r="H171" s="71" t="s">
        <v>694</v>
      </c>
    </row>
    <row r="172" spans="1:8" s="2" customFormat="1" x14ac:dyDescent="0.25">
      <c r="A172" s="38" t="s">
        <v>30</v>
      </c>
      <c r="B172" s="43" t="s">
        <v>114</v>
      </c>
      <c r="C172" s="40" t="s">
        <v>690</v>
      </c>
      <c r="D172" s="18">
        <v>0</v>
      </c>
      <c r="E172" s="101">
        <v>0</v>
      </c>
      <c r="F172" s="16">
        <f t="shared" si="4"/>
        <v>0</v>
      </c>
      <c r="G172" s="69">
        <v>0</v>
      </c>
      <c r="H172" s="71" t="s">
        <v>694</v>
      </c>
    </row>
    <row r="173" spans="1:8" s="2" customFormat="1" x14ac:dyDescent="0.25">
      <c r="A173" s="38" t="s">
        <v>292</v>
      </c>
      <c r="B173" s="43" t="s">
        <v>116</v>
      </c>
      <c r="C173" s="40" t="s">
        <v>690</v>
      </c>
      <c r="D173" s="18">
        <f>112834.520346/1000</f>
        <v>112.83452034600001</v>
      </c>
      <c r="E173" s="18">
        <f>45323.58649/1000</f>
        <v>45.323586490000004</v>
      </c>
      <c r="F173" s="16">
        <f t="shared" si="4"/>
        <v>-67.510933856000008</v>
      </c>
      <c r="G173" s="69">
        <f t="shared" si="5"/>
        <v>-59.831808252458508</v>
      </c>
      <c r="H173" s="71" t="s">
        <v>694</v>
      </c>
    </row>
    <row r="174" spans="1:8" s="2" customFormat="1" x14ac:dyDescent="0.25">
      <c r="A174" s="38" t="s">
        <v>293</v>
      </c>
      <c r="B174" s="43" t="s">
        <v>118</v>
      </c>
      <c r="C174" s="40" t="s">
        <v>690</v>
      </c>
      <c r="D174" s="18">
        <v>0</v>
      </c>
      <c r="E174" s="18">
        <v>0</v>
      </c>
      <c r="F174" s="16">
        <f t="shared" si="4"/>
        <v>0</v>
      </c>
      <c r="G174" s="69">
        <v>0</v>
      </c>
      <c r="H174" s="71" t="s">
        <v>694</v>
      </c>
    </row>
    <row r="175" spans="1:8" s="2" customFormat="1" x14ac:dyDescent="0.25">
      <c r="A175" s="38" t="s">
        <v>294</v>
      </c>
      <c r="B175" s="43" t="s">
        <v>120</v>
      </c>
      <c r="C175" s="40" t="s">
        <v>690</v>
      </c>
      <c r="D175" s="18">
        <v>0</v>
      </c>
      <c r="E175" s="101">
        <v>0</v>
      </c>
      <c r="F175" s="16">
        <f t="shared" si="4"/>
        <v>0</v>
      </c>
      <c r="G175" s="69">
        <v>0</v>
      </c>
      <c r="H175" s="71" t="s">
        <v>694</v>
      </c>
    </row>
    <row r="176" spans="1:8" s="2" customFormat="1" ht="33" customHeight="1" x14ac:dyDescent="0.25">
      <c r="A176" s="38" t="s">
        <v>295</v>
      </c>
      <c r="B176" s="42" t="s">
        <v>122</v>
      </c>
      <c r="C176" s="40" t="s">
        <v>690</v>
      </c>
      <c r="D176" s="18">
        <v>0</v>
      </c>
      <c r="E176" s="101">
        <v>0</v>
      </c>
      <c r="F176" s="16">
        <f t="shared" si="4"/>
        <v>0</v>
      </c>
      <c r="G176" s="69">
        <v>0</v>
      </c>
      <c r="H176" s="71" t="s">
        <v>694</v>
      </c>
    </row>
    <row r="177" spans="1:8" s="2" customFormat="1" x14ac:dyDescent="0.25">
      <c r="A177" s="38" t="s">
        <v>296</v>
      </c>
      <c r="B177" s="45" t="s">
        <v>48</v>
      </c>
      <c r="C177" s="40" t="s">
        <v>690</v>
      </c>
      <c r="D177" s="18">
        <v>0</v>
      </c>
      <c r="E177" s="101">
        <v>0</v>
      </c>
      <c r="F177" s="16">
        <f t="shared" si="4"/>
        <v>0</v>
      </c>
      <c r="G177" s="69">
        <v>0</v>
      </c>
      <c r="H177" s="71" t="s">
        <v>694</v>
      </c>
    </row>
    <row r="178" spans="1:8" s="2" customFormat="1" x14ac:dyDescent="0.25">
      <c r="A178" s="38" t="s">
        <v>297</v>
      </c>
      <c r="B178" s="45" t="s">
        <v>49</v>
      </c>
      <c r="C178" s="40" t="s">
        <v>690</v>
      </c>
      <c r="D178" s="18">
        <v>0</v>
      </c>
      <c r="E178" s="101">
        <v>0</v>
      </c>
      <c r="F178" s="16">
        <f t="shared" si="4"/>
        <v>0</v>
      </c>
      <c r="G178" s="69">
        <v>0</v>
      </c>
      <c r="H178" s="71" t="s">
        <v>694</v>
      </c>
    </row>
    <row r="179" spans="1:8" s="2" customFormat="1" ht="37.5" customHeight="1" x14ac:dyDescent="0.25">
      <c r="A179" s="38" t="s">
        <v>298</v>
      </c>
      <c r="B179" s="54" t="s">
        <v>299</v>
      </c>
      <c r="C179" s="40" t="s">
        <v>690</v>
      </c>
      <c r="D179" s="18">
        <v>0</v>
      </c>
      <c r="E179" s="101">
        <v>0</v>
      </c>
      <c r="F179" s="16">
        <f t="shared" si="4"/>
        <v>0</v>
      </c>
      <c r="G179" s="69">
        <v>0</v>
      </c>
      <c r="H179" s="71" t="s">
        <v>694</v>
      </c>
    </row>
    <row r="180" spans="1:8" s="2" customFormat="1" x14ac:dyDescent="0.25">
      <c r="A180" s="38" t="s">
        <v>300</v>
      </c>
      <c r="B180" s="53" t="s">
        <v>301</v>
      </c>
      <c r="C180" s="40" t="s">
        <v>690</v>
      </c>
      <c r="D180" s="18">
        <v>0</v>
      </c>
      <c r="E180" s="101">
        <v>0</v>
      </c>
      <c r="F180" s="16">
        <f t="shared" si="4"/>
        <v>0</v>
      </c>
      <c r="G180" s="69">
        <v>0</v>
      </c>
      <c r="H180" s="71" t="s">
        <v>694</v>
      </c>
    </row>
    <row r="181" spans="1:8" s="2" customFormat="1" x14ac:dyDescent="0.25">
      <c r="A181" s="38" t="s">
        <v>302</v>
      </c>
      <c r="B181" s="53" t="s">
        <v>303</v>
      </c>
      <c r="C181" s="40" t="s">
        <v>690</v>
      </c>
      <c r="D181" s="18">
        <v>0</v>
      </c>
      <c r="E181" s="101">
        <v>0</v>
      </c>
      <c r="F181" s="16">
        <f t="shared" si="4"/>
        <v>0</v>
      </c>
      <c r="G181" s="69">
        <v>0</v>
      </c>
      <c r="H181" s="71" t="s">
        <v>694</v>
      </c>
    </row>
    <row r="182" spans="1:8" s="2" customFormat="1" x14ac:dyDescent="0.25">
      <c r="A182" s="38" t="s">
        <v>304</v>
      </c>
      <c r="B182" s="43" t="s">
        <v>126</v>
      </c>
      <c r="C182" s="40" t="s">
        <v>690</v>
      </c>
      <c r="D182" s="18">
        <f>161532.98499/1000</f>
        <v>161.53298498999999</v>
      </c>
      <c r="E182" s="18">
        <f>136378.11849/1000</f>
        <v>136.37811848999999</v>
      </c>
      <c r="F182" s="16">
        <f t="shared" si="4"/>
        <v>-25.154866499999997</v>
      </c>
      <c r="G182" s="69">
        <f t="shared" si="5"/>
        <v>-15.572588163066051</v>
      </c>
      <c r="H182" s="71" t="s">
        <v>694</v>
      </c>
    </row>
    <row r="183" spans="1:8" s="2" customFormat="1" x14ac:dyDescent="0.25">
      <c r="A183" s="38" t="s">
        <v>305</v>
      </c>
      <c r="B183" s="68" t="s">
        <v>306</v>
      </c>
      <c r="C183" s="40" t="s">
        <v>690</v>
      </c>
      <c r="D183" s="18">
        <f>D184+D185+D189+D190+D191+D192+D193+D194+D196+D197+D198+D199+D200</f>
        <v>1823.4634889927879</v>
      </c>
      <c r="E183" s="18">
        <f>E184+E185+E189+E190+E191+E192+E193+E194+E196+E197+E198+E199+E200</f>
        <v>1285.0509882400002</v>
      </c>
      <c r="F183" s="16">
        <f t="shared" si="4"/>
        <v>-538.41250075278776</v>
      </c>
      <c r="G183" s="69">
        <f t="shared" si="5"/>
        <v>-29.526914248784131</v>
      </c>
      <c r="H183" s="71" t="s">
        <v>694</v>
      </c>
    </row>
    <row r="184" spans="1:8" s="2" customFormat="1" x14ac:dyDescent="0.25">
      <c r="A184" s="38" t="s">
        <v>307</v>
      </c>
      <c r="B184" s="54" t="s">
        <v>308</v>
      </c>
      <c r="C184" s="40" t="s">
        <v>690</v>
      </c>
      <c r="D184" s="18">
        <f>14154.88557156/1000</f>
        <v>14.154885571559999</v>
      </c>
      <c r="E184" s="18">
        <f>10300/1000</f>
        <v>10.3</v>
      </c>
      <c r="F184" s="16">
        <f t="shared" si="4"/>
        <v>-3.8548855715599988</v>
      </c>
      <c r="G184" s="69">
        <f t="shared" si="5"/>
        <v>-27.233604624153486</v>
      </c>
      <c r="H184" s="71" t="s">
        <v>694</v>
      </c>
    </row>
    <row r="185" spans="1:8" s="2" customFormat="1" x14ac:dyDescent="0.25">
      <c r="A185" s="38" t="s">
        <v>309</v>
      </c>
      <c r="B185" s="54" t="s">
        <v>310</v>
      </c>
      <c r="C185" s="40" t="s">
        <v>690</v>
      </c>
      <c r="D185" s="18">
        <f>D188+D187+D186</f>
        <v>881.31853271752004</v>
      </c>
      <c r="E185" s="18">
        <f>E186+E187+E188</f>
        <v>631.78578289000006</v>
      </c>
      <c r="F185" s="16">
        <f t="shared" si="4"/>
        <v>-249.53274982751998</v>
      </c>
      <c r="G185" s="69">
        <f t="shared" si="5"/>
        <v>-28.313571150954132</v>
      </c>
      <c r="H185" s="71" t="s">
        <v>694</v>
      </c>
    </row>
    <row r="186" spans="1:8" s="2" customFormat="1" x14ac:dyDescent="0.25">
      <c r="A186" s="38" t="s">
        <v>311</v>
      </c>
      <c r="B186" s="53" t="s">
        <v>312</v>
      </c>
      <c r="C186" s="40" t="s">
        <v>690</v>
      </c>
      <c r="D186" s="18">
        <v>0</v>
      </c>
      <c r="E186" s="101">
        <v>0</v>
      </c>
      <c r="F186" s="16">
        <f t="shared" si="4"/>
        <v>0</v>
      </c>
      <c r="G186" s="69">
        <v>0</v>
      </c>
      <c r="H186" s="71" t="s">
        <v>694</v>
      </c>
    </row>
    <row r="187" spans="1:8" s="2" customFormat="1" x14ac:dyDescent="0.25">
      <c r="A187" s="38" t="s">
        <v>313</v>
      </c>
      <c r="B187" s="53" t="s">
        <v>314</v>
      </c>
      <c r="C187" s="40" t="s">
        <v>690</v>
      </c>
      <c r="D187" s="18">
        <v>0</v>
      </c>
      <c r="E187" s="101">
        <v>0</v>
      </c>
      <c r="F187" s="16">
        <f t="shared" si="4"/>
        <v>0</v>
      </c>
      <c r="G187" s="69">
        <v>0</v>
      </c>
      <c r="H187" s="71" t="s">
        <v>694</v>
      </c>
    </row>
    <row r="188" spans="1:8" s="2" customFormat="1" x14ac:dyDescent="0.25">
      <c r="A188" s="38" t="s">
        <v>315</v>
      </c>
      <c r="B188" s="53" t="s">
        <v>316</v>
      </c>
      <c r="C188" s="40" t="s">
        <v>690</v>
      </c>
      <c r="D188" s="18">
        <f>881318.53271752/1000</f>
        <v>881.31853271752004</v>
      </c>
      <c r="E188" s="18">
        <f>631785.78289/1000</f>
        <v>631.78578289000006</v>
      </c>
      <c r="F188" s="16">
        <f t="shared" si="4"/>
        <v>-249.53274982751998</v>
      </c>
      <c r="G188" s="69">
        <f t="shared" si="5"/>
        <v>-28.313571150954132</v>
      </c>
      <c r="H188" s="71" t="s">
        <v>694</v>
      </c>
    </row>
    <row r="189" spans="1:8" s="2" customFormat="1" ht="25.5" x14ac:dyDescent="0.25">
      <c r="A189" s="38" t="s">
        <v>317</v>
      </c>
      <c r="B189" s="54" t="s">
        <v>318</v>
      </c>
      <c r="C189" s="40" t="s">
        <v>690</v>
      </c>
      <c r="D189" s="18">
        <v>0</v>
      </c>
      <c r="E189" s="101">
        <v>0</v>
      </c>
      <c r="F189" s="16">
        <f t="shared" si="4"/>
        <v>0</v>
      </c>
      <c r="G189" s="69">
        <v>0</v>
      </c>
      <c r="H189" s="71" t="s">
        <v>694</v>
      </c>
    </row>
    <row r="190" spans="1:8" s="2" customFormat="1" x14ac:dyDescent="0.25">
      <c r="A190" s="38" t="s">
        <v>319</v>
      </c>
      <c r="B190" s="54" t="s">
        <v>320</v>
      </c>
      <c r="C190" s="40" t="s">
        <v>690</v>
      </c>
      <c r="D190" s="18">
        <v>0</v>
      </c>
      <c r="E190" s="101">
        <v>0</v>
      </c>
      <c r="F190" s="16">
        <f t="shared" si="4"/>
        <v>0</v>
      </c>
      <c r="G190" s="69">
        <v>0</v>
      </c>
      <c r="H190" s="71" t="s">
        <v>694</v>
      </c>
    </row>
    <row r="191" spans="1:8" s="2" customFormat="1" x14ac:dyDescent="0.25">
      <c r="A191" s="38" t="s">
        <v>321</v>
      </c>
      <c r="B191" s="54" t="s">
        <v>322</v>
      </c>
      <c r="C191" s="40" t="s">
        <v>690</v>
      </c>
      <c r="D191" s="18">
        <v>0</v>
      </c>
      <c r="E191" s="101">
        <v>0</v>
      </c>
      <c r="F191" s="16">
        <f t="shared" si="4"/>
        <v>0</v>
      </c>
      <c r="G191" s="69">
        <v>0</v>
      </c>
      <c r="H191" s="71" t="s">
        <v>694</v>
      </c>
    </row>
    <row r="192" spans="1:8" s="2" customFormat="1" x14ac:dyDescent="0.25">
      <c r="A192" s="38" t="s">
        <v>323</v>
      </c>
      <c r="B192" s="54" t="s">
        <v>324</v>
      </c>
      <c r="C192" s="40" t="s">
        <v>690</v>
      </c>
      <c r="D192" s="18">
        <f>430300.538040525/1000</f>
        <v>430.300538040525</v>
      </c>
      <c r="E192" s="18">
        <f>280330.18814/1000</f>
        <v>280.33018813999996</v>
      </c>
      <c r="F192" s="16">
        <f t="shared" si="4"/>
        <v>-149.97034990052504</v>
      </c>
      <c r="G192" s="69">
        <f t="shared" si="5"/>
        <v>-34.852466274722872</v>
      </c>
      <c r="H192" s="71" t="s">
        <v>694</v>
      </c>
    </row>
    <row r="193" spans="1:8" s="2" customFormat="1" x14ac:dyDescent="0.25">
      <c r="A193" s="38" t="s">
        <v>325</v>
      </c>
      <c r="B193" s="54" t="s">
        <v>326</v>
      </c>
      <c r="C193" s="40" t="s">
        <v>690</v>
      </c>
      <c r="D193" s="18">
        <f>111995.524336712/1000</f>
        <v>111.99552433671199</v>
      </c>
      <c r="E193" s="18">
        <f>85629.72826/1000</f>
        <v>85.629728260000007</v>
      </c>
      <c r="F193" s="16">
        <f t="shared" si="4"/>
        <v>-26.365796076711987</v>
      </c>
      <c r="G193" s="69">
        <f t="shared" si="5"/>
        <v>-23.541830115856971</v>
      </c>
      <c r="H193" s="71" t="s">
        <v>694</v>
      </c>
    </row>
    <row r="194" spans="1:8" s="2" customFormat="1" x14ac:dyDescent="0.25">
      <c r="A194" s="38" t="s">
        <v>327</v>
      </c>
      <c r="B194" s="54" t="s">
        <v>328</v>
      </c>
      <c r="C194" s="40" t="s">
        <v>690</v>
      </c>
      <c r="D194" s="18">
        <f>222127.418316471/1000</f>
        <v>222.12741831647102</v>
      </c>
      <c r="E194" s="18">
        <f>168652.07876/1000</f>
        <v>168.65207875999999</v>
      </c>
      <c r="F194" s="16">
        <f t="shared" si="4"/>
        <v>-53.475339556471027</v>
      </c>
      <c r="G194" s="69">
        <f t="shared" si="5"/>
        <v>-24.074173265851964</v>
      </c>
      <c r="H194" s="71" t="s">
        <v>694</v>
      </c>
    </row>
    <row r="195" spans="1:8" s="2" customFormat="1" x14ac:dyDescent="0.25">
      <c r="A195" s="38" t="s">
        <v>329</v>
      </c>
      <c r="B195" s="53" t="s">
        <v>330</v>
      </c>
      <c r="C195" s="40" t="s">
        <v>690</v>
      </c>
      <c r="D195" s="18">
        <f>58066.8425913795/1000</f>
        <v>58.066842591379498</v>
      </c>
      <c r="E195" s="18">
        <f>40596.634/1000</f>
        <v>40.596634000000002</v>
      </c>
      <c r="F195" s="16">
        <f t="shared" si="4"/>
        <v>-17.470208591379496</v>
      </c>
      <c r="G195" s="69">
        <f t="shared" si="5"/>
        <v>-30.086375996571054</v>
      </c>
      <c r="H195" s="71" t="s">
        <v>694</v>
      </c>
    </row>
    <row r="196" spans="1:8" s="2" customFormat="1" x14ac:dyDescent="0.25">
      <c r="A196" s="38" t="s">
        <v>331</v>
      </c>
      <c r="B196" s="54" t="s">
        <v>332</v>
      </c>
      <c r="C196" s="40" t="s">
        <v>690</v>
      </c>
      <c r="D196" s="18">
        <f>34639.92237/1000</f>
        <v>34.639922370000001</v>
      </c>
      <c r="E196" s="18">
        <f>23458.22858/1000</f>
        <v>23.45822858</v>
      </c>
      <c r="F196" s="16">
        <f t="shared" si="4"/>
        <v>-11.181693790000001</v>
      </c>
      <c r="G196" s="69">
        <f t="shared" si="5"/>
        <v>-32.279788824480555</v>
      </c>
      <c r="H196" s="71" t="s">
        <v>694</v>
      </c>
    </row>
    <row r="197" spans="1:8" s="2" customFormat="1" x14ac:dyDescent="0.25">
      <c r="A197" s="38" t="s">
        <v>333</v>
      </c>
      <c r="B197" s="54" t="s">
        <v>334</v>
      </c>
      <c r="C197" s="40" t="s">
        <v>690</v>
      </c>
      <c r="D197" s="18">
        <v>0</v>
      </c>
      <c r="E197" s="18">
        <f>21636.86555/1000</f>
        <v>21.63686555</v>
      </c>
      <c r="F197" s="16">
        <f t="shared" ref="F197:F228" si="6">E197-D197</f>
        <v>21.63686555</v>
      </c>
      <c r="G197" s="69">
        <v>0</v>
      </c>
      <c r="H197" s="71" t="s">
        <v>694</v>
      </c>
    </row>
    <row r="198" spans="1:8" s="2" customFormat="1" x14ac:dyDescent="0.25">
      <c r="A198" s="38" t="s">
        <v>335</v>
      </c>
      <c r="B198" s="54" t="s">
        <v>336</v>
      </c>
      <c r="C198" s="40" t="s">
        <v>690</v>
      </c>
      <c r="D198" s="18">
        <v>0</v>
      </c>
      <c r="E198" s="101">
        <v>0</v>
      </c>
      <c r="F198" s="16">
        <f t="shared" si="6"/>
        <v>0</v>
      </c>
      <c r="G198" s="69">
        <v>0</v>
      </c>
      <c r="H198" s="71" t="s">
        <v>694</v>
      </c>
    </row>
    <row r="199" spans="1:8" s="2" customFormat="1" ht="25.5" x14ac:dyDescent="0.25">
      <c r="A199" s="38" t="s">
        <v>337</v>
      </c>
      <c r="B199" s="54" t="s">
        <v>338</v>
      </c>
      <c r="C199" s="40" t="s">
        <v>690</v>
      </c>
      <c r="D199" s="18">
        <v>0</v>
      </c>
      <c r="E199" s="101">
        <v>0</v>
      </c>
      <c r="F199" s="16">
        <f t="shared" si="6"/>
        <v>0</v>
      </c>
      <c r="G199" s="69">
        <v>0</v>
      </c>
      <c r="H199" s="71" t="s">
        <v>694</v>
      </c>
    </row>
    <row r="200" spans="1:8" s="2" customFormat="1" x14ac:dyDescent="0.25">
      <c r="A200" s="38" t="s">
        <v>339</v>
      </c>
      <c r="B200" s="54" t="s">
        <v>340</v>
      </c>
      <c r="C200" s="40" t="s">
        <v>690</v>
      </c>
      <c r="D200" s="18">
        <f>128926.66764/1000</f>
        <v>128.92666764000001</v>
      </c>
      <c r="E200" s="18">
        <f>63258.11606/1000</f>
        <v>63.258116059999999</v>
      </c>
      <c r="F200" s="16">
        <f t="shared" si="6"/>
        <v>-65.668551580000013</v>
      </c>
      <c r="G200" s="69">
        <f t="shared" si="5"/>
        <v>-50.934808742102391</v>
      </c>
      <c r="H200" s="71" t="s">
        <v>694</v>
      </c>
    </row>
    <row r="201" spans="1:8" s="2" customFormat="1" x14ac:dyDescent="0.25">
      <c r="A201" s="38" t="s">
        <v>341</v>
      </c>
      <c r="B201" s="68" t="s">
        <v>342</v>
      </c>
      <c r="C201" s="40" t="s">
        <v>690</v>
      </c>
      <c r="D201" s="18">
        <f>D202</f>
        <v>0.550674</v>
      </c>
      <c r="E201" s="101">
        <f>E202+E203+E207</f>
        <v>0.39097399999999999</v>
      </c>
      <c r="F201" s="16">
        <f t="shared" si="6"/>
        <v>-0.15970000000000001</v>
      </c>
      <c r="G201" s="69">
        <f t="shared" si="5"/>
        <v>-29.000824444226531</v>
      </c>
      <c r="H201" s="71" t="s">
        <v>694</v>
      </c>
    </row>
    <row r="202" spans="1:8" s="2" customFormat="1" x14ac:dyDescent="0.25">
      <c r="A202" s="38" t="s">
        <v>343</v>
      </c>
      <c r="B202" s="54" t="s">
        <v>344</v>
      </c>
      <c r="C202" s="40" t="s">
        <v>690</v>
      </c>
      <c r="D202" s="18">
        <f>550.674/1000</f>
        <v>0.550674</v>
      </c>
      <c r="E202" s="101">
        <f>390.974/1000</f>
        <v>0.39097399999999999</v>
      </c>
      <c r="F202" s="16">
        <f t="shared" si="6"/>
        <v>-0.15970000000000001</v>
      </c>
      <c r="G202" s="69">
        <f t="shared" si="5"/>
        <v>-29.000824444226531</v>
      </c>
      <c r="H202" s="71" t="s">
        <v>694</v>
      </c>
    </row>
    <row r="203" spans="1:8" s="2" customFormat="1" x14ac:dyDescent="0.25">
      <c r="A203" s="38" t="s">
        <v>345</v>
      </c>
      <c r="B203" s="54" t="s">
        <v>346</v>
      </c>
      <c r="C203" s="40" t="s">
        <v>690</v>
      </c>
      <c r="D203" s="18">
        <v>0</v>
      </c>
      <c r="E203" s="101">
        <v>0</v>
      </c>
      <c r="F203" s="16">
        <f t="shared" si="6"/>
        <v>0</v>
      </c>
      <c r="G203" s="69">
        <v>0</v>
      </c>
      <c r="H203" s="71" t="s">
        <v>694</v>
      </c>
    </row>
    <row r="204" spans="1:8" s="2" customFormat="1" ht="25.5" x14ac:dyDescent="0.25">
      <c r="A204" s="38" t="s">
        <v>347</v>
      </c>
      <c r="B204" s="53" t="s">
        <v>348</v>
      </c>
      <c r="C204" s="40" t="s">
        <v>690</v>
      </c>
      <c r="D204" s="18">
        <v>0</v>
      </c>
      <c r="E204" s="101">
        <v>0</v>
      </c>
      <c r="F204" s="16">
        <f t="shared" si="6"/>
        <v>0</v>
      </c>
      <c r="G204" s="69">
        <v>0</v>
      </c>
      <c r="H204" s="71" t="s">
        <v>694</v>
      </c>
    </row>
    <row r="205" spans="1:8" s="2" customFormat="1" x14ac:dyDescent="0.25">
      <c r="A205" s="38" t="s">
        <v>349</v>
      </c>
      <c r="B205" s="55" t="s">
        <v>93</v>
      </c>
      <c r="C205" s="40" t="s">
        <v>690</v>
      </c>
      <c r="D205" s="18">
        <v>0</v>
      </c>
      <c r="E205" s="101">
        <v>0</v>
      </c>
      <c r="F205" s="16">
        <f t="shared" si="6"/>
        <v>0</v>
      </c>
      <c r="G205" s="69">
        <v>0</v>
      </c>
      <c r="H205" s="71" t="s">
        <v>694</v>
      </c>
    </row>
    <row r="206" spans="1:8" s="2" customFormat="1" x14ac:dyDescent="0.25">
      <c r="A206" s="38" t="s">
        <v>350</v>
      </c>
      <c r="B206" s="55" t="s">
        <v>97</v>
      </c>
      <c r="C206" s="40" t="s">
        <v>690</v>
      </c>
      <c r="D206" s="18">
        <v>0</v>
      </c>
      <c r="E206" s="101">
        <v>0</v>
      </c>
      <c r="F206" s="16">
        <f t="shared" si="6"/>
        <v>0</v>
      </c>
      <c r="G206" s="69">
        <v>0</v>
      </c>
      <c r="H206" s="71" t="s">
        <v>694</v>
      </c>
    </row>
    <row r="207" spans="1:8" s="2" customFormat="1" x14ac:dyDescent="0.25">
      <c r="A207" s="38" t="s">
        <v>351</v>
      </c>
      <c r="B207" s="54" t="s">
        <v>352</v>
      </c>
      <c r="C207" s="40" t="s">
        <v>690</v>
      </c>
      <c r="D207" s="18">
        <v>0</v>
      </c>
      <c r="E207" s="101">
        <v>0</v>
      </c>
      <c r="F207" s="16">
        <f t="shared" si="6"/>
        <v>0</v>
      </c>
      <c r="G207" s="69">
        <v>0</v>
      </c>
      <c r="H207" s="71" t="s">
        <v>694</v>
      </c>
    </row>
    <row r="208" spans="1:8" s="2" customFormat="1" x14ac:dyDescent="0.25">
      <c r="A208" s="38" t="s">
        <v>353</v>
      </c>
      <c r="B208" s="68" t="s">
        <v>354</v>
      </c>
      <c r="C208" s="40" t="s">
        <v>690</v>
      </c>
      <c r="D208" s="18">
        <f>D209+D216+D217+D218</f>
        <v>361.56446381000001</v>
      </c>
      <c r="E208" s="18">
        <f>E209+E216+E217+E218</f>
        <v>228.73873250999998</v>
      </c>
      <c r="F208" s="16">
        <f t="shared" si="6"/>
        <v>-132.82573130000003</v>
      </c>
      <c r="G208" s="69">
        <f t="shared" si="5"/>
        <v>-36.736389937313959</v>
      </c>
      <c r="H208" s="71" t="s">
        <v>694</v>
      </c>
    </row>
    <row r="209" spans="1:8" s="2" customFormat="1" x14ac:dyDescent="0.25">
      <c r="A209" s="38" t="s">
        <v>355</v>
      </c>
      <c r="B209" s="54" t="s">
        <v>356</v>
      </c>
      <c r="C209" s="40" t="s">
        <v>690</v>
      </c>
      <c r="D209" s="18">
        <f>SUM(D210:D215)</f>
        <v>197.37497861999998</v>
      </c>
      <c r="E209" s="18">
        <f>SUM(E210:E215)</f>
        <v>228.73873250999998</v>
      </c>
      <c r="F209" s="16">
        <f t="shared" si="6"/>
        <v>31.363753889999998</v>
      </c>
      <c r="G209" s="69">
        <f t="shared" si="5"/>
        <v>15.890440677581363</v>
      </c>
      <c r="H209" s="71" t="s">
        <v>694</v>
      </c>
    </row>
    <row r="210" spans="1:8" s="2" customFormat="1" x14ac:dyDescent="0.25">
      <c r="A210" s="38" t="s">
        <v>357</v>
      </c>
      <c r="B210" s="53" t="s">
        <v>358</v>
      </c>
      <c r="C210" s="40" t="s">
        <v>690</v>
      </c>
      <c r="D210" s="18">
        <f>10061.39291/1000</f>
        <v>10.06139291</v>
      </c>
      <c r="E210" s="101">
        <f>13308.19889/1000</f>
        <v>13.30819889</v>
      </c>
      <c r="F210" s="16">
        <f t="shared" si="6"/>
        <v>3.2468059799999995</v>
      </c>
      <c r="G210" s="69">
        <f t="shared" si="5"/>
        <v>32.269945215766349</v>
      </c>
      <c r="H210" s="71" t="s">
        <v>694</v>
      </c>
    </row>
    <row r="211" spans="1:8" s="2" customFormat="1" x14ac:dyDescent="0.25">
      <c r="A211" s="38" t="s">
        <v>359</v>
      </c>
      <c r="B211" s="53" t="s">
        <v>360</v>
      </c>
      <c r="C211" s="40" t="s">
        <v>690</v>
      </c>
      <c r="D211" s="18">
        <f>106257.79843/1000</f>
        <v>106.25779842999999</v>
      </c>
      <c r="E211" s="101">
        <f>169887.04622/1000</f>
        <v>169.88704622</v>
      </c>
      <c r="F211" s="16">
        <f t="shared" si="6"/>
        <v>63.629247790000008</v>
      </c>
      <c r="G211" s="69">
        <f t="shared" si="5"/>
        <v>59.881955705978015</v>
      </c>
      <c r="H211" s="71" t="s">
        <v>694</v>
      </c>
    </row>
    <row r="212" spans="1:8" s="2" customFormat="1" x14ac:dyDescent="0.25">
      <c r="A212" s="38" t="s">
        <v>361</v>
      </c>
      <c r="B212" s="53" t="s">
        <v>362</v>
      </c>
      <c r="C212" s="40" t="s">
        <v>690</v>
      </c>
      <c r="D212" s="18">
        <f>8793.90334/1000</f>
        <v>8.79390334</v>
      </c>
      <c r="E212" s="101">
        <f>4085.14107/1000</f>
        <v>4.0851410699999997</v>
      </c>
      <c r="F212" s="16">
        <f t="shared" si="6"/>
        <v>-4.7087622700000002</v>
      </c>
      <c r="G212" s="69">
        <f t="shared" si="5"/>
        <v>-53.545758782470308</v>
      </c>
      <c r="H212" s="71" t="s">
        <v>694</v>
      </c>
    </row>
    <row r="213" spans="1:8" s="2" customFormat="1" x14ac:dyDescent="0.25">
      <c r="A213" s="38" t="s">
        <v>363</v>
      </c>
      <c r="B213" s="53" t="s">
        <v>364</v>
      </c>
      <c r="C213" s="40" t="s">
        <v>690</v>
      </c>
      <c r="D213" s="18">
        <f>72261.88394/1000</f>
        <v>72.261883940000004</v>
      </c>
      <c r="E213" s="101">
        <f>41458.34633/1000</f>
        <v>41.458346329999998</v>
      </c>
      <c r="F213" s="16">
        <f t="shared" si="6"/>
        <v>-30.803537610000006</v>
      </c>
      <c r="G213" s="69">
        <f t="shared" si="5"/>
        <v>-42.627642583435261</v>
      </c>
      <c r="H213" s="71" t="s">
        <v>694</v>
      </c>
    </row>
    <row r="214" spans="1:8" s="2" customFormat="1" x14ac:dyDescent="0.25">
      <c r="A214" s="38" t="s">
        <v>365</v>
      </c>
      <c r="B214" s="53" t="s">
        <v>366</v>
      </c>
      <c r="C214" s="40" t="s">
        <v>690</v>
      </c>
      <c r="D214" s="18">
        <v>0</v>
      </c>
      <c r="E214" s="101">
        <v>0</v>
      </c>
      <c r="F214" s="16">
        <f t="shared" si="6"/>
        <v>0</v>
      </c>
      <c r="G214" s="69">
        <v>0</v>
      </c>
      <c r="H214" s="71" t="s">
        <v>694</v>
      </c>
    </row>
    <row r="215" spans="1:8" s="2" customFormat="1" x14ac:dyDescent="0.25">
      <c r="A215" s="38" t="s">
        <v>367</v>
      </c>
      <c r="B215" s="53" t="s">
        <v>368</v>
      </c>
      <c r="C215" s="40" t="s">
        <v>690</v>
      </c>
      <c r="D215" s="18">
        <v>0</v>
      </c>
      <c r="E215" s="101">
        <v>0</v>
      </c>
      <c r="F215" s="16">
        <f t="shared" si="6"/>
        <v>0</v>
      </c>
      <c r="G215" s="69">
        <v>0</v>
      </c>
      <c r="H215" s="71" t="s">
        <v>694</v>
      </c>
    </row>
    <row r="216" spans="1:8" s="2" customFormat="1" x14ac:dyDescent="0.25">
      <c r="A216" s="38" t="s">
        <v>369</v>
      </c>
      <c r="B216" s="54" t="s">
        <v>370</v>
      </c>
      <c r="C216" s="40" t="s">
        <v>690</v>
      </c>
      <c r="D216" s="18">
        <v>0</v>
      </c>
      <c r="E216" s="101">
        <v>0</v>
      </c>
      <c r="F216" s="16">
        <f t="shared" si="6"/>
        <v>0</v>
      </c>
      <c r="G216" s="69">
        <v>0</v>
      </c>
      <c r="H216" s="71" t="s">
        <v>694</v>
      </c>
    </row>
    <row r="217" spans="1:8" s="2" customFormat="1" x14ac:dyDescent="0.25">
      <c r="A217" s="38" t="s">
        <v>371</v>
      </c>
      <c r="B217" s="54" t="s">
        <v>372</v>
      </c>
      <c r="C217" s="40" t="s">
        <v>690</v>
      </c>
      <c r="D217" s="18">
        <f>164189.48519/1000</f>
        <v>164.18948519</v>
      </c>
      <c r="E217" s="101">
        <v>0</v>
      </c>
      <c r="F217" s="16">
        <f t="shared" si="6"/>
        <v>-164.18948519</v>
      </c>
      <c r="G217" s="69">
        <f t="shared" si="5"/>
        <v>-100</v>
      </c>
      <c r="H217" s="71" t="s">
        <v>694</v>
      </c>
    </row>
    <row r="218" spans="1:8" s="2" customFormat="1" x14ac:dyDescent="0.25">
      <c r="A218" s="38" t="s">
        <v>373</v>
      </c>
      <c r="B218" s="54" t="s">
        <v>179</v>
      </c>
      <c r="C218" s="40" t="s">
        <v>277</v>
      </c>
      <c r="D218" s="18">
        <v>0</v>
      </c>
      <c r="E218" s="101">
        <v>0</v>
      </c>
      <c r="F218" s="16">
        <f t="shared" si="6"/>
        <v>0</v>
      </c>
      <c r="G218" s="69">
        <v>0</v>
      </c>
      <c r="H218" s="71" t="s">
        <v>694</v>
      </c>
    </row>
    <row r="219" spans="1:8" s="2" customFormat="1" x14ac:dyDescent="0.25">
      <c r="A219" s="38" t="s">
        <v>374</v>
      </c>
      <c r="B219" s="54" t="s">
        <v>375</v>
      </c>
      <c r="C219" s="40" t="s">
        <v>690</v>
      </c>
      <c r="D219" s="18">
        <v>0</v>
      </c>
      <c r="E219" s="101">
        <v>0</v>
      </c>
      <c r="F219" s="16">
        <f t="shared" si="6"/>
        <v>0</v>
      </c>
      <c r="G219" s="69">
        <v>0</v>
      </c>
      <c r="H219" s="71" t="s">
        <v>694</v>
      </c>
    </row>
    <row r="220" spans="1:8" s="2" customFormat="1" x14ac:dyDescent="0.25">
      <c r="A220" s="38" t="s">
        <v>376</v>
      </c>
      <c r="B220" s="68" t="s">
        <v>377</v>
      </c>
      <c r="C220" s="40" t="s">
        <v>690</v>
      </c>
      <c r="D220" s="18">
        <f>D221+D222+D226+D227++D230+D231+D232</f>
        <v>3004.77948943</v>
      </c>
      <c r="E220" s="18">
        <f>E221+E222+E226+E227++E230+E231+E232</f>
        <v>2004.2187417800001</v>
      </c>
      <c r="F220" s="16">
        <f t="shared" si="6"/>
        <v>-1000.5607476499999</v>
      </c>
      <c r="G220" s="69">
        <f t="shared" si="5"/>
        <v>-33.298974223223418</v>
      </c>
      <c r="H220" s="71" t="s">
        <v>694</v>
      </c>
    </row>
    <row r="221" spans="1:8" s="2" customFormat="1" x14ac:dyDescent="0.25">
      <c r="A221" s="38" t="s">
        <v>378</v>
      </c>
      <c r="B221" s="54" t="s">
        <v>379</v>
      </c>
      <c r="C221" s="40" t="s">
        <v>690</v>
      </c>
      <c r="D221" s="18">
        <f>19379.48943/1000</f>
        <v>19.379489430000003</v>
      </c>
      <c r="E221" s="101">
        <f>13518.74178/1000</f>
        <v>13.518741780000001</v>
      </c>
      <c r="F221" s="16">
        <f t="shared" si="6"/>
        <v>-5.8607476500000022</v>
      </c>
      <c r="G221" s="69">
        <f t="shared" si="5"/>
        <v>-30.242012676182263</v>
      </c>
      <c r="H221" s="71" t="s">
        <v>694</v>
      </c>
    </row>
    <row r="222" spans="1:8" s="2" customFormat="1" x14ac:dyDescent="0.25">
      <c r="A222" s="38" t="s">
        <v>380</v>
      </c>
      <c r="B222" s="54" t="s">
        <v>381</v>
      </c>
      <c r="C222" s="40" t="s">
        <v>690</v>
      </c>
      <c r="D222" s="18">
        <v>0</v>
      </c>
      <c r="E222" s="101">
        <v>0</v>
      </c>
      <c r="F222" s="16">
        <f t="shared" si="6"/>
        <v>0</v>
      </c>
      <c r="G222" s="69">
        <v>0</v>
      </c>
      <c r="H222" s="71" t="s">
        <v>694</v>
      </c>
    </row>
    <row r="223" spans="1:8" s="2" customFormat="1" x14ac:dyDescent="0.25">
      <c r="A223" s="38" t="s">
        <v>382</v>
      </c>
      <c r="B223" s="53" t="s">
        <v>383</v>
      </c>
      <c r="C223" s="40" t="s">
        <v>690</v>
      </c>
      <c r="D223" s="18">
        <v>0</v>
      </c>
      <c r="E223" s="101">
        <v>0</v>
      </c>
      <c r="F223" s="16">
        <f t="shared" si="6"/>
        <v>0</v>
      </c>
      <c r="G223" s="69">
        <v>0</v>
      </c>
      <c r="H223" s="71" t="s">
        <v>694</v>
      </c>
    </row>
    <row r="224" spans="1:8" s="2" customFormat="1" x14ac:dyDescent="0.25">
      <c r="A224" s="38" t="s">
        <v>384</v>
      </c>
      <c r="B224" s="53" t="s">
        <v>385</v>
      </c>
      <c r="C224" s="40" t="s">
        <v>690</v>
      </c>
      <c r="D224" s="18">
        <v>0</v>
      </c>
      <c r="E224" s="101">
        <v>0</v>
      </c>
      <c r="F224" s="16">
        <f t="shared" si="6"/>
        <v>0</v>
      </c>
      <c r="G224" s="69">
        <v>0</v>
      </c>
      <c r="H224" s="71" t="s">
        <v>694</v>
      </c>
    </row>
    <row r="225" spans="1:8" s="2" customFormat="1" x14ac:dyDescent="0.25">
      <c r="A225" s="38" t="s">
        <v>386</v>
      </c>
      <c r="B225" s="53" t="s">
        <v>387</v>
      </c>
      <c r="C225" s="40" t="s">
        <v>690</v>
      </c>
      <c r="D225" s="18">
        <v>0</v>
      </c>
      <c r="E225" s="101">
        <v>0</v>
      </c>
      <c r="F225" s="16">
        <f t="shared" si="6"/>
        <v>0</v>
      </c>
      <c r="G225" s="69">
        <v>0</v>
      </c>
      <c r="H225" s="71" t="s">
        <v>694</v>
      </c>
    </row>
    <row r="226" spans="1:8" s="2" customFormat="1" x14ac:dyDescent="0.25">
      <c r="A226" s="38" t="s">
        <v>388</v>
      </c>
      <c r="B226" s="54" t="s">
        <v>389</v>
      </c>
      <c r="C226" s="40" t="s">
        <v>690</v>
      </c>
      <c r="D226" s="18">
        <v>0</v>
      </c>
      <c r="E226" s="101">
        <v>0</v>
      </c>
      <c r="F226" s="16">
        <f t="shared" si="6"/>
        <v>0</v>
      </c>
      <c r="G226" s="69">
        <v>0</v>
      </c>
      <c r="H226" s="71" t="s">
        <v>694</v>
      </c>
    </row>
    <row r="227" spans="1:8" s="2" customFormat="1" x14ac:dyDescent="0.25">
      <c r="A227" s="38" t="s">
        <v>390</v>
      </c>
      <c r="B227" s="54" t="s">
        <v>391</v>
      </c>
      <c r="C227" s="40" t="s">
        <v>690</v>
      </c>
      <c r="D227" s="18">
        <f>D229</f>
        <v>2985.4</v>
      </c>
      <c r="E227" s="18">
        <f>E229</f>
        <v>1990.7</v>
      </c>
      <c r="F227" s="16">
        <f t="shared" si="6"/>
        <v>-994.7</v>
      </c>
      <c r="G227" s="69">
        <f t="shared" si="5"/>
        <v>-33.318818248810878</v>
      </c>
      <c r="H227" s="71" t="s">
        <v>694</v>
      </c>
    </row>
    <row r="228" spans="1:8" s="2" customFormat="1" x14ac:dyDescent="0.25">
      <c r="A228" s="38" t="s">
        <v>392</v>
      </c>
      <c r="B228" s="53" t="s">
        <v>393</v>
      </c>
      <c r="C228" s="40" t="s">
        <v>690</v>
      </c>
      <c r="D228" s="18">
        <v>0</v>
      </c>
      <c r="E228" s="101">
        <v>0</v>
      </c>
      <c r="F228" s="16">
        <f t="shared" si="6"/>
        <v>0</v>
      </c>
      <c r="G228" s="69">
        <v>0</v>
      </c>
      <c r="H228" s="71" t="s">
        <v>694</v>
      </c>
    </row>
    <row r="229" spans="1:8" s="2" customFormat="1" x14ac:dyDescent="0.25">
      <c r="A229" s="38" t="s">
        <v>394</v>
      </c>
      <c r="B229" s="53" t="s">
        <v>395</v>
      </c>
      <c r="C229" s="40" t="s">
        <v>690</v>
      </c>
      <c r="D229" s="18">
        <f>2985400/1000</f>
        <v>2985.4</v>
      </c>
      <c r="E229" s="101">
        <f>1990700/1000</f>
        <v>1990.7</v>
      </c>
      <c r="F229" s="16">
        <f t="shared" ref="F229:F260" si="7">E229-D229</f>
        <v>-994.7</v>
      </c>
      <c r="G229" s="69">
        <f t="shared" si="5"/>
        <v>-33.318818248810878</v>
      </c>
      <c r="H229" s="71" t="s">
        <v>694</v>
      </c>
    </row>
    <row r="230" spans="1:8" s="2" customFormat="1" x14ac:dyDescent="0.25">
      <c r="A230" s="38" t="s">
        <v>396</v>
      </c>
      <c r="B230" s="54" t="s">
        <v>397</v>
      </c>
      <c r="C230" s="40" t="s">
        <v>690</v>
      </c>
      <c r="D230" s="18">
        <v>0</v>
      </c>
      <c r="E230" s="101">
        <v>0</v>
      </c>
      <c r="F230" s="16">
        <f t="shared" si="7"/>
        <v>0</v>
      </c>
      <c r="G230" s="69">
        <v>0</v>
      </c>
      <c r="H230" s="71" t="s">
        <v>694</v>
      </c>
    </row>
    <row r="231" spans="1:8" s="2" customFormat="1" x14ac:dyDescent="0.25">
      <c r="A231" s="38" t="s">
        <v>398</v>
      </c>
      <c r="B231" s="54" t="s">
        <v>399</v>
      </c>
      <c r="C231" s="40" t="s">
        <v>690</v>
      </c>
      <c r="D231" s="18">
        <v>0</v>
      </c>
      <c r="E231" s="101">
        <v>0</v>
      </c>
      <c r="F231" s="16">
        <f t="shared" si="7"/>
        <v>0</v>
      </c>
      <c r="G231" s="69">
        <v>0</v>
      </c>
      <c r="H231" s="71" t="s">
        <v>694</v>
      </c>
    </row>
    <row r="232" spans="1:8" s="2" customFormat="1" x14ac:dyDescent="0.25">
      <c r="A232" s="38" t="s">
        <v>400</v>
      </c>
      <c r="B232" s="54" t="s">
        <v>401</v>
      </c>
      <c r="C232" s="40" t="s">
        <v>690</v>
      </c>
      <c r="D232" s="18">
        <v>0</v>
      </c>
      <c r="E232" s="101">
        <v>0</v>
      </c>
      <c r="F232" s="16">
        <f t="shared" si="7"/>
        <v>0</v>
      </c>
      <c r="G232" s="69">
        <v>0</v>
      </c>
      <c r="H232" s="71" t="s">
        <v>694</v>
      </c>
    </row>
    <row r="233" spans="1:8" s="2" customFormat="1" x14ac:dyDescent="0.25">
      <c r="A233" s="38" t="s">
        <v>402</v>
      </c>
      <c r="B233" s="68" t="s">
        <v>403</v>
      </c>
      <c r="C233" s="40" t="s">
        <v>690</v>
      </c>
      <c r="D233" s="18">
        <f>D234+D238+D239</f>
        <v>2988.7330000000002</v>
      </c>
      <c r="E233" s="18">
        <f>E234+E238+E239</f>
        <v>1987.7</v>
      </c>
      <c r="F233" s="16">
        <f t="shared" si="7"/>
        <v>-1001.0330000000001</v>
      </c>
      <c r="G233" s="69">
        <f t="shared" ref="G233:G293" si="8">F233/D233*100</f>
        <v>-33.493557303379063</v>
      </c>
      <c r="H233" s="71" t="s">
        <v>694</v>
      </c>
    </row>
    <row r="234" spans="1:8" s="2" customFormat="1" x14ac:dyDescent="0.25">
      <c r="A234" s="38" t="s">
        <v>404</v>
      </c>
      <c r="B234" s="54" t="s">
        <v>405</v>
      </c>
      <c r="C234" s="40" t="s">
        <v>690</v>
      </c>
      <c r="D234" s="18">
        <f>D235+D236+D237</f>
        <v>0</v>
      </c>
      <c r="E234" s="101">
        <v>0</v>
      </c>
      <c r="F234" s="16">
        <f t="shared" si="7"/>
        <v>0</v>
      </c>
      <c r="G234" s="69">
        <v>0</v>
      </c>
      <c r="H234" s="71" t="s">
        <v>694</v>
      </c>
    </row>
    <row r="235" spans="1:8" s="2" customFormat="1" x14ac:dyDescent="0.25">
      <c r="A235" s="38" t="s">
        <v>406</v>
      </c>
      <c r="B235" s="53" t="s">
        <v>383</v>
      </c>
      <c r="C235" s="40" t="s">
        <v>690</v>
      </c>
      <c r="D235" s="18">
        <v>0</v>
      </c>
      <c r="E235" s="101">
        <v>0</v>
      </c>
      <c r="F235" s="16">
        <f t="shared" si="7"/>
        <v>0</v>
      </c>
      <c r="G235" s="69">
        <v>0</v>
      </c>
      <c r="H235" s="71" t="s">
        <v>694</v>
      </c>
    </row>
    <row r="236" spans="1:8" s="2" customFormat="1" x14ac:dyDescent="0.25">
      <c r="A236" s="38" t="s">
        <v>407</v>
      </c>
      <c r="B236" s="53" t="s">
        <v>385</v>
      </c>
      <c r="C236" s="40" t="s">
        <v>690</v>
      </c>
      <c r="D236" s="18">
        <v>0</v>
      </c>
      <c r="E236" s="101">
        <v>0</v>
      </c>
      <c r="F236" s="16">
        <f t="shared" si="7"/>
        <v>0</v>
      </c>
      <c r="G236" s="69">
        <v>0</v>
      </c>
      <c r="H236" s="71" t="s">
        <v>694</v>
      </c>
    </row>
    <row r="237" spans="1:8" s="2" customFormat="1" x14ac:dyDescent="0.25">
      <c r="A237" s="38" t="s">
        <v>408</v>
      </c>
      <c r="B237" s="53" t="s">
        <v>387</v>
      </c>
      <c r="C237" s="40" t="s">
        <v>690</v>
      </c>
      <c r="D237" s="18">
        <v>0</v>
      </c>
      <c r="E237" s="101">
        <v>0</v>
      </c>
      <c r="F237" s="16">
        <f t="shared" si="7"/>
        <v>0</v>
      </c>
      <c r="G237" s="69">
        <v>0</v>
      </c>
      <c r="H237" s="71" t="s">
        <v>694</v>
      </c>
    </row>
    <row r="238" spans="1:8" s="2" customFormat="1" x14ac:dyDescent="0.25">
      <c r="A238" s="38" t="s">
        <v>409</v>
      </c>
      <c r="B238" s="54" t="s">
        <v>274</v>
      </c>
      <c r="C238" s="40" t="s">
        <v>690</v>
      </c>
      <c r="D238" s="18">
        <v>0</v>
      </c>
      <c r="E238" s="101">
        <v>0</v>
      </c>
      <c r="F238" s="16">
        <f t="shared" si="7"/>
        <v>0</v>
      </c>
      <c r="G238" s="69">
        <v>0</v>
      </c>
      <c r="H238" s="71" t="s">
        <v>694</v>
      </c>
    </row>
    <row r="239" spans="1:8" s="2" customFormat="1" x14ac:dyDescent="0.25">
      <c r="A239" s="38" t="s">
        <v>410</v>
      </c>
      <c r="B239" s="54" t="s">
        <v>411</v>
      </c>
      <c r="C239" s="40" t="s">
        <v>690</v>
      </c>
      <c r="D239" s="18">
        <f>2988733/1000</f>
        <v>2988.7330000000002</v>
      </c>
      <c r="E239" s="101">
        <f>1987700/1000</f>
        <v>1987.7</v>
      </c>
      <c r="F239" s="16">
        <f t="shared" si="7"/>
        <v>-1001.0330000000001</v>
      </c>
      <c r="G239" s="69">
        <f t="shared" si="8"/>
        <v>-33.493557303379063</v>
      </c>
      <c r="H239" s="71" t="s">
        <v>694</v>
      </c>
    </row>
    <row r="240" spans="1:8" s="2" customFormat="1" ht="32.25" customHeight="1" x14ac:dyDescent="0.25">
      <c r="A240" s="38" t="s">
        <v>412</v>
      </c>
      <c r="B240" s="68" t="s">
        <v>413</v>
      </c>
      <c r="C240" s="40" t="s">
        <v>690</v>
      </c>
      <c r="D240" s="18">
        <f>D165-D183</f>
        <v>388.93237521362198</v>
      </c>
      <c r="E240" s="18">
        <f>E165-E183</f>
        <v>186.03684591999968</v>
      </c>
      <c r="F240" s="16">
        <f t="shared" si="7"/>
        <v>-202.8955292936223</v>
      </c>
      <c r="G240" s="69">
        <f t="shared" si="8"/>
        <v>-52.167302653110703</v>
      </c>
      <c r="H240" s="71" t="s">
        <v>694</v>
      </c>
    </row>
    <row r="241" spans="1:8" s="2" customFormat="1" ht="25.5" x14ac:dyDescent="0.25">
      <c r="A241" s="38" t="s">
        <v>414</v>
      </c>
      <c r="B241" s="68" t="s">
        <v>415</v>
      </c>
      <c r="C241" s="40" t="s">
        <v>690</v>
      </c>
      <c r="D241" s="18">
        <f>D201-D208</f>
        <v>-361.01378980999999</v>
      </c>
      <c r="E241" s="18">
        <f>E201-E208</f>
        <v>-228.34775850999998</v>
      </c>
      <c r="F241" s="16">
        <f t="shared" si="7"/>
        <v>132.66603130000001</v>
      </c>
      <c r="G241" s="69">
        <f t="shared" si="8"/>
        <v>-36.748189416759281</v>
      </c>
      <c r="H241" s="71" t="s">
        <v>694</v>
      </c>
    </row>
    <row r="242" spans="1:8" s="2" customFormat="1" x14ac:dyDescent="0.25">
      <c r="A242" s="38" t="s">
        <v>416</v>
      </c>
      <c r="B242" s="54" t="s">
        <v>417</v>
      </c>
      <c r="C242" s="40" t="s">
        <v>690</v>
      </c>
      <c r="D242" s="18">
        <f>D241</f>
        <v>-361.01378980999999</v>
      </c>
      <c r="E242" s="18">
        <f>E241</f>
        <v>-228.34775850999998</v>
      </c>
      <c r="F242" s="16">
        <f t="shared" si="7"/>
        <v>132.66603130000001</v>
      </c>
      <c r="G242" s="69">
        <f t="shared" si="8"/>
        <v>-36.748189416759281</v>
      </c>
      <c r="H242" s="71" t="s">
        <v>694</v>
      </c>
    </row>
    <row r="243" spans="1:8" s="2" customFormat="1" x14ac:dyDescent="0.25">
      <c r="A243" s="38" t="s">
        <v>418</v>
      </c>
      <c r="B243" s="54" t="s">
        <v>419</v>
      </c>
      <c r="C243" s="40" t="s">
        <v>690</v>
      </c>
      <c r="D243" s="18">
        <v>0</v>
      </c>
      <c r="E243" s="101">
        <v>0</v>
      </c>
      <c r="F243" s="16">
        <f t="shared" si="7"/>
        <v>0</v>
      </c>
      <c r="G243" s="69">
        <v>0</v>
      </c>
      <c r="H243" s="71" t="s">
        <v>694</v>
      </c>
    </row>
    <row r="244" spans="1:8" s="2" customFormat="1" x14ac:dyDescent="0.25">
      <c r="A244" s="38" t="s">
        <v>420</v>
      </c>
      <c r="B244" s="68" t="s">
        <v>421</v>
      </c>
      <c r="C244" s="40" t="s">
        <v>690</v>
      </c>
      <c r="D244" s="18">
        <f>D220-D233</f>
        <v>16.046489429999838</v>
      </c>
      <c r="E244" s="18">
        <f>E220-E233</f>
        <v>16.518741780000028</v>
      </c>
      <c r="F244" s="16">
        <f t="shared" si="7"/>
        <v>0.47225235000018984</v>
      </c>
      <c r="G244" s="69">
        <f t="shared" si="8"/>
        <v>2.943025962534128</v>
      </c>
      <c r="H244" s="71" t="s">
        <v>694</v>
      </c>
    </row>
    <row r="245" spans="1:8" s="2" customFormat="1" x14ac:dyDescent="0.25">
      <c r="A245" s="38" t="s">
        <v>422</v>
      </c>
      <c r="B245" s="54" t="s">
        <v>423</v>
      </c>
      <c r="C245" s="40" t="s">
        <v>690</v>
      </c>
      <c r="D245" s="18">
        <v>0</v>
      </c>
      <c r="E245" s="101">
        <v>0</v>
      </c>
      <c r="F245" s="16">
        <f t="shared" si="7"/>
        <v>0</v>
      </c>
      <c r="G245" s="69">
        <v>0</v>
      </c>
      <c r="H245" s="71" t="s">
        <v>694</v>
      </c>
    </row>
    <row r="246" spans="1:8" s="2" customFormat="1" x14ac:dyDescent="0.25">
      <c r="A246" s="38" t="s">
        <v>424</v>
      </c>
      <c r="B246" s="54" t="s">
        <v>425</v>
      </c>
      <c r="C246" s="40" t="s">
        <v>690</v>
      </c>
      <c r="D246" s="18">
        <v>0</v>
      </c>
      <c r="E246" s="101">
        <v>0</v>
      </c>
      <c r="F246" s="16">
        <f t="shared" si="7"/>
        <v>0</v>
      </c>
      <c r="G246" s="69">
        <v>0</v>
      </c>
      <c r="H246" s="71" t="s">
        <v>694</v>
      </c>
    </row>
    <row r="247" spans="1:8" s="2" customFormat="1" x14ac:dyDescent="0.25">
      <c r="A247" s="38" t="s">
        <v>426</v>
      </c>
      <c r="B247" s="68" t="s">
        <v>427</v>
      </c>
      <c r="C247" s="40" t="s">
        <v>690</v>
      </c>
      <c r="D247" s="18">
        <v>0</v>
      </c>
      <c r="E247" s="101">
        <v>0</v>
      </c>
      <c r="F247" s="16">
        <f t="shared" si="7"/>
        <v>0</v>
      </c>
      <c r="G247" s="69">
        <v>0</v>
      </c>
      <c r="H247" s="71" t="s">
        <v>694</v>
      </c>
    </row>
    <row r="248" spans="1:8" s="2" customFormat="1" x14ac:dyDescent="0.25">
      <c r="A248" s="38" t="s">
        <v>428</v>
      </c>
      <c r="B248" s="68" t="s">
        <v>429</v>
      </c>
      <c r="C248" s="40" t="s">
        <v>690</v>
      </c>
      <c r="D248" s="18">
        <f>D240+D241+D244+D247</f>
        <v>43.965074833621827</v>
      </c>
      <c r="E248" s="18">
        <f>E240+E241+E244+E247</f>
        <v>-25.792170810000272</v>
      </c>
      <c r="F248" s="16">
        <f t="shared" si="7"/>
        <v>-69.757245643622099</v>
      </c>
      <c r="G248" s="69">
        <f t="shared" si="8"/>
        <v>-158.66513569601838</v>
      </c>
      <c r="H248" s="71" t="s">
        <v>694</v>
      </c>
    </row>
    <row r="249" spans="1:8" s="2" customFormat="1" x14ac:dyDescent="0.25">
      <c r="A249" s="38" t="s">
        <v>430</v>
      </c>
      <c r="B249" s="68" t="s">
        <v>431</v>
      </c>
      <c r="C249" s="40" t="s">
        <v>690</v>
      </c>
      <c r="D249" s="19">
        <f>40836.00008/1000</f>
        <v>40.836000079999998</v>
      </c>
      <c r="E249" s="101">
        <f>40836.00008/1000</f>
        <v>40.836000079999998</v>
      </c>
      <c r="F249" s="16">
        <f t="shared" si="7"/>
        <v>0</v>
      </c>
      <c r="G249" s="69">
        <f t="shared" si="8"/>
        <v>0</v>
      </c>
      <c r="H249" s="71" t="s">
        <v>694</v>
      </c>
    </row>
    <row r="250" spans="1:8" s="2" customFormat="1" ht="16.5" thickBot="1" x14ac:dyDescent="0.3">
      <c r="A250" s="57" t="s">
        <v>432</v>
      </c>
      <c r="B250" s="72" t="s">
        <v>433</v>
      </c>
      <c r="C250" s="40" t="s">
        <v>690</v>
      </c>
      <c r="D250" s="20">
        <f>84801.0749196715/1000</f>
        <v>84.801074919671507</v>
      </c>
      <c r="E250" s="20">
        <f>15043.22927/1000</f>
        <v>15.043229269999999</v>
      </c>
      <c r="F250" s="47">
        <f t="shared" si="7"/>
        <v>-69.757845649671509</v>
      </c>
      <c r="G250" s="60">
        <f t="shared" si="8"/>
        <v>-82.260567705952056</v>
      </c>
      <c r="H250" s="73" t="s">
        <v>694</v>
      </c>
    </row>
    <row r="251" spans="1:8" s="2" customFormat="1" x14ac:dyDescent="0.25">
      <c r="A251" s="61" t="s">
        <v>434</v>
      </c>
      <c r="B251" s="50" t="s">
        <v>179</v>
      </c>
      <c r="C251" s="63" t="s">
        <v>277</v>
      </c>
      <c r="D251" s="21">
        <v>0</v>
      </c>
      <c r="E251" s="102">
        <v>0</v>
      </c>
      <c r="F251" s="16">
        <f t="shared" si="7"/>
        <v>0</v>
      </c>
      <c r="G251" s="69">
        <v>0</v>
      </c>
      <c r="H251" s="71" t="s">
        <v>694</v>
      </c>
    </row>
    <row r="252" spans="1:8" s="2" customFormat="1" x14ac:dyDescent="0.25">
      <c r="A252" s="38" t="s">
        <v>435</v>
      </c>
      <c r="B252" s="54" t="s">
        <v>436</v>
      </c>
      <c r="C252" s="40" t="s">
        <v>690</v>
      </c>
      <c r="D252" s="18">
        <f>D253+D261+D263+D265+D267+D269+D271+D273+D279</f>
        <v>276.95915489508104</v>
      </c>
      <c r="E252" s="18">
        <f>E253+E261+E263+E265+E267+E269+E271+E273+E279</f>
        <v>398.34735915051999</v>
      </c>
      <c r="F252" s="16">
        <f t="shared" si="7"/>
        <v>121.38820425543895</v>
      </c>
      <c r="G252" s="69">
        <f t="shared" si="8"/>
        <v>43.82891921425157</v>
      </c>
      <c r="H252" s="71" t="s">
        <v>694</v>
      </c>
    </row>
    <row r="253" spans="1:8" s="2" customFormat="1" x14ac:dyDescent="0.25">
      <c r="A253" s="38" t="s">
        <v>437</v>
      </c>
      <c r="B253" s="53" t="s">
        <v>438</v>
      </c>
      <c r="C253" s="40" t="s">
        <v>690</v>
      </c>
      <c r="D253" s="18">
        <v>0</v>
      </c>
      <c r="E253" s="101">
        <v>0</v>
      </c>
      <c r="F253" s="16">
        <f t="shared" si="7"/>
        <v>0</v>
      </c>
      <c r="G253" s="69">
        <v>0</v>
      </c>
      <c r="H253" s="71" t="s">
        <v>694</v>
      </c>
    </row>
    <row r="254" spans="1:8" s="2" customFormat="1" x14ac:dyDescent="0.25">
      <c r="A254" s="38" t="s">
        <v>439</v>
      </c>
      <c r="B254" s="55" t="s">
        <v>440</v>
      </c>
      <c r="C254" s="40" t="s">
        <v>690</v>
      </c>
      <c r="D254" s="18">
        <v>0</v>
      </c>
      <c r="E254" s="101">
        <v>0</v>
      </c>
      <c r="F254" s="16">
        <f t="shared" si="7"/>
        <v>0</v>
      </c>
      <c r="G254" s="69">
        <v>0</v>
      </c>
      <c r="H254" s="71" t="s">
        <v>694</v>
      </c>
    </row>
    <row r="255" spans="1:8" s="2" customFormat="1" ht="33" customHeight="1" x14ac:dyDescent="0.25">
      <c r="A255" s="38" t="s">
        <v>441</v>
      </c>
      <c r="B255" s="55" t="s">
        <v>442</v>
      </c>
      <c r="C255" s="40" t="s">
        <v>690</v>
      </c>
      <c r="D255" s="18">
        <v>0</v>
      </c>
      <c r="E255" s="101">
        <v>0</v>
      </c>
      <c r="F255" s="16">
        <f t="shared" si="7"/>
        <v>0</v>
      </c>
      <c r="G255" s="69">
        <v>0</v>
      </c>
      <c r="H255" s="71" t="s">
        <v>694</v>
      </c>
    </row>
    <row r="256" spans="1:8" s="2" customFormat="1" x14ac:dyDescent="0.25">
      <c r="A256" s="38" t="s">
        <v>443</v>
      </c>
      <c r="B256" s="56" t="s">
        <v>440</v>
      </c>
      <c r="C256" s="40" t="s">
        <v>690</v>
      </c>
      <c r="D256" s="18">
        <v>0</v>
      </c>
      <c r="E256" s="101">
        <v>0</v>
      </c>
      <c r="F256" s="16">
        <f t="shared" si="7"/>
        <v>0</v>
      </c>
      <c r="G256" s="69">
        <v>0</v>
      </c>
      <c r="H256" s="71" t="s">
        <v>694</v>
      </c>
    </row>
    <row r="257" spans="1:8" s="2" customFormat="1" ht="29.25" customHeight="1" x14ac:dyDescent="0.25">
      <c r="A257" s="38" t="s">
        <v>444</v>
      </c>
      <c r="B257" s="55" t="s">
        <v>110</v>
      </c>
      <c r="C257" s="40" t="s">
        <v>690</v>
      </c>
      <c r="D257" s="18">
        <v>0</v>
      </c>
      <c r="E257" s="101">
        <v>0</v>
      </c>
      <c r="F257" s="16">
        <f t="shared" si="7"/>
        <v>0</v>
      </c>
      <c r="G257" s="69">
        <v>0</v>
      </c>
      <c r="H257" s="71" t="s">
        <v>694</v>
      </c>
    </row>
    <row r="258" spans="1:8" s="2" customFormat="1" ht="25.5" customHeight="1" x14ac:dyDescent="0.25">
      <c r="A258" s="38" t="s">
        <v>445</v>
      </c>
      <c r="B258" s="56" t="s">
        <v>440</v>
      </c>
      <c r="C258" s="40" t="s">
        <v>690</v>
      </c>
      <c r="D258" s="18">
        <v>0</v>
      </c>
      <c r="E258" s="101">
        <v>0</v>
      </c>
      <c r="F258" s="16">
        <f t="shared" si="7"/>
        <v>0</v>
      </c>
      <c r="G258" s="69">
        <v>0</v>
      </c>
      <c r="H258" s="71" t="s">
        <v>694</v>
      </c>
    </row>
    <row r="259" spans="1:8" s="2" customFormat="1" ht="25.5" x14ac:dyDescent="0.25">
      <c r="A259" s="38" t="s">
        <v>446</v>
      </c>
      <c r="B259" s="55" t="s">
        <v>111</v>
      </c>
      <c r="C259" s="40" t="s">
        <v>690</v>
      </c>
      <c r="D259" s="18">
        <v>0</v>
      </c>
      <c r="E259" s="101">
        <v>0</v>
      </c>
      <c r="F259" s="16">
        <f t="shared" si="7"/>
        <v>0</v>
      </c>
      <c r="G259" s="69">
        <v>0</v>
      </c>
      <c r="H259" s="71" t="s">
        <v>694</v>
      </c>
    </row>
    <row r="260" spans="1:8" s="2" customFormat="1" x14ac:dyDescent="0.25">
      <c r="A260" s="38" t="s">
        <v>447</v>
      </c>
      <c r="B260" s="56" t="s">
        <v>440</v>
      </c>
      <c r="C260" s="40" t="s">
        <v>690</v>
      </c>
      <c r="D260" s="18">
        <v>0</v>
      </c>
      <c r="E260" s="101">
        <v>0</v>
      </c>
      <c r="F260" s="16">
        <f t="shared" si="7"/>
        <v>0</v>
      </c>
      <c r="G260" s="69">
        <v>0</v>
      </c>
      <c r="H260" s="71" t="s">
        <v>694</v>
      </c>
    </row>
    <row r="261" spans="1:8" s="2" customFormat="1" x14ac:dyDescent="0.25">
      <c r="A261" s="38" t="s">
        <v>448</v>
      </c>
      <c r="B261" s="53" t="s">
        <v>449</v>
      </c>
      <c r="C261" s="40" t="s">
        <v>690</v>
      </c>
      <c r="D261" s="18">
        <v>0</v>
      </c>
      <c r="E261" s="101">
        <v>0</v>
      </c>
      <c r="F261" s="16">
        <f t="shared" ref="F261:F292" si="9">E261-D261</f>
        <v>0</v>
      </c>
      <c r="G261" s="69">
        <v>0</v>
      </c>
      <c r="H261" s="71" t="s">
        <v>694</v>
      </c>
    </row>
    <row r="262" spans="1:8" s="2" customFormat="1" x14ac:dyDescent="0.25">
      <c r="A262" s="38" t="s">
        <v>450</v>
      </c>
      <c r="B262" s="55" t="s">
        <v>440</v>
      </c>
      <c r="C262" s="40" t="s">
        <v>690</v>
      </c>
      <c r="D262" s="18">
        <v>0</v>
      </c>
      <c r="E262" s="101">
        <v>0</v>
      </c>
      <c r="F262" s="16">
        <f t="shared" si="9"/>
        <v>0</v>
      </c>
      <c r="G262" s="69">
        <v>0</v>
      </c>
      <c r="H262" s="71" t="s">
        <v>694</v>
      </c>
    </row>
    <row r="263" spans="1:8" s="2" customFormat="1" x14ac:dyDescent="0.25">
      <c r="A263" s="38" t="s">
        <v>451</v>
      </c>
      <c r="B263" s="45" t="s">
        <v>41</v>
      </c>
      <c r="C263" s="40" t="s">
        <v>690</v>
      </c>
      <c r="D263" s="18">
        <f>267064.887251081/1000</f>
        <v>267.06488725108102</v>
      </c>
      <c r="E263" s="101">
        <f>361843.92903552/1000</f>
        <v>361.84392903552003</v>
      </c>
      <c r="F263" s="16">
        <f t="shared" si="9"/>
        <v>94.779041784439016</v>
      </c>
      <c r="G263" s="69">
        <f t="shared" si="8"/>
        <v>35.489143765774237</v>
      </c>
      <c r="H263" s="71" t="s">
        <v>694</v>
      </c>
    </row>
    <row r="264" spans="1:8" s="2" customFormat="1" x14ac:dyDescent="0.25">
      <c r="A264" s="38" t="s">
        <v>452</v>
      </c>
      <c r="B264" s="55" t="s">
        <v>440</v>
      </c>
      <c r="C264" s="40" t="s">
        <v>690</v>
      </c>
      <c r="D264" s="18">
        <v>0</v>
      </c>
      <c r="E264" s="101">
        <f>202538.30001/1000</f>
        <v>202.53830001</v>
      </c>
      <c r="F264" s="16">
        <f t="shared" si="9"/>
        <v>202.53830001</v>
      </c>
      <c r="G264" s="69">
        <v>0</v>
      </c>
      <c r="H264" s="71" t="s">
        <v>694</v>
      </c>
    </row>
    <row r="265" spans="1:8" s="2" customFormat="1" x14ac:dyDescent="0.25">
      <c r="A265" s="38" t="s">
        <v>453</v>
      </c>
      <c r="B265" s="45" t="s">
        <v>454</v>
      </c>
      <c r="C265" s="40" t="s">
        <v>690</v>
      </c>
      <c r="D265" s="18">
        <v>0</v>
      </c>
      <c r="E265" s="101">
        <v>0</v>
      </c>
      <c r="F265" s="16">
        <f t="shared" si="9"/>
        <v>0</v>
      </c>
      <c r="G265" s="69">
        <v>0</v>
      </c>
      <c r="H265" s="71" t="s">
        <v>694</v>
      </c>
    </row>
    <row r="266" spans="1:8" s="2" customFormat="1" x14ac:dyDescent="0.25">
      <c r="A266" s="38" t="s">
        <v>455</v>
      </c>
      <c r="B266" s="55" t="s">
        <v>440</v>
      </c>
      <c r="C266" s="40" t="s">
        <v>690</v>
      </c>
      <c r="D266" s="18">
        <v>0</v>
      </c>
      <c r="E266" s="101">
        <v>0</v>
      </c>
      <c r="F266" s="16">
        <f t="shared" si="9"/>
        <v>0</v>
      </c>
      <c r="G266" s="69">
        <v>0</v>
      </c>
      <c r="H266" s="71" t="s">
        <v>694</v>
      </c>
    </row>
    <row r="267" spans="1:8" s="2" customFormat="1" x14ac:dyDescent="0.25">
      <c r="A267" s="38" t="s">
        <v>456</v>
      </c>
      <c r="B267" s="45" t="s">
        <v>457</v>
      </c>
      <c r="C267" s="40" t="s">
        <v>690</v>
      </c>
      <c r="D267" s="18">
        <f>2747.280084/1000</f>
        <v>2.7472800839999998</v>
      </c>
      <c r="E267" s="101">
        <f>4533.56303/1000</f>
        <v>4.5335630299999998</v>
      </c>
      <c r="F267" s="16">
        <f t="shared" si="9"/>
        <v>1.786282946</v>
      </c>
      <c r="G267" s="69">
        <f t="shared" si="8"/>
        <v>65.020052247428595</v>
      </c>
      <c r="H267" s="71" t="s">
        <v>694</v>
      </c>
    </row>
    <row r="268" spans="1:8" s="2" customFormat="1" x14ac:dyDescent="0.25">
      <c r="A268" s="38" t="s">
        <v>458</v>
      </c>
      <c r="B268" s="55" t="s">
        <v>440</v>
      </c>
      <c r="C268" s="40" t="s">
        <v>690</v>
      </c>
      <c r="D268" s="18">
        <v>0</v>
      </c>
      <c r="E268" s="101">
        <v>0</v>
      </c>
      <c r="F268" s="16">
        <f t="shared" si="9"/>
        <v>0</v>
      </c>
      <c r="G268" s="69">
        <v>0</v>
      </c>
      <c r="H268" s="71" t="s">
        <v>694</v>
      </c>
    </row>
    <row r="269" spans="1:8" s="2" customFormat="1" x14ac:dyDescent="0.25">
      <c r="A269" s="38" t="s">
        <v>459</v>
      </c>
      <c r="B269" s="45" t="s">
        <v>43</v>
      </c>
      <c r="C269" s="40" t="s">
        <v>690</v>
      </c>
      <c r="D269" s="18">
        <v>0</v>
      </c>
      <c r="E269" s="101">
        <v>0</v>
      </c>
      <c r="F269" s="16">
        <f t="shared" si="9"/>
        <v>0</v>
      </c>
      <c r="G269" s="69">
        <v>0</v>
      </c>
      <c r="H269" s="71" t="s">
        <v>694</v>
      </c>
    </row>
    <row r="270" spans="1:8" s="2" customFormat="1" x14ac:dyDescent="0.25">
      <c r="A270" s="38" t="s">
        <v>460</v>
      </c>
      <c r="B270" s="55" t="s">
        <v>440</v>
      </c>
      <c r="C270" s="40" t="s">
        <v>690</v>
      </c>
      <c r="D270" s="18">
        <v>0</v>
      </c>
      <c r="E270" s="101">
        <v>0</v>
      </c>
      <c r="F270" s="16">
        <f t="shared" si="9"/>
        <v>0</v>
      </c>
      <c r="G270" s="69">
        <v>0</v>
      </c>
      <c r="H270" s="71" t="s">
        <v>694</v>
      </c>
    </row>
    <row r="271" spans="1:8" s="2" customFormat="1" x14ac:dyDescent="0.25">
      <c r="A271" s="38" t="s">
        <v>459</v>
      </c>
      <c r="B271" s="45" t="s">
        <v>461</v>
      </c>
      <c r="C271" s="40" t="s">
        <v>690</v>
      </c>
      <c r="D271" s="18">
        <v>0</v>
      </c>
      <c r="E271" s="101">
        <v>0</v>
      </c>
      <c r="F271" s="16">
        <f t="shared" si="9"/>
        <v>0</v>
      </c>
      <c r="G271" s="69">
        <v>0</v>
      </c>
      <c r="H271" s="71" t="s">
        <v>694</v>
      </c>
    </row>
    <row r="272" spans="1:8" s="2" customFormat="1" x14ac:dyDescent="0.25">
      <c r="A272" s="38" t="s">
        <v>462</v>
      </c>
      <c r="B272" s="55" t="s">
        <v>440</v>
      </c>
      <c r="C272" s="40" t="s">
        <v>690</v>
      </c>
      <c r="D272" s="18">
        <v>0</v>
      </c>
      <c r="E272" s="101">
        <v>0</v>
      </c>
      <c r="F272" s="16">
        <f t="shared" si="9"/>
        <v>0</v>
      </c>
      <c r="G272" s="69">
        <v>0</v>
      </c>
      <c r="H272" s="71" t="s">
        <v>694</v>
      </c>
    </row>
    <row r="273" spans="1:8" s="2" customFormat="1" ht="25.5" x14ac:dyDescent="0.25">
      <c r="A273" s="38" t="s">
        <v>463</v>
      </c>
      <c r="B273" s="53" t="s">
        <v>464</v>
      </c>
      <c r="C273" s="40" t="s">
        <v>690</v>
      </c>
      <c r="D273" s="18">
        <v>0</v>
      </c>
      <c r="E273" s="101">
        <v>0</v>
      </c>
      <c r="F273" s="16">
        <f t="shared" si="9"/>
        <v>0</v>
      </c>
      <c r="G273" s="69">
        <v>0</v>
      </c>
      <c r="H273" s="71" t="s">
        <v>694</v>
      </c>
    </row>
    <row r="274" spans="1:8" s="2" customFormat="1" x14ac:dyDescent="0.25">
      <c r="A274" s="38" t="s">
        <v>465</v>
      </c>
      <c r="B274" s="55" t="s">
        <v>440</v>
      </c>
      <c r="C274" s="40" t="s">
        <v>690</v>
      </c>
      <c r="D274" s="18">
        <v>0</v>
      </c>
      <c r="E274" s="101">
        <v>0</v>
      </c>
      <c r="F274" s="16">
        <f t="shared" si="9"/>
        <v>0</v>
      </c>
      <c r="G274" s="69">
        <v>0</v>
      </c>
      <c r="H274" s="71" t="s">
        <v>694</v>
      </c>
    </row>
    <row r="275" spans="1:8" s="2" customFormat="1" x14ac:dyDescent="0.25">
      <c r="A275" s="38" t="s">
        <v>466</v>
      </c>
      <c r="B275" s="55" t="s">
        <v>48</v>
      </c>
      <c r="C275" s="40" t="s">
        <v>690</v>
      </c>
      <c r="D275" s="18">
        <v>0</v>
      </c>
      <c r="E275" s="101">
        <v>0</v>
      </c>
      <c r="F275" s="16">
        <f t="shared" si="9"/>
        <v>0</v>
      </c>
      <c r="G275" s="69">
        <v>0</v>
      </c>
      <c r="H275" s="71" t="s">
        <v>694</v>
      </c>
    </row>
    <row r="276" spans="1:8" s="2" customFormat="1" x14ac:dyDescent="0.25">
      <c r="A276" s="38" t="s">
        <v>467</v>
      </c>
      <c r="B276" s="56" t="s">
        <v>440</v>
      </c>
      <c r="C276" s="40" t="s">
        <v>690</v>
      </c>
      <c r="D276" s="18">
        <v>0</v>
      </c>
      <c r="E276" s="101">
        <v>0</v>
      </c>
      <c r="F276" s="16">
        <f t="shared" si="9"/>
        <v>0</v>
      </c>
      <c r="G276" s="69">
        <v>0</v>
      </c>
      <c r="H276" s="71" t="s">
        <v>694</v>
      </c>
    </row>
    <row r="277" spans="1:8" s="2" customFormat="1" x14ac:dyDescent="0.25">
      <c r="A277" s="38" t="s">
        <v>468</v>
      </c>
      <c r="B277" s="55" t="s">
        <v>49</v>
      </c>
      <c r="C277" s="40" t="s">
        <v>690</v>
      </c>
      <c r="D277" s="18">
        <v>0</v>
      </c>
      <c r="E277" s="101">
        <v>0</v>
      </c>
      <c r="F277" s="16">
        <f t="shared" si="9"/>
        <v>0</v>
      </c>
      <c r="G277" s="69">
        <v>0</v>
      </c>
      <c r="H277" s="71" t="s">
        <v>694</v>
      </c>
    </row>
    <row r="278" spans="1:8" s="2" customFormat="1" x14ac:dyDescent="0.25">
      <c r="A278" s="38" t="s">
        <v>469</v>
      </c>
      <c r="B278" s="56" t="s">
        <v>440</v>
      </c>
      <c r="C278" s="40" t="s">
        <v>690</v>
      </c>
      <c r="D278" s="18">
        <v>0</v>
      </c>
      <c r="E278" s="101">
        <v>0</v>
      </c>
      <c r="F278" s="16">
        <f t="shared" si="9"/>
        <v>0</v>
      </c>
      <c r="G278" s="69">
        <v>0</v>
      </c>
      <c r="H278" s="71" t="s">
        <v>694</v>
      </c>
    </row>
    <row r="279" spans="1:8" s="2" customFormat="1" x14ac:dyDescent="0.25">
      <c r="A279" s="38" t="s">
        <v>470</v>
      </c>
      <c r="B279" s="53" t="s">
        <v>471</v>
      </c>
      <c r="C279" s="40" t="s">
        <v>690</v>
      </c>
      <c r="D279" s="18">
        <f>7146.98756/1000</f>
        <v>7.1469875599999995</v>
      </c>
      <c r="E279" s="101">
        <f>31969.867085/1000</f>
        <v>31.969867085000001</v>
      </c>
      <c r="F279" s="16">
        <f t="shared" si="9"/>
        <v>24.822879525000001</v>
      </c>
      <c r="G279" s="69">
        <f t="shared" si="8"/>
        <v>347.31947294728468</v>
      </c>
      <c r="H279" s="71" t="s">
        <v>694</v>
      </c>
    </row>
    <row r="280" spans="1:8" s="2" customFormat="1" x14ac:dyDescent="0.25">
      <c r="A280" s="38" t="s">
        <v>472</v>
      </c>
      <c r="B280" s="55" t="s">
        <v>440</v>
      </c>
      <c r="C280" s="40" t="s">
        <v>690</v>
      </c>
      <c r="D280" s="18">
        <v>0</v>
      </c>
      <c r="E280" s="101">
        <v>0</v>
      </c>
      <c r="F280" s="16">
        <f t="shared" si="9"/>
        <v>0</v>
      </c>
      <c r="G280" s="69">
        <v>0</v>
      </c>
      <c r="H280" s="71" t="s">
        <v>694</v>
      </c>
    </row>
    <row r="281" spans="1:8" s="2" customFormat="1" x14ac:dyDescent="0.25">
      <c r="A281" s="38" t="s">
        <v>473</v>
      </c>
      <c r="B281" s="54" t="s">
        <v>474</v>
      </c>
      <c r="C281" s="40" t="s">
        <v>690</v>
      </c>
      <c r="D281" s="18">
        <f>D282+D284+D289+D291+D293+D295+D297+D299+D301</f>
        <v>694.11392100177022</v>
      </c>
      <c r="E281" s="18">
        <f>E282+E284+E289+E291+E293+E295+E297+E299+E301</f>
        <v>953.51163444489237</v>
      </c>
      <c r="F281" s="16">
        <f t="shared" si="9"/>
        <v>259.39771344312214</v>
      </c>
      <c r="G281" s="69">
        <f t="shared" si="8"/>
        <v>37.371057631109025</v>
      </c>
      <c r="H281" s="71" t="s">
        <v>694</v>
      </c>
    </row>
    <row r="282" spans="1:8" s="2" customFormat="1" x14ac:dyDescent="0.25">
      <c r="A282" s="38" t="s">
        <v>475</v>
      </c>
      <c r="B282" s="53" t="s">
        <v>476</v>
      </c>
      <c r="C282" s="40" t="s">
        <v>690</v>
      </c>
      <c r="D282" s="18">
        <v>0</v>
      </c>
      <c r="E282" s="101">
        <f>633.2819/1000</f>
        <v>0.63328189999999995</v>
      </c>
      <c r="F282" s="16">
        <f t="shared" si="9"/>
        <v>0.63328189999999995</v>
      </c>
      <c r="G282" s="69">
        <v>0</v>
      </c>
      <c r="H282" s="71" t="s">
        <v>694</v>
      </c>
    </row>
    <row r="283" spans="1:8" s="2" customFormat="1" x14ac:dyDescent="0.25">
      <c r="A283" s="38" t="s">
        <v>477</v>
      </c>
      <c r="B283" s="55" t="s">
        <v>440</v>
      </c>
      <c r="C283" s="40" t="s">
        <v>690</v>
      </c>
      <c r="D283" s="18">
        <v>0</v>
      </c>
      <c r="E283" s="101">
        <v>0</v>
      </c>
      <c r="F283" s="16">
        <f t="shared" si="9"/>
        <v>0</v>
      </c>
      <c r="G283" s="69">
        <v>0</v>
      </c>
      <c r="H283" s="71" t="s">
        <v>694</v>
      </c>
    </row>
    <row r="284" spans="1:8" s="2" customFormat="1" x14ac:dyDescent="0.25">
      <c r="A284" s="38" t="s">
        <v>478</v>
      </c>
      <c r="B284" s="53" t="s">
        <v>479</v>
      </c>
      <c r="C284" s="40" t="s">
        <v>690</v>
      </c>
      <c r="D284" s="18">
        <f>100541.29062428/1000</f>
        <v>100.54129062427999</v>
      </c>
      <c r="E284" s="101">
        <f>58406.1145820001/1000</f>
        <v>58.406114582000093</v>
      </c>
      <c r="F284" s="16">
        <f t="shared" si="9"/>
        <v>-42.135176042279902</v>
      </c>
      <c r="G284" s="69">
        <f t="shared" si="8"/>
        <v>-41.908330180222059</v>
      </c>
      <c r="H284" s="71" t="s">
        <v>694</v>
      </c>
    </row>
    <row r="285" spans="1:8" s="2" customFormat="1" x14ac:dyDescent="0.25">
      <c r="A285" s="38" t="s">
        <v>480</v>
      </c>
      <c r="B285" s="55" t="s">
        <v>312</v>
      </c>
      <c r="C285" s="40" t="s">
        <v>690</v>
      </c>
      <c r="D285" s="18">
        <v>0</v>
      </c>
      <c r="E285" s="18">
        <v>0</v>
      </c>
      <c r="F285" s="16">
        <f t="shared" si="9"/>
        <v>0</v>
      </c>
      <c r="G285" s="69">
        <v>0</v>
      </c>
      <c r="H285" s="71" t="s">
        <v>694</v>
      </c>
    </row>
    <row r="286" spans="1:8" s="2" customFormat="1" x14ac:dyDescent="0.25">
      <c r="A286" s="38" t="s">
        <v>481</v>
      </c>
      <c r="B286" s="56" t="s">
        <v>440</v>
      </c>
      <c r="C286" s="40" t="s">
        <v>690</v>
      </c>
      <c r="D286" s="18">
        <v>0</v>
      </c>
      <c r="E286" s="18">
        <v>0</v>
      </c>
      <c r="F286" s="16">
        <f t="shared" si="9"/>
        <v>0</v>
      </c>
      <c r="G286" s="69">
        <v>0</v>
      </c>
      <c r="H286" s="71" t="s">
        <v>694</v>
      </c>
    </row>
    <row r="287" spans="1:8" s="2" customFormat="1" x14ac:dyDescent="0.25">
      <c r="A287" s="38" t="s">
        <v>482</v>
      </c>
      <c r="B287" s="55" t="s">
        <v>483</v>
      </c>
      <c r="C287" s="40" t="s">
        <v>690</v>
      </c>
      <c r="D287" s="18">
        <v>0</v>
      </c>
      <c r="E287" s="18">
        <v>0</v>
      </c>
      <c r="F287" s="16">
        <f t="shared" si="9"/>
        <v>0</v>
      </c>
      <c r="G287" s="69">
        <v>0</v>
      </c>
      <c r="H287" s="71" t="s">
        <v>694</v>
      </c>
    </row>
    <row r="288" spans="1:8" s="2" customFormat="1" x14ac:dyDescent="0.25">
      <c r="A288" s="38" t="s">
        <v>484</v>
      </c>
      <c r="B288" s="56" t="s">
        <v>440</v>
      </c>
      <c r="C288" s="40" t="s">
        <v>690</v>
      </c>
      <c r="D288" s="18">
        <v>0</v>
      </c>
      <c r="E288" s="18">
        <v>0</v>
      </c>
      <c r="F288" s="16">
        <f t="shared" si="9"/>
        <v>0</v>
      </c>
      <c r="G288" s="69">
        <v>0</v>
      </c>
      <c r="H288" s="71" t="s">
        <v>694</v>
      </c>
    </row>
    <row r="289" spans="1:8" s="2" customFormat="1" ht="25.5" x14ac:dyDescent="0.25">
      <c r="A289" s="38" t="s">
        <v>485</v>
      </c>
      <c r="B289" s="53" t="s">
        <v>486</v>
      </c>
      <c r="C289" s="40" t="s">
        <v>690</v>
      </c>
      <c r="D289" s="18">
        <v>0</v>
      </c>
      <c r="E289" s="18">
        <v>0</v>
      </c>
      <c r="F289" s="16">
        <f t="shared" si="9"/>
        <v>0</v>
      </c>
      <c r="G289" s="69">
        <v>0</v>
      </c>
      <c r="H289" s="71" t="s">
        <v>694</v>
      </c>
    </row>
    <row r="290" spans="1:8" s="2" customFormat="1" x14ac:dyDescent="0.25">
      <c r="A290" s="38" t="s">
        <v>487</v>
      </c>
      <c r="B290" s="55" t="s">
        <v>440</v>
      </c>
      <c r="C290" s="40" t="s">
        <v>690</v>
      </c>
      <c r="D290" s="18">
        <v>0</v>
      </c>
      <c r="E290" s="18">
        <v>0</v>
      </c>
      <c r="F290" s="16">
        <f t="shared" si="9"/>
        <v>0</v>
      </c>
      <c r="G290" s="69">
        <v>0</v>
      </c>
      <c r="H290" s="71" t="s">
        <v>694</v>
      </c>
    </row>
    <row r="291" spans="1:8" s="2" customFormat="1" x14ac:dyDescent="0.25">
      <c r="A291" s="38" t="s">
        <v>488</v>
      </c>
      <c r="B291" s="53" t="s">
        <v>489</v>
      </c>
      <c r="C291" s="40" t="s">
        <v>690</v>
      </c>
      <c r="D291" s="18">
        <v>0</v>
      </c>
      <c r="E291" s="18">
        <v>0</v>
      </c>
      <c r="F291" s="16">
        <f t="shared" si="9"/>
        <v>0</v>
      </c>
      <c r="G291" s="69">
        <v>0</v>
      </c>
      <c r="H291" s="71" t="s">
        <v>694</v>
      </c>
    </row>
    <row r="292" spans="1:8" s="2" customFormat="1" x14ac:dyDescent="0.25">
      <c r="A292" s="38" t="s">
        <v>490</v>
      </c>
      <c r="B292" s="55" t="s">
        <v>440</v>
      </c>
      <c r="C292" s="40" t="s">
        <v>690</v>
      </c>
      <c r="D292" s="18">
        <v>0</v>
      </c>
      <c r="E292" s="18">
        <v>0</v>
      </c>
      <c r="F292" s="16">
        <f t="shared" si="9"/>
        <v>0</v>
      </c>
      <c r="G292" s="69">
        <v>0</v>
      </c>
      <c r="H292" s="71" t="s">
        <v>694</v>
      </c>
    </row>
    <row r="293" spans="1:8" s="2" customFormat="1" x14ac:dyDescent="0.25">
      <c r="A293" s="38" t="s">
        <v>491</v>
      </c>
      <c r="B293" s="53" t="s">
        <v>492</v>
      </c>
      <c r="C293" s="40" t="s">
        <v>690</v>
      </c>
      <c r="D293" s="18">
        <f>10455.9858574902/1000</f>
        <v>10.4559858574902</v>
      </c>
      <c r="E293" s="101">
        <f>11791.6898428922/1000</f>
        <v>11.7916898428922</v>
      </c>
      <c r="F293" s="16">
        <f t="shared" ref="F293:F315" si="10">E293-D293</f>
        <v>1.3357039854020005</v>
      </c>
      <c r="G293" s="69">
        <f t="shared" si="8"/>
        <v>12.774538944552628</v>
      </c>
      <c r="H293" s="71" t="s">
        <v>694</v>
      </c>
    </row>
    <row r="294" spans="1:8" s="2" customFormat="1" x14ac:dyDescent="0.25">
      <c r="A294" s="38" t="s">
        <v>493</v>
      </c>
      <c r="B294" s="55" t="s">
        <v>440</v>
      </c>
      <c r="C294" s="40" t="s">
        <v>690</v>
      </c>
      <c r="D294" s="18">
        <v>0</v>
      </c>
      <c r="E294" s="101">
        <v>0</v>
      </c>
      <c r="F294" s="16">
        <f t="shared" si="10"/>
        <v>0</v>
      </c>
      <c r="G294" s="69">
        <v>0</v>
      </c>
      <c r="H294" s="71" t="s">
        <v>694</v>
      </c>
    </row>
    <row r="295" spans="1:8" s="2" customFormat="1" x14ac:dyDescent="0.25">
      <c r="A295" s="38" t="s">
        <v>494</v>
      </c>
      <c r="B295" s="53" t="s">
        <v>495</v>
      </c>
      <c r="C295" s="40" t="s">
        <v>690</v>
      </c>
      <c r="D295" s="18">
        <f>50638.1399/1000</f>
        <v>50.638139899999999</v>
      </c>
      <c r="E295" s="101">
        <f>54069/1000</f>
        <v>54.069000000000003</v>
      </c>
      <c r="F295" s="16">
        <f t="shared" si="10"/>
        <v>3.4308601000000039</v>
      </c>
      <c r="G295" s="69">
        <f t="shared" ref="G295:G301" si="11">F295/D295*100</f>
        <v>6.7752490647864496</v>
      </c>
      <c r="H295" s="71" t="s">
        <v>694</v>
      </c>
    </row>
    <row r="296" spans="1:8" s="2" customFormat="1" x14ac:dyDescent="0.25">
      <c r="A296" s="38" t="s">
        <v>496</v>
      </c>
      <c r="B296" s="55" t="s">
        <v>440</v>
      </c>
      <c r="C296" s="40" t="s">
        <v>690</v>
      </c>
      <c r="D296" s="18">
        <v>0</v>
      </c>
      <c r="E296" s="101">
        <v>0</v>
      </c>
      <c r="F296" s="16">
        <f t="shared" si="10"/>
        <v>0</v>
      </c>
      <c r="G296" s="69">
        <v>0</v>
      </c>
      <c r="H296" s="71" t="s">
        <v>694</v>
      </c>
    </row>
    <row r="297" spans="1:8" s="2" customFormat="1" x14ac:dyDescent="0.25">
      <c r="A297" s="38" t="s">
        <v>497</v>
      </c>
      <c r="B297" s="53" t="s">
        <v>498</v>
      </c>
      <c r="C297" s="40" t="s">
        <v>690</v>
      </c>
      <c r="D297" s="18">
        <f>113307/1000</f>
        <v>113.307</v>
      </c>
      <c r="E297" s="101">
        <f>119247.25017/1000</f>
        <v>119.24725017</v>
      </c>
      <c r="F297" s="16">
        <f t="shared" si="10"/>
        <v>5.9402501699999988</v>
      </c>
      <c r="G297" s="69">
        <f t="shared" si="11"/>
        <v>5.2426153459186091</v>
      </c>
      <c r="H297" s="71" t="s">
        <v>694</v>
      </c>
    </row>
    <row r="298" spans="1:8" s="2" customFormat="1" x14ac:dyDescent="0.25">
      <c r="A298" s="38" t="s">
        <v>499</v>
      </c>
      <c r="B298" s="55" t="s">
        <v>440</v>
      </c>
      <c r="C298" s="40" t="s">
        <v>690</v>
      </c>
      <c r="D298" s="18">
        <v>0</v>
      </c>
      <c r="E298" s="101">
        <v>0</v>
      </c>
      <c r="F298" s="16">
        <f t="shared" si="10"/>
        <v>0</v>
      </c>
      <c r="G298" s="69">
        <v>0</v>
      </c>
      <c r="H298" s="71" t="s">
        <v>694</v>
      </c>
    </row>
    <row r="299" spans="1:8" s="2" customFormat="1" ht="25.5" x14ac:dyDescent="0.25">
      <c r="A299" s="38" t="s">
        <v>500</v>
      </c>
      <c r="B299" s="53" t="s">
        <v>501</v>
      </c>
      <c r="C299" s="40" t="s">
        <v>690</v>
      </c>
      <c r="D299" s="18">
        <v>0</v>
      </c>
      <c r="E299" s="101">
        <v>0</v>
      </c>
      <c r="F299" s="16">
        <f t="shared" si="10"/>
        <v>0</v>
      </c>
      <c r="G299" s="69">
        <v>0</v>
      </c>
      <c r="H299" s="71" t="s">
        <v>694</v>
      </c>
    </row>
    <row r="300" spans="1:8" s="2" customFormat="1" x14ac:dyDescent="0.25">
      <c r="A300" s="38" t="s">
        <v>502</v>
      </c>
      <c r="B300" s="55" t="s">
        <v>440</v>
      </c>
      <c r="C300" s="40" t="s">
        <v>690</v>
      </c>
      <c r="D300" s="18">
        <v>0</v>
      </c>
      <c r="E300" s="101">
        <v>0</v>
      </c>
      <c r="F300" s="16">
        <f t="shared" si="10"/>
        <v>0</v>
      </c>
      <c r="G300" s="69">
        <v>0</v>
      </c>
      <c r="H300" s="71" t="s">
        <v>694</v>
      </c>
    </row>
    <row r="301" spans="1:8" s="2" customFormat="1" x14ac:dyDescent="0.25">
      <c r="A301" s="38" t="s">
        <v>503</v>
      </c>
      <c r="B301" s="53" t="s">
        <v>504</v>
      </c>
      <c r="C301" s="40" t="s">
        <v>690</v>
      </c>
      <c r="D301" s="18">
        <f>419171.50462/1000</f>
        <v>419.17150462000001</v>
      </c>
      <c r="E301" s="101">
        <f>709364.29795/1000</f>
        <v>709.36429795000004</v>
      </c>
      <c r="F301" s="16">
        <f t="shared" si="10"/>
        <v>290.19279333000003</v>
      </c>
      <c r="G301" s="69">
        <f t="shared" si="11"/>
        <v>69.230086046300869</v>
      </c>
      <c r="H301" s="71" t="s">
        <v>694</v>
      </c>
    </row>
    <row r="302" spans="1:8" s="2" customFormat="1" x14ac:dyDescent="0.25">
      <c r="A302" s="38" t="s">
        <v>505</v>
      </c>
      <c r="B302" s="55" t="s">
        <v>440</v>
      </c>
      <c r="C302" s="40" t="s">
        <v>690</v>
      </c>
      <c r="D302" s="18">
        <v>0</v>
      </c>
      <c r="E302" s="101">
        <f>538877.99705/1000</f>
        <v>538.87799704999998</v>
      </c>
      <c r="F302" s="16">
        <f t="shared" si="10"/>
        <v>538.87799704999998</v>
      </c>
      <c r="G302" s="69">
        <v>0</v>
      </c>
      <c r="H302" s="71" t="s">
        <v>694</v>
      </c>
    </row>
    <row r="303" spans="1:8" s="2" customFormat="1" ht="33" customHeight="1" x14ac:dyDescent="0.25">
      <c r="A303" s="38" t="s">
        <v>506</v>
      </c>
      <c r="B303" s="54" t="s">
        <v>507</v>
      </c>
      <c r="C303" s="40" t="s">
        <v>3</v>
      </c>
      <c r="D303" s="18">
        <v>0</v>
      </c>
      <c r="E303" s="18">
        <v>0</v>
      </c>
      <c r="F303" s="16">
        <f t="shared" si="10"/>
        <v>0</v>
      </c>
      <c r="G303" s="69">
        <v>0</v>
      </c>
      <c r="H303" s="71" t="s">
        <v>694</v>
      </c>
    </row>
    <row r="304" spans="1:8" s="2" customFormat="1" x14ac:dyDescent="0.25">
      <c r="A304" s="38" t="s">
        <v>508</v>
      </c>
      <c r="B304" s="53" t="s">
        <v>509</v>
      </c>
      <c r="C304" s="40" t="s">
        <v>3</v>
      </c>
      <c r="D304" s="18">
        <v>0</v>
      </c>
      <c r="E304" s="18">
        <v>0</v>
      </c>
      <c r="F304" s="16">
        <f t="shared" si="10"/>
        <v>0</v>
      </c>
      <c r="G304" s="69">
        <v>0</v>
      </c>
      <c r="H304" s="71" t="s">
        <v>694</v>
      </c>
    </row>
    <row r="305" spans="1:8" s="2" customFormat="1" ht="33" customHeight="1" x14ac:dyDescent="0.25">
      <c r="A305" s="38" t="s">
        <v>510</v>
      </c>
      <c r="B305" s="53" t="s">
        <v>511</v>
      </c>
      <c r="C305" s="40" t="s">
        <v>3</v>
      </c>
      <c r="D305" s="18">
        <v>0</v>
      </c>
      <c r="E305" s="18">
        <v>0</v>
      </c>
      <c r="F305" s="16">
        <f t="shared" si="10"/>
        <v>0</v>
      </c>
      <c r="G305" s="69">
        <v>0</v>
      </c>
      <c r="H305" s="71" t="s">
        <v>694</v>
      </c>
    </row>
    <row r="306" spans="1:8" s="2" customFormat="1" ht="31.5" customHeight="1" x14ac:dyDescent="0.25">
      <c r="A306" s="38" t="s">
        <v>512</v>
      </c>
      <c r="B306" s="53" t="s">
        <v>513</v>
      </c>
      <c r="C306" s="40" t="s">
        <v>3</v>
      </c>
      <c r="D306" s="18">
        <v>0</v>
      </c>
      <c r="E306" s="18">
        <v>0</v>
      </c>
      <c r="F306" s="16">
        <f t="shared" si="10"/>
        <v>0</v>
      </c>
      <c r="G306" s="69">
        <v>0</v>
      </c>
      <c r="H306" s="71" t="s">
        <v>694</v>
      </c>
    </row>
    <row r="307" spans="1:8" s="2" customFormat="1" ht="31.5" customHeight="1" x14ac:dyDescent="0.25">
      <c r="A307" s="38" t="s">
        <v>514</v>
      </c>
      <c r="B307" s="53" t="s">
        <v>515</v>
      </c>
      <c r="C307" s="40" t="s">
        <v>3</v>
      </c>
      <c r="D307" s="18">
        <v>0</v>
      </c>
      <c r="E307" s="18">
        <v>0</v>
      </c>
      <c r="F307" s="16">
        <f t="shared" si="10"/>
        <v>0</v>
      </c>
      <c r="G307" s="69">
        <v>0</v>
      </c>
      <c r="H307" s="71" t="s">
        <v>694</v>
      </c>
    </row>
    <row r="308" spans="1:8" s="2" customFormat="1" x14ac:dyDescent="0.25">
      <c r="A308" s="38" t="s">
        <v>516</v>
      </c>
      <c r="B308" s="45" t="s">
        <v>517</v>
      </c>
      <c r="C308" s="40" t="s">
        <v>3</v>
      </c>
      <c r="D308" s="18">
        <v>0</v>
      </c>
      <c r="E308" s="18">
        <v>0</v>
      </c>
      <c r="F308" s="16">
        <f t="shared" si="10"/>
        <v>0</v>
      </c>
      <c r="G308" s="69">
        <v>0</v>
      </c>
      <c r="H308" s="71" t="s">
        <v>694</v>
      </c>
    </row>
    <row r="309" spans="1:8" s="2" customFormat="1" x14ac:dyDescent="0.25">
      <c r="A309" s="38" t="s">
        <v>518</v>
      </c>
      <c r="B309" s="45" t="s">
        <v>519</v>
      </c>
      <c r="C309" s="40" t="s">
        <v>3</v>
      </c>
      <c r="D309" s="18">
        <v>0</v>
      </c>
      <c r="E309" s="18">
        <v>0</v>
      </c>
      <c r="F309" s="16">
        <f t="shared" si="10"/>
        <v>0</v>
      </c>
      <c r="G309" s="69">
        <v>0</v>
      </c>
      <c r="H309" s="71" t="s">
        <v>694</v>
      </c>
    </row>
    <row r="310" spans="1:8" s="2" customFormat="1" x14ac:dyDescent="0.25">
      <c r="A310" s="38" t="s">
        <v>520</v>
      </c>
      <c r="B310" s="45" t="s">
        <v>521</v>
      </c>
      <c r="C310" s="40" t="s">
        <v>3</v>
      </c>
      <c r="D310" s="18">
        <v>0</v>
      </c>
      <c r="E310" s="18">
        <v>0</v>
      </c>
      <c r="F310" s="16">
        <f t="shared" si="10"/>
        <v>0</v>
      </c>
      <c r="G310" s="69">
        <v>0</v>
      </c>
      <c r="H310" s="71" t="s">
        <v>694</v>
      </c>
    </row>
    <row r="311" spans="1:8" s="2" customFormat="1" x14ac:dyDescent="0.25">
      <c r="A311" s="38" t="s">
        <v>522</v>
      </c>
      <c r="B311" s="45" t="s">
        <v>523</v>
      </c>
      <c r="C311" s="40" t="s">
        <v>3</v>
      </c>
      <c r="D311" s="18">
        <v>0</v>
      </c>
      <c r="E311" s="18">
        <v>0</v>
      </c>
      <c r="F311" s="16">
        <f t="shared" si="10"/>
        <v>0</v>
      </c>
      <c r="G311" s="69">
        <v>0</v>
      </c>
      <c r="H311" s="71" t="s">
        <v>694</v>
      </c>
    </row>
    <row r="312" spans="1:8" s="2" customFormat="1" x14ac:dyDescent="0.25">
      <c r="A312" s="38" t="s">
        <v>524</v>
      </c>
      <c r="B312" s="45" t="s">
        <v>525</v>
      </c>
      <c r="C312" s="40" t="s">
        <v>3</v>
      </c>
      <c r="D312" s="18">
        <v>0</v>
      </c>
      <c r="E312" s="18">
        <v>0</v>
      </c>
      <c r="F312" s="16">
        <f t="shared" si="10"/>
        <v>0</v>
      </c>
      <c r="G312" s="69">
        <v>0</v>
      </c>
      <c r="H312" s="71" t="s">
        <v>694</v>
      </c>
    </row>
    <row r="313" spans="1:8" s="2" customFormat="1" ht="30" customHeight="1" x14ac:dyDescent="0.25">
      <c r="A313" s="38" t="s">
        <v>526</v>
      </c>
      <c r="B313" s="53" t="s">
        <v>527</v>
      </c>
      <c r="C313" s="40" t="s">
        <v>3</v>
      </c>
      <c r="D313" s="18">
        <v>0</v>
      </c>
      <c r="E313" s="18">
        <v>0</v>
      </c>
      <c r="F313" s="16">
        <f t="shared" si="10"/>
        <v>0</v>
      </c>
      <c r="G313" s="69">
        <v>0</v>
      </c>
      <c r="H313" s="71" t="s">
        <v>694</v>
      </c>
    </row>
    <row r="314" spans="1:8" s="2" customFormat="1" x14ac:dyDescent="0.25">
      <c r="A314" s="38" t="s">
        <v>528</v>
      </c>
      <c r="B314" s="74" t="s">
        <v>48</v>
      </c>
      <c r="C314" s="40" t="s">
        <v>3</v>
      </c>
      <c r="D314" s="18">
        <v>0</v>
      </c>
      <c r="E314" s="18">
        <v>0</v>
      </c>
      <c r="F314" s="16">
        <f t="shared" si="10"/>
        <v>0</v>
      </c>
      <c r="G314" s="69">
        <v>0</v>
      </c>
      <c r="H314" s="71" t="s">
        <v>694</v>
      </c>
    </row>
    <row r="315" spans="1:8" s="2" customFormat="1" ht="16.5" thickBot="1" x14ac:dyDescent="0.3">
      <c r="A315" s="66" t="s">
        <v>529</v>
      </c>
      <c r="B315" s="75" t="s">
        <v>49</v>
      </c>
      <c r="C315" s="46" t="s">
        <v>3</v>
      </c>
      <c r="D315" s="18">
        <v>0</v>
      </c>
      <c r="E315" s="18">
        <v>0</v>
      </c>
      <c r="F315" s="16">
        <f t="shared" si="10"/>
        <v>0</v>
      </c>
      <c r="G315" s="69">
        <v>0</v>
      </c>
      <c r="H315" s="71" t="s">
        <v>694</v>
      </c>
    </row>
    <row r="316" spans="1:8" s="2" customFormat="1" ht="16.5" thickBot="1" x14ac:dyDescent="0.3">
      <c r="A316" s="130" t="s">
        <v>530</v>
      </c>
      <c r="B316" s="131"/>
      <c r="C316" s="131"/>
      <c r="D316" s="131"/>
      <c r="E316" s="131"/>
      <c r="F316" s="131"/>
      <c r="G316" s="131"/>
      <c r="H316" s="132"/>
    </row>
    <row r="317" spans="1:8" x14ac:dyDescent="0.25">
      <c r="A317" s="32" t="s">
        <v>531</v>
      </c>
      <c r="B317" s="33" t="s">
        <v>532</v>
      </c>
      <c r="C317" s="34" t="s">
        <v>277</v>
      </c>
      <c r="D317" s="22" t="s">
        <v>533</v>
      </c>
      <c r="E317" s="22" t="s">
        <v>533</v>
      </c>
      <c r="F317" s="22"/>
      <c r="G317" s="22" t="s">
        <v>533</v>
      </c>
      <c r="H317" s="76" t="s">
        <v>533</v>
      </c>
    </row>
    <row r="318" spans="1:8" x14ac:dyDescent="0.25">
      <c r="A318" s="38" t="s">
        <v>534</v>
      </c>
      <c r="B318" s="54" t="s">
        <v>535</v>
      </c>
      <c r="C318" s="40" t="s">
        <v>1</v>
      </c>
      <c r="D318" s="11" t="s">
        <v>277</v>
      </c>
      <c r="E318" s="11" t="s">
        <v>277</v>
      </c>
      <c r="F318" s="15" t="s">
        <v>694</v>
      </c>
      <c r="G318" s="23" t="s">
        <v>694</v>
      </c>
      <c r="H318" s="15" t="s">
        <v>694</v>
      </c>
    </row>
    <row r="319" spans="1:8" x14ac:dyDescent="0.25">
      <c r="A319" s="38" t="s">
        <v>536</v>
      </c>
      <c r="B319" s="54" t="s">
        <v>537</v>
      </c>
      <c r="C319" s="40" t="s">
        <v>538</v>
      </c>
      <c r="D319" s="11" t="s">
        <v>277</v>
      </c>
      <c r="E319" s="11" t="s">
        <v>277</v>
      </c>
      <c r="F319" s="15" t="s">
        <v>694</v>
      </c>
      <c r="G319" s="23" t="s">
        <v>694</v>
      </c>
      <c r="H319" s="15" t="s">
        <v>694</v>
      </c>
    </row>
    <row r="320" spans="1:8" x14ac:dyDescent="0.25">
      <c r="A320" s="38" t="s">
        <v>539</v>
      </c>
      <c r="B320" s="54" t="s">
        <v>540</v>
      </c>
      <c r="C320" s="40" t="s">
        <v>1</v>
      </c>
      <c r="D320" s="11" t="s">
        <v>277</v>
      </c>
      <c r="E320" s="11" t="s">
        <v>277</v>
      </c>
      <c r="F320" s="15" t="s">
        <v>694</v>
      </c>
      <c r="G320" s="23" t="s">
        <v>694</v>
      </c>
      <c r="H320" s="15" t="s">
        <v>694</v>
      </c>
    </row>
    <row r="321" spans="1:8" x14ac:dyDescent="0.25">
      <c r="A321" s="38" t="s">
        <v>541</v>
      </c>
      <c r="B321" s="54" t="s">
        <v>542</v>
      </c>
      <c r="C321" s="40" t="s">
        <v>538</v>
      </c>
      <c r="D321" s="11" t="s">
        <v>277</v>
      </c>
      <c r="E321" s="11" t="s">
        <v>277</v>
      </c>
      <c r="F321" s="15" t="s">
        <v>694</v>
      </c>
      <c r="G321" s="23" t="s">
        <v>694</v>
      </c>
      <c r="H321" s="15" t="s">
        <v>694</v>
      </c>
    </row>
    <row r="322" spans="1:8" x14ac:dyDescent="0.25">
      <c r="A322" s="38" t="s">
        <v>543</v>
      </c>
      <c r="B322" s="54" t="s">
        <v>544</v>
      </c>
      <c r="C322" s="40" t="s">
        <v>545</v>
      </c>
      <c r="D322" s="11" t="s">
        <v>277</v>
      </c>
      <c r="E322" s="11" t="s">
        <v>277</v>
      </c>
      <c r="F322" s="15" t="s">
        <v>694</v>
      </c>
      <c r="G322" s="23" t="s">
        <v>694</v>
      </c>
      <c r="H322" s="15" t="s">
        <v>694</v>
      </c>
    </row>
    <row r="323" spans="1:8" x14ac:dyDescent="0.25">
      <c r="A323" s="38" t="s">
        <v>546</v>
      </c>
      <c r="B323" s="54" t="s">
        <v>547</v>
      </c>
      <c r="C323" s="40" t="s">
        <v>277</v>
      </c>
      <c r="D323" s="18" t="s">
        <v>533</v>
      </c>
      <c r="E323" s="11" t="s">
        <v>277</v>
      </c>
      <c r="F323" s="15" t="s">
        <v>533</v>
      </c>
      <c r="G323" s="23" t="s">
        <v>533</v>
      </c>
      <c r="H323" s="77" t="s">
        <v>533</v>
      </c>
    </row>
    <row r="324" spans="1:8" x14ac:dyDescent="0.25">
      <c r="A324" s="38" t="s">
        <v>548</v>
      </c>
      <c r="B324" s="53" t="s">
        <v>549</v>
      </c>
      <c r="C324" s="40" t="s">
        <v>545</v>
      </c>
      <c r="D324" s="11" t="s">
        <v>277</v>
      </c>
      <c r="E324" s="11" t="s">
        <v>277</v>
      </c>
      <c r="F324" s="15" t="s">
        <v>694</v>
      </c>
      <c r="G324" s="23" t="s">
        <v>694</v>
      </c>
      <c r="H324" s="77" t="s">
        <v>694</v>
      </c>
    </row>
    <row r="325" spans="1:8" x14ac:dyDescent="0.25">
      <c r="A325" s="38" t="s">
        <v>550</v>
      </c>
      <c r="B325" s="53" t="s">
        <v>551</v>
      </c>
      <c r="C325" s="40" t="s">
        <v>552</v>
      </c>
      <c r="D325" s="11" t="s">
        <v>277</v>
      </c>
      <c r="E325" s="11" t="s">
        <v>277</v>
      </c>
      <c r="F325" s="15" t="s">
        <v>694</v>
      </c>
      <c r="G325" s="23" t="s">
        <v>694</v>
      </c>
      <c r="H325" s="77" t="s">
        <v>694</v>
      </c>
    </row>
    <row r="326" spans="1:8" x14ac:dyDescent="0.25">
      <c r="A326" s="38" t="s">
        <v>553</v>
      </c>
      <c r="B326" s="54" t="s">
        <v>554</v>
      </c>
      <c r="C326" s="40" t="s">
        <v>277</v>
      </c>
      <c r="D326" s="18" t="s">
        <v>533</v>
      </c>
      <c r="E326" s="11" t="s">
        <v>277</v>
      </c>
      <c r="F326" s="15" t="s">
        <v>533</v>
      </c>
      <c r="G326" s="23" t="s">
        <v>533</v>
      </c>
      <c r="H326" s="77" t="s">
        <v>533</v>
      </c>
    </row>
    <row r="327" spans="1:8" x14ac:dyDescent="0.25">
      <c r="A327" s="38" t="s">
        <v>555</v>
      </c>
      <c r="B327" s="53" t="s">
        <v>549</v>
      </c>
      <c r="C327" s="40" t="s">
        <v>545</v>
      </c>
      <c r="D327" s="11" t="s">
        <v>277</v>
      </c>
      <c r="E327" s="11" t="s">
        <v>277</v>
      </c>
      <c r="F327" s="15" t="s">
        <v>694</v>
      </c>
      <c r="G327" s="23" t="s">
        <v>694</v>
      </c>
      <c r="H327" s="77" t="s">
        <v>694</v>
      </c>
    </row>
    <row r="328" spans="1:8" x14ac:dyDescent="0.25">
      <c r="A328" s="38" t="s">
        <v>556</v>
      </c>
      <c r="B328" s="53" t="s">
        <v>557</v>
      </c>
      <c r="C328" s="40" t="s">
        <v>1</v>
      </c>
      <c r="D328" s="11" t="s">
        <v>277</v>
      </c>
      <c r="E328" s="11" t="s">
        <v>277</v>
      </c>
      <c r="F328" s="15" t="s">
        <v>694</v>
      </c>
      <c r="G328" s="23" t="s">
        <v>694</v>
      </c>
      <c r="H328" s="77" t="s">
        <v>694</v>
      </c>
    </row>
    <row r="329" spans="1:8" x14ac:dyDescent="0.25">
      <c r="A329" s="38" t="s">
        <v>558</v>
      </c>
      <c r="B329" s="53" t="s">
        <v>551</v>
      </c>
      <c r="C329" s="40" t="s">
        <v>552</v>
      </c>
      <c r="D329" s="11" t="s">
        <v>277</v>
      </c>
      <c r="E329" s="11" t="s">
        <v>277</v>
      </c>
      <c r="F329" s="15" t="s">
        <v>694</v>
      </c>
      <c r="G329" s="23" t="s">
        <v>694</v>
      </c>
      <c r="H329" s="77" t="s">
        <v>694</v>
      </c>
    </row>
    <row r="330" spans="1:8" x14ac:dyDescent="0.25">
      <c r="A330" s="38" t="s">
        <v>559</v>
      </c>
      <c r="B330" s="54" t="s">
        <v>560</v>
      </c>
      <c r="C330" s="40" t="s">
        <v>277</v>
      </c>
      <c r="D330" s="18" t="s">
        <v>533</v>
      </c>
      <c r="E330" s="11" t="s">
        <v>277</v>
      </c>
      <c r="F330" s="15" t="s">
        <v>533</v>
      </c>
      <c r="G330" s="23" t="s">
        <v>533</v>
      </c>
      <c r="H330" s="77" t="s">
        <v>533</v>
      </c>
    </row>
    <row r="331" spans="1:8" x14ac:dyDescent="0.25">
      <c r="A331" s="38" t="s">
        <v>561</v>
      </c>
      <c r="B331" s="53" t="s">
        <v>549</v>
      </c>
      <c r="C331" s="40" t="s">
        <v>545</v>
      </c>
      <c r="D331" s="11" t="s">
        <v>277</v>
      </c>
      <c r="E331" s="11" t="s">
        <v>277</v>
      </c>
      <c r="F331" s="15" t="s">
        <v>694</v>
      </c>
      <c r="G331" s="23" t="s">
        <v>694</v>
      </c>
      <c r="H331" s="77" t="s">
        <v>694</v>
      </c>
    </row>
    <row r="332" spans="1:8" x14ac:dyDescent="0.25">
      <c r="A332" s="38" t="s">
        <v>562</v>
      </c>
      <c r="B332" s="53" t="s">
        <v>551</v>
      </c>
      <c r="C332" s="40" t="s">
        <v>552</v>
      </c>
      <c r="D332" s="11" t="s">
        <v>277</v>
      </c>
      <c r="E332" s="11" t="s">
        <v>277</v>
      </c>
      <c r="F332" s="15" t="s">
        <v>694</v>
      </c>
      <c r="G332" s="23" t="s">
        <v>694</v>
      </c>
      <c r="H332" s="77" t="s">
        <v>694</v>
      </c>
    </row>
    <row r="333" spans="1:8" x14ac:dyDescent="0.25">
      <c r="A333" s="38" t="s">
        <v>563</v>
      </c>
      <c r="B333" s="54" t="s">
        <v>564</v>
      </c>
      <c r="C333" s="40" t="s">
        <v>277</v>
      </c>
      <c r="D333" s="18" t="s">
        <v>533</v>
      </c>
      <c r="E333" s="11" t="s">
        <v>277</v>
      </c>
      <c r="F333" s="15" t="s">
        <v>533</v>
      </c>
      <c r="G333" s="23" t="s">
        <v>533</v>
      </c>
      <c r="H333" s="77" t="s">
        <v>533</v>
      </c>
    </row>
    <row r="334" spans="1:8" x14ac:dyDescent="0.25">
      <c r="A334" s="38" t="s">
        <v>565</v>
      </c>
      <c r="B334" s="53" t="s">
        <v>549</v>
      </c>
      <c r="C334" s="40" t="s">
        <v>545</v>
      </c>
      <c r="D334" s="11" t="s">
        <v>277</v>
      </c>
      <c r="E334" s="11" t="s">
        <v>277</v>
      </c>
      <c r="F334" s="15" t="s">
        <v>694</v>
      </c>
      <c r="G334" s="23" t="s">
        <v>694</v>
      </c>
      <c r="H334" s="77" t="s">
        <v>694</v>
      </c>
    </row>
    <row r="335" spans="1:8" x14ac:dyDescent="0.25">
      <c r="A335" s="38" t="s">
        <v>566</v>
      </c>
      <c r="B335" s="53" t="s">
        <v>557</v>
      </c>
      <c r="C335" s="40" t="s">
        <v>1</v>
      </c>
      <c r="D335" s="11" t="s">
        <v>277</v>
      </c>
      <c r="E335" s="11" t="s">
        <v>277</v>
      </c>
      <c r="F335" s="15" t="s">
        <v>694</v>
      </c>
      <c r="G335" s="23" t="s">
        <v>694</v>
      </c>
      <c r="H335" s="77" t="s">
        <v>694</v>
      </c>
    </row>
    <row r="336" spans="1:8" x14ac:dyDescent="0.25">
      <c r="A336" s="38" t="s">
        <v>567</v>
      </c>
      <c r="B336" s="53" t="s">
        <v>551</v>
      </c>
      <c r="C336" s="40" t="s">
        <v>552</v>
      </c>
      <c r="D336" s="11" t="s">
        <v>277</v>
      </c>
      <c r="E336" s="11" t="s">
        <v>277</v>
      </c>
      <c r="F336" s="15" t="s">
        <v>694</v>
      </c>
      <c r="G336" s="23" t="s">
        <v>694</v>
      </c>
      <c r="H336" s="77" t="s">
        <v>694</v>
      </c>
    </row>
    <row r="337" spans="1:8" x14ac:dyDescent="0.25">
      <c r="A337" s="32" t="s">
        <v>568</v>
      </c>
      <c r="B337" s="33" t="s">
        <v>569</v>
      </c>
      <c r="C337" s="34" t="s">
        <v>277</v>
      </c>
      <c r="D337" s="21" t="s">
        <v>533</v>
      </c>
      <c r="E337" s="11" t="s">
        <v>277</v>
      </c>
      <c r="F337" s="15" t="s">
        <v>533</v>
      </c>
      <c r="G337" s="23" t="s">
        <v>533</v>
      </c>
      <c r="H337" s="71" t="s">
        <v>533</v>
      </c>
    </row>
    <row r="338" spans="1:8" ht="29.25" customHeight="1" x14ac:dyDescent="0.25">
      <c r="A338" s="38" t="s">
        <v>570</v>
      </c>
      <c r="B338" s="54" t="s">
        <v>571</v>
      </c>
      <c r="C338" s="40" t="s">
        <v>545</v>
      </c>
      <c r="D338" s="18">
        <f>D339</f>
        <v>1672.3256450000001</v>
      </c>
      <c r="E338" s="111">
        <f>E339</f>
        <v>1154.2400170000001</v>
      </c>
      <c r="F338" s="15">
        <f>E338-D338</f>
        <v>-518.08562800000004</v>
      </c>
      <c r="G338" s="23">
        <f>F338/D338*100</f>
        <v>-30.979948764703657</v>
      </c>
      <c r="H338" s="77" t="s">
        <v>694</v>
      </c>
    </row>
    <row r="339" spans="1:8" ht="25.5" x14ac:dyDescent="0.25">
      <c r="A339" s="38" t="s">
        <v>572</v>
      </c>
      <c r="B339" s="53" t="s">
        <v>573</v>
      </c>
      <c r="C339" s="40" t="s">
        <v>545</v>
      </c>
      <c r="D339" s="11">
        <f>1672325.645/1000</f>
        <v>1672.3256450000001</v>
      </c>
      <c r="E339" s="111">
        <f>1154240.017/1000</f>
        <v>1154.2400170000001</v>
      </c>
      <c r="F339" s="15">
        <f>E339-D339</f>
        <v>-518.08562800000004</v>
      </c>
      <c r="G339" s="23">
        <f>F339/D339*100</f>
        <v>-30.979948764703657</v>
      </c>
      <c r="H339" s="77" t="s">
        <v>694</v>
      </c>
    </row>
    <row r="340" spans="1:8" x14ac:dyDescent="0.25">
      <c r="A340" s="38" t="s">
        <v>574</v>
      </c>
      <c r="B340" s="74" t="s">
        <v>575</v>
      </c>
      <c r="C340" s="40" t="s">
        <v>545</v>
      </c>
      <c r="D340" s="11" t="s">
        <v>277</v>
      </c>
      <c r="E340" s="11" t="s">
        <v>277</v>
      </c>
      <c r="F340" s="15" t="s">
        <v>694</v>
      </c>
      <c r="G340" s="23" t="s">
        <v>694</v>
      </c>
      <c r="H340" s="77" t="s">
        <v>694</v>
      </c>
    </row>
    <row r="341" spans="1:8" x14ac:dyDescent="0.25">
      <c r="A341" s="38" t="s">
        <v>576</v>
      </c>
      <c r="B341" s="74" t="s">
        <v>577</v>
      </c>
      <c r="C341" s="40" t="s">
        <v>545</v>
      </c>
      <c r="D341" s="11" t="s">
        <v>277</v>
      </c>
      <c r="E341" s="11" t="s">
        <v>277</v>
      </c>
      <c r="F341" s="15" t="s">
        <v>694</v>
      </c>
      <c r="G341" s="23" t="s">
        <v>694</v>
      </c>
      <c r="H341" s="77" t="s">
        <v>694</v>
      </c>
    </row>
    <row r="342" spans="1:8" x14ac:dyDescent="0.25">
      <c r="A342" s="38" t="s">
        <v>578</v>
      </c>
      <c r="B342" s="54" t="s">
        <v>579</v>
      </c>
      <c r="C342" s="40" t="s">
        <v>545</v>
      </c>
      <c r="D342" s="11">
        <f>284984.33/1000</f>
        <v>284.98433</v>
      </c>
      <c r="E342" s="15">
        <f>172343.362/1000</f>
        <v>172.34336199999998</v>
      </c>
      <c r="F342" s="15">
        <f>E342-D342</f>
        <v>-112.64096800000002</v>
      </c>
      <c r="G342" s="23">
        <f>F342/D342*100</f>
        <v>-39.525319865832628</v>
      </c>
      <c r="H342" s="77" t="s">
        <v>694</v>
      </c>
    </row>
    <row r="343" spans="1:8" x14ac:dyDescent="0.25">
      <c r="A343" s="38" t="s">
        <v>580</v>
      </c>
      <c r="B343" s="54" t="s">
        <v>581</v>
      </c>
      <c r="C343" s="40" t="s">
        <v>1</v>
      </c>
      <c r="D343" s="11">
        <v>294.60000000000002</v>
      </c>
      <c r="E343" s="111">
        <v>294.60000000000002</v>
      </c>
      <c r="F343" s="15">
        <f>E343-D343</f>
        <v>0</v>
      </c>
      <c r="G343" s="23">
        <f>F343/D343*100</f>
        <v>0</v>
      </c>
      <c r="H343" s="77" t="s">
        <v>694</v>
      </c>
    </row>
    <row r="344" spans="1:8" ht="25.5" x14ac:dyDescent="0.25">
      <c r="A344" s="38" t="s">
        <v>582</v>
      </c>
      <c r="B344" s="53" t="s">
        <v>583</v>
      </c>
      <c r="C344" s="40" t="s">
        <v>1</v>
      </c>
      <c r="D344" s="11" t="s">
        <v>277</v>
      </c>
      <c r="E344" s="11" t="s">
        <v>277</v>
      </c>
      <c r="F344" s="15" t="s">
        <v>694</v>
      </c>
      <c r="G344" s="23" t="s">
        <v>694</v>
      </c>
      <c r="H344" s="77" t="s">
        <v>694</v>
      </c>
    </row>
    <row r="345" spans="1:8" x14ac:dyDescent="0.25">
      <c r="A345" s="38" t="s">
        <v>584</v>
      </c>
      <c r="B345" s="74" t="s">
        <v>575</v>
      </c>
      <c r="C345" s="40" t="s">
        <v>1</v>
      </c>
      <c r="D345" s="11" t="s">
        <v>277</v>
      </c>
      <c r="E345" s="11" t="s">
        <v>277</v>
      </c>
      <c r="F345" s="15" t="s">
        <v>694</v>
      </c>
      <c r="G345" s="23" t="s">
        <v>694</v>
      </c>
      <c r="H345" s="77" t="s">
        <v>694</v>
      </c>
    </row>
    <row r="346" spans="1:8" x14ac:dyDescent="0.25">
      <c r="A346" s="38" t="s">
        <v>585</v>
      </c>
      <c r="B346" s="74" t="s">
        <v>577</v>
      </c>
      <c r="C346" s="40" t="s">
        <v>1</v>
      </c>
      <c r="D346" s="18" t="s">
        <v>277</v>
      </c>
      <c r="E346" s="18" t="s">
        <v>277</v>
      </c>
      <c r="F346" s="15" t="s">
        <v>694</v>
      </c>
      <c r="G346" s="23" t="s">
        <v>694</v>
      </c>
      <c r="H346" s="77" t="s">
        <v>694</v>
      </c>
    </row>
    <row r="347" spans="1:8" x14ac:dyDescent="0.25">
      <c r="A347" s="38" t="s">
        <v>586</v>
      </c>
      <c r="B347" s="54" t="s">
        <v>587</v>
      </c>
      <c r="C347" s="40" t="s">
        <v>588</v>
      </c>
      <c r="D347" s="112">
        <v>27042</v>
      </c>
      <c r="E347" s="23">
        <v>27069.83</v>
      </c>
      <c r="F347" s="15">
        <f>E347-D347</f>
        <v>27.830000000001746</v>
      </c>
      <c r="G347" s="23">
        <f>F347/D347*100</f>
        <v>0.10291398565195528</v>
      </c>
      <c r="H347" s="77" t="s">
        <v>694</v>
      </c>
    </row>
    <row r="348" spans="1:8" ht="25.5" x14ac:dyDescent="0.25">
      <c r="A348" s="38" t="s">
        <v>589</v>
      </c>
      <c r="B348" s="54" t="s">
        <v>590</v>
      </c>
      <c r="C348" s="40" t="s">
        <v>690</v>
      </c>
      <c r="D348" s="11" t="s">
        <v>277</v>
      </c>
      <c r="E348" s="11" t="s">
        <v>277</v>
      </c>
      <c r="F348" s="15" t="s">
        <v>694</v>
      </c>
      <c r="G348" s="23" t="s">
        <v>694</v>
      </c>
      <c r="H348" s="77" t="s">
        <v>694</v>
      </c>
    </row>
    <row r="349" spans="1:8" x14ac:dyDescent="0.25">
      <c r="A349" s="38" t="s">
        <v>591</v>
      </c>
      <c r="B349" s="68" t="s">
        <v>592</v>
      </c>
      <c r="C349" s="40" t="s">
        <v>277</v>
      </c>
      <c r="D349" s="18" t="s">
        <v>533</v>
      </c>
      <c r="E349" s="15"/>
      <c r="F349" s="15" t="s">
        <v>533</v>
      </c>
      <c r="G349" s="23" t="s">
        <v>533</v>
      </c>
      <c r="H349" s="77" t="s">
        <v>533</v>
      </c>
    </row>
    <row r="350" spans="1:8" x14ac:dyDescent="0.25">
      <c r="A350" s="38" t="s">
        <v>593</v>
      </c>
      <c r="B350" s="54" t="s">
        <v>594</v>
      </c>
      <c r="C350" s="40" t="s">
        <v>545</v>
      </c>
      <c r="D350" s="11" t="s">
        <v>277</v>
      </c>
      <c r="E350" s="11" t="s">
        <v>277</v>
      </c>
      <c r="F350" s="15" t="s">
        <v>694</v>
      </c>
      <c r="G350" s="23" t="s">
        <v>694</v>
      </c>
      <c r="H350" s="77" t="s">
        <v>694</v>
      </c>
    </row>
    <row r="351" spans="1:8" x14ac:dyDescent="0.25">
      <c r="A351" s="38" t="s">
        <v>595</v>
      </c>
      <c r="B351" s="54" t="s">
        <v>596</v>
      </c>
      <c r="C351" s="40" t="s">
        <v>538</v>
      </c>
      <c r="D351" s="11" t="s">
        <v>277</v>
      </c>
      <c r="E351" s="11" t="s">
        <v>277</v>
      </c>
      <c r="F351" s="15" t="s">
        <v>694</v>
      </c>
      <c r="G351" s="23" t="s">
        <v>694</v>
      </c>
      <c r="H351" s="77" t="s">
        <v>694</v>
      </c>
    </row>
    <row r="352" spans="1:8" ht="25.5" x14ac:dyDescent="0.25">
      <c r="A352" s="38" t="s">
        <v>597</v>
      </c>
      <c r="B352" s="54" t="s">
        <v>598</v>
      </c>
      <c r="C352" s="40" t="s">
        <v>690</v>
      </c>
      <c r="D352" s="11" t="s">
        <v>277</v>
      </c>
      <c r="E352" s="11" t="s">
        <v>277</v>
      </c>
      <c r="F352" s="15" t="s">
        <v>694</v>
      </c>
      <c r="G352" s="23" t="s">
        <v>694</v>
      </c>
      <c r="H352" s="77" t="s">
        <v>694</v>
      </c>
    </row>
    <row r="353" spans="1:8" ht="25.5" x14ac:dyDescent="0.25">
      <c r="A353" s="38" t="s">
        <v>599</v>
      </c>
      <c r="B353" s="54" t="s">
        <v>600</v>
      </c>
      <c r="C353" s="40" t="s">
        <v>690</v>
      </c>
      <c r="D353" s="11" t="s">
        <v>277</v>
      </c>
      <c r="E353" s="11" t="s">
        <v>277</v>
      </c>
      <c r="F353" s="15" t="s">
        <v>694</v>
      </c>
      <c r="G353" s="23" t="s">
        <v>694</v>
      </c>
      <c r="H353" s="77" t="s">
        <v>694</v>
      </c>
    </row>
    <row r="354" spans="1:8" x14ac:dyDescent="0.25">
      <c r="A354" s="38" t="s">
        <v>601</v>
      </c>
      <c r="B354" s="68" t="s">
        <v>602</v>
      </c>
      <c r="C354" s="78" t="s">
        <v>277</v>
      </c>
      <c r="D354" s="18" t="s">
        <v>533</v>
      </c>
      <c r="E354" s="11" t="s">
        <v>277</v>
      </c>
      <c r="F354" s="15" t="s">
        <v>694</v>
      </c>
      <c r="G354" s="23" t="s">
        <v>694</v>
      </c>
      <c r="H354" s="77" t="s">
        <v>533</v>
      </c>
    </row>
    <row r="355" spans="1:8" x14ac:dyDescent="0.25">
      <c r="A355" s="38" t="s">
        <v>603</v>
      </c>
      <c r="B355" s="54" t="s">
        <v>604</v>
      </c>
      <c r="C355" s="40" t="s">
        <v>1</v>
      </c>
      <c r="D355" s="11" t="s">
        <v>277</v>
      </c>
      <c r="E355" s="11" t="s">
        <v>277</v>
      </c>
      <c r="F355" s="15" t="s">
        <v>694</v>
      </c>
      <c r="G355" s="23" t="s">
        <v>694</v>
      </c>
      <c r="H355" s="77" t="s">
        <v>694</v>
      </c>
    </row>
    <row r="356" spans="1:8" ht="48.75" customHeight="1" x14ac:dyDescent="0.25">
      <c r="A356" s="38" t="s">
        <v>605</v>
      </c>
      <c r="B356" s="53" t="s">
        <v>606</v>
      </c>
      <c r="C356" s="40" t="s">
        <v>1</v>
      </c>
      <c r="D356" s="11" t="s">
        <v>277</v>
      </c>
      <c r="E356" s="11" t="s">
        <v>277</v>
      </c>
      <c r="F356" s="15" t="s">
        <v>694</v>
      </c>
      <c r="G356" s="23" t="s">
        <v>694</v>
      </c>
      <c r="H356" s="77" t="s">
        <v>694</v>
      </c>
    </row>
    <row r="357" spans="1:8" ht="49.5" customHeight="1" x14ac:dyDescent="0.25">
      <c r="A357" s="38" t="s">
        <v>607</v>
      </c>
      <c r="B357" s="53" t="s">
        <v>608</v>
      </c>
      <c r="C357" s="40" t="s">
        <v>1</v>
      </c>
      <c r="D357" s="11" t="s">
        <v>277</v>
      </c>
      <c r="E357" s="11" t="s">
        <v>277</v>
      </c>
      <c r="F357" s="15" t="s">
        <v>694</v>
      </c>
      <c r="G357" s="23" t="s">
        <v>694</v>
      </c>
      <c r="H357" s="77" t="s">
        <v>694</v>
      </c>
    </row>
    <row r="358" spans="1:8" ht="36" customHeight="1" x14ac:dyDescent="0.25">
      <c r="A358" s="38" t="s">
        <v>609</v>
      </c>
      <c r="B358" s="53" t="s">
        <v>610</v>
      </c>
      <c r="C358" s="40" t="s">
        <v>1</v>
      </c>
      <c r="D358" s="11" t="s">
        <v>277</v>
      </c>
      <c r="E358" s="11" t="s">
        <v>277</v>
      </c>
      <c r="F358" s="15" t="s">
        <v>694</v>
      </c>
      <c r="G358" s="23" t="s">
        <v>694</v>
      </c>
      <c r="H358" s="77" t="s">
        <v>694</v>
      </c>
    </row>
    <row r="359" spans="1:8" ht="25.5" customHeight="1" x14ac:dyDescent="0.25">
      <c r="A359" s="38" t="s">
        <v>611</v>
      </c>
      <c r="B359" s="54" t="s">
        <v>612</v>
      </c>
      <c r="C359" s="40" t="s">
        <v>545</v>
      </c>
      <c r="D359" s="11" t="s">
        <v>277</v>
      </c>
      <c r="E359" s="11" t="s">
        <v>277</v>
      </c>
      <c r="F359" s="15" t="s">
        <v>694</v>
      </c>
      <c r="G359" s="23" t="s">
        <v>694</v>
      </c>
      <c r="H359" s="77" t="s">
        <v>694</v>
      </c>
    </row>
    <row r="360" spans="1:8" ht="30" customHeight="1" x14ac:dyDescent="0.25">
      <c r="A360" s="38" t="s">
        <v>613</v>
      </c>
      <c r="B360" s="53" t="s">
        <v>614</v>
      </c>
      <c r="C360" s="40" t="s">
        <v>545</v>
      </c>
      <c r="D360" s="11" t="s">
        <v>277</v>
      </c>
      <c r="E360" s="11" t="s">
        <v>277</v>
      </c>
      <c r="F360" s="15" t="s">
        <v>694</v>
      </c>
      <c r="G360" s="23" t="s">
        <v>694</v>
      </c>
      <c r="H360" s="77" t="s">
        <v>694</v>
      </c>
    </row>
    <row r="361" spans="1:8" ht="23.25" customHeight="1" x14ac:dyDescent="0.25">
      <c r="A361" s="38" t="s">
        <v>615</v>
      </c>
      <c r="B361" s="53" t="s">
        <v>616</v>
      </c>
      <c r="C361" s="40" t="s">
        <v>545</v>
      </c>
      <c r="D361" s="11" t="s">
        <v>277</v>
      </c>
      <c r="E361" s="11" t="s">
        <v>277</v>
      </c>
      <c r="F361" s="15" t="s">
        <v>694</v>
      </c>
      <c r="G361" s="23" t="s">
        <v>694</v>
      </c>
      <c r="H361" s="77" t="s">
        <v>694</v>
      </c>
    </row>
    <row r="362" spans="1:8" ht="31.5" customHeight="1" x14ac:dyDescent="0.25">
      <c r="A362" s="38" t="s">
        <v>617</v>
      </c>
      <c r="B362" s="54" t="s">
        <v>618</v>
      </c>
      <c r="C362" s="40" t="s">
        <v>690</v>
      </c>
      <c r="D362" s="11" t="s">
        <v>277</v>
      </c>
      <c r="E362" s="11" t="s">
        <v>277</v>
      </c>
      <c r="F362" s="15" t="s">
        <v>694</v>
      </c>
      <c r="G362" s="23" t="s">
        <v>694</v>
      </c>
      <c r="H362" s="77" t="s">
        <v>694</v>
      </c>
    </row>
    <row r="363" spans="1:8" x14ac:dyDescent="0.25">
      <c r="A363" s="38" t="s">
        <v>619</v>
      </c>
      <c r="B363" s="53" t="s">
        <v>620</v>
      </c>
      <c r="C363" s="40" t="s">
        <v>690</v>
      </c>
      <c r="D363" s="11" t="s">
        <v>277</v>
      </c>
      <c r="E363" s="11" t="s">
        <v>277</v>
      </c>
      <c r="F363" s="15" t="s">
        <v>694</v>
      </c>
      <c r="G363" s="23" t="s">
        <v>694</v>
      </c>
      <c r="H363" s="77" t="s">
        <v>694</v>
      </c>
    </row>
    <row r="364" spans="1:8" x14ac:dyDescent="0.25">
      <c r="A364" s="38" t="s">
        <v>621</v>
      </c>
      <c r="B364" s="53" t="s">
        <v>49</v>
      </c>
      <c r="C364" s="40" t="s">
        <v>690</v>
      </c>
      <c r="D364" s="11" t="s">
        <v>277</v>
      </c>
      <c r="E364" s="11" t="s">
        <v>277</v>
      </c>
      <c r="F364" s="15" t="s">
        <v>694</v>
      </c>
      <c r="G364" s="23" t="s">
        <v>694</v>
      </c>
      <c r="H364" s="77" t="s">
        <v>694</v>
      </c>
    </row>
    <row r="365" spans="1:8" ht="24" customHeight="1" thickBot="1" x14ac:dyDescent="0.3">
      <c r="A365" s="66" t="s">
        <v>622</v>
      </c>
      <c r="B365" s="79" t="s">
        <v>623</v>
      </c>
      <c r="C365" s="46" t="s">
        <v>691</v>
      </c>
      <c r="D365" s="113">
        <v>762</v>
      </c>
      <c r="E365" s="114">
        <v>736</v>
      </c>
      <c r="F365" s="60">
        <f>E365-D365</f>
        <v>-26</v>
      </c>
      <c r="G365" s="60">
        <f>F365/D365*100</f>
        <v>-3.4120734908136483</v>
      </c>
      <c r="H365" s="73" t="s">
        <v>694</v>
      </c>
    </row>
    <row r="366" spans="1:8" x14ac:dyDescent="0.25">
      <c r="A366" s="135" t="s">
        <v>624</v>
      </c>
      <c r="B366" s="136"/>
      <c r="C366" s="136"/>
      <c r="D366" s="136"/>
      <c r="E366" s="136"/>
      <c r="F366" s="136"/>
      <c r="G366" s="136"/>
      <c r="H366" s="137"/>
    </row>
    <row r="367" spans="1:8" ht="16.5" thickBot="1" x14ac:dyDescent="0.3">
      <c r="A367" s="135"/>
      <c r="B367" s="136"/>
      <c r="C367" s="136"/>
      <c r="D367" s="136"/>
      <c r="E367" s="136"/>
      <c r="F367" s="136"/>
      <c r="G367" s="136"/>
      <c r="H367" s="137"/>
    </row>
    <row r="368" spans="1:8" s="3" customFormat="1" ht="67.7" customHeight="1" x14ac:dyDescent="0.25">
      <c r="A368" s="123" t="s">
        <v>32</v>
      </c>
      <c r="B368" s="125" t="s">
        <v>33</v>
      </c>
      <c r="C368" s="127" t="s">
        <v>105</v>
      </c>
      <c r="D368" s="129" t="s">
        <v>697</v>
      </c>
      <c r="E368" s="125"/>
      <c r="F368" s="125" t="s">
        <v>687</v>
      </c>
      <c r="G368" s="125"/>
      <c r="H368" s="118" t="s">
        <v>2</v>
      </c>
    </row>
    <row r="369" spans="1:8" s="3" customFormat="1" ht="15" x14ac:dyDescent="0.25">
      <c r="A369" s="124"/>
      <c r="B369" s="126"/>
      <c r="C369" s="128"/>
      <c r="D369" s="14" t="s">
        <v>685</v>
      </c>
      <c r="E369" s="13" t="s">
        <v>4</v>
      </c>
      <c r="F369" s="13" t="s">
        <v>686</v>
      </c>
      <c r="G369" s="13" t="s">
        <v>684</v>
      </c>
      <c r="H369" s="119"/>
    </row>
    <row r="370" spans="1:8" x14ac:dyDescent="0.25">
      <c r="A370" s="80">
        <v>1</v>
      </c>
      <c r="B370" s="81">
        <v>2</v>
      </c>
      <c r="C370" s="82">
        <v>3</v>
      </c>
      <c r="D370" s="83">
        <v>4</v>
      </c>
      <c r="E370" s="84">
        <v>5</v>
      </c>
      <c r="F370" s="84">
        <v>6</v>
      </c>
      <c r="G370" s="84">
        <v>7</v>
      </c>
      <c r="H370" s="85">
        <v>8</v>
      </c>
    </row>
    <row r="371" spans="1:8" x14ac:dyDescent="0.25">
      <c r="A371" s="120" t="s">
        <v>625</v>
      </c>
      <c r="B371" s="121"/>
      <c r="C371" s="40" t="s">
        <v>690</v>
      </c>
      <c r="D371" s="115">
        <f>D372</f>
        <v>336.10803169538923</v>
      </c>
      <c r="E371" s="11">
        <f>E372</f>
        <v>228.7387325141253</v>
      </c>
      <c r="F371" s="86">
        <f>E371-D371</f>
        <v>-107.36929918126393</v>
      </c>
      <c r="G371" s="87">
        <f>F371/D371*100</f>
        <v>-31.944877556086333</v>
      </c>
      <c r="H371" s="88" t="s">
        <v>694</v>
      </c>
    </row>
    <row r="372" spans="1:8" x14ac:dyDescent="0.25">
      <c r="A372" s="38" t="s">
        <v>34</v>
      </c>
      <c r="B372" s="89" t="s">
        <v>626</v>
      </c>
      <c r="C372" s="40" t="s">
        <v>690</v>
      </c>
      <c r="D372" s="115">
        <f>D373+D397+D425</f>
        <v>336.10803169538923</v>
      </c>
      <c r="E372" s="11">
        <f>E373+E397+E425</f>
        <v>228.7387325141253</v>
      </c>
      <c r="F372" s="86">
        <f>E372-D372</f>
        <v>-107.36929918126393</v>
      </c>
      <c r="G372" s="87">
        <f>F372/D372*100</f>
        <v>-31.944877556086333</v>
      </c>
      <c r="H372" s="88" t="s">
        <v>694</v>
      </c>
    </row>
    <row r="373" spans="1:8" x14ac:dyDescent="0.25">
      <c r="A373" s="38" t="s">
        <v>35</v>
      </c>
      <c r="B373" s="54" t="s">
        <v>36</v>
      </c>
      <c r="C373" s="40" t="s">
        <v>690</v>
      </c>
      <c r="D373" s="115">
        <f>D374+D382</f>
        <v>80.964887683856304</v>
      </c>
      <c r="E373" s="11">
        <f>E374+E382</f>
        <v>18.5173783206777</v>
      </c>
      <c r="F373" s="86">
        <f>E373-D373</f>
        <v>-62.447509363178604</v>
      </c>
      <c r="G373" s="87">
        <f>F373/D373*100</f>
        <v>-77.129124920196858</v>
      </c>
      <c r="H373" s="88" t="s">
        <v>694</v>
      </c>
    </row>
    <row r="374" spans="1:8" ht="36.75" customHeight="1" x14ac:dyDescent="0.25">
      <c r="A374" s="38" t="s">
        <v>37</v>
      </c>
      <c r="B374" s="53" t="s">
        <v>627</v>
      </c>
      <c r="C374" s="40" t="s">
        <v>690</v>
      </c>
      <c r="D374" s="115">
        <f>D380</f>
        <v>14.216246871031501</v>
      </c>
      <c r="E374" s="11">
        <f>E380</f>
        <v>0</v>
      </c>
      <c r="F374" s="86">
        <f>E374-D374</f>
        <v>-14.216246871031501</v>
      </c>
      <c r="G374" s="87">
        <f>F374/D374*100</f>
        <v>-100</v>
      </c>
      <c r="H374" s="88" t="s">
        <v>694</v>
      </c>
    </row>
    <row r="375" spans="1:8" x14ac:dyDescent="0.25">
      <c r="A375" s="38" t="s">
        <v>38</v>
      </c>
      <c r="B375" s="55" t="s">
        <v>628</v>
      </c>
      <c r="C375" s="40" t="s">
        <v>690</v>
      </c>
      <c r="D375" s="115" t="s">
        <v>277</v>
      </c>
      <c r="E375" s="11" t="s">
        <v>277</v>
      </c>
      <c r="F375" s="86" t="s">
        <v>694</v>
      </c>
      <c r="G375" s="87" t="s">
        <v>694</v>
      </c>
      <c r="H375" s="88" t="s">
        <v>694</v>
      </c>
    </row>
    <row r="376" spans="1:8" ht="25.5" x14ac:dyDescent="0.25">
      <c r="A376" s="38" t="s">
        <v>629</v>
      </c>
      <c r="B376" s="56" t="s">
        <v>109</v>
      </c>
      <c r="C376" s="40" t="s">
        <v>690</v>
      </c>
      <c r="D376" s="115" t="s">
        <v>277</v>
      </c>
      <c r="E376" s="11" t="s">
        <v>277</v>
      </c>
      <c r="F376" s="86" t="s">
        <v>694</v>
      </c>
      <c r="G376" s="87" t="s">
        <v>694</v>
      </c>
      <c r="H376" s="88" t="s">
        <v>694</v>
      </c>
    </row>
    <row r="377" spans="1:8" ht="25.5" x14ac:dyDescent="0.25">
      <c r="A377" s="38" t="s">
        <v>630</v>
      </c>
      <c r="B377" s="56" t="s">
        <v>110</v>
      </c>
      <c r="C377" s="40" t="s">
        <v>690</v>
      </c>
      <c r="D377" s="115" t="s">
        <v>277</v>
      </c>
      <c r="E377" s="11" t="s">
        <v>277</v>
      </c>
      <c r="F377" s="86" t="s">
        <v>694</v>
      </c>
      <c r="G377" s="87" t="s">
        <v>694</v>
      </c>
      <c r="H377" s="88" t="s">
        <v>694</v>
      </c>
    </row>
    <row r="378" spans="1:8" ht="25.5" x14ac:dyDescent="0.25">
      <c r="A378" s="38" t="s">
        <v>631</v>
      </c>
      <c r="B378" s="56" t="s">
        <v>111</v>
      </c>
      <c r="C378" s="40" t="s">
        <v>690</v>
      </c>
      <c r="D378" s="115" t="s">
        <v>277</v>
      </c>
      <c r="E378" s="11" t="s">
        <v>277</v>
      </c>
      <c r="F378" s="86" t="s">
        <v>694</v>
      </c>
      <c r="G378" s="87" t="s">
        <v>694</v>
      </c>
      <c r="H378" s="88" t="s">
        <v>694</v>
      </c>
    </row>
    <row r="379" spans="1:8" x14ac:dyDescent="0.25">
      <c r="A379" s="38" t="s">
        <v>40</v>
      </c>
      <c r="B379" s="55" t="s">
        <v>632</v>
      </c>
      <c r="C379" s="40" t="s">
        <v>690</v>
      </c>
      <c r="D379" s="115" t="s">
        <v>277</v>
      </c>
      <c r="E379" s="11" t="s">
        <v>277</v>
      </c>
      <c r="F379" s="86" t="s">
        <v>694</v>
      </c>
      <c r="G379" s="87" t="s">
        <v>694</v>
      </c>
      <c r="H379" s="88" t="s">
        <v>694</v>
      </c>
    </row>
    <row r="380" spans="1:8" x14ac:dyDescent="0.25">
      <c r="A380" s="38" t="s">
        <v>42</v>
      </c>
      <c r="B380" s="55" t="s">
        <v>633</v>
      </c>
      <c r="C380" s="40" t="s">
        <v>690</v>
      </c>
      <c r="D380" s="115">
        <f>14216.2468710315/1000</f>
        <v>14.216246871031501</v>
      </c>
      <c r="E380" s="15">
        <v>0</v>
      </c>
      <c r="F380" s="86">
        <f>E380-D380</f>
        <v>-14.216246871031501</v>
      </c>
      <c r="G380" s="87">
        <f>F380/D380*100</f>
        <v>-100</v>
      </c>
      <c r="H380" s="88" t="s">
        <v>694</v>
      </c>
    </row>
    <row r="381" spans="1:8" x14ac:dyDescent="0.25">
      <c r="A381" s="38" t="s">
        <v>44</v>
      </c>
      <c r="B381" s="55" t="s">
        <v>634</v>
      </c>
      <c r="C381" s="40" t="s">
        <v>690</v>
      </c>
      <c r="D381" s="115" t="s">
        <v>277</v>
      </c>
      <c r="E381" s="11" t="s">
        <v>277</v>
      </c>
      <c r="F381" s="15" t="s">
        <v>694</v>
      </c>
      <c r="G381" s="23" t="s">
        <v>694</v>
      </c>
      <c r="H381" s="88" t="s">
        <v>694</v>
      </c>
    </row>
    <row r="382" spans="1:8" x14ac:dyDescent="0.25">
      <c r="A382" s="38" t="s">
        <v>45</v>
      </c>
      <c r="B382" s="55" t="s">
        <v>635</v>
      </c>
      <c r="C382" s="40" t="s">
        <v>690</v>
      </c>
      <c r="D382" s="65">
        <f>D385</f>
        <v>66.748640812824803</v>
      </c>
      <c r="E382" s="65">
        <f>E385</f>
        <v>18.5173783206777</v>
      </c>
      <c r="F382" s="86">
        <f>E382-D382</f>
        <v>-48.231262492147103</v>
      </c>
      <c r="G382" s="87">
        <f>F382/D382*100</f>
        <v>-72.258044365871427</v>
      </c>
      <c r="H382" s="88" t="s">
        <v>694</v>
      </c>
    </row>
    <row r="383" spans="1:8" ht="25.5" x14ac:dyDescent="0.25">
      <c r="A383" s="38" t="s">
        <v>636</v>
      </c>
      <c r="B383" s="56" t="s">
        <v>637</v>
      </c>
      <c r="C383" s="40" t="s">
        <v>690</v>
      </c>
      <c r="D383" s="115" t="s">
        <v>277</v>
      </c>
      <c r="E383" s="11" t="s">
        <v>277</v>
      </c>
      <c r="F383" s="15" t="s">
        <v>694</v>
      </c>
      <c r="G383" s="23" t="s">
        <v>694</v>
      </c>
      <c r="H383" s="88" t="s">
        <v>694</v>
      </c>
    </row>
    <row r="384" spans="1:8" x14ac:dyDescent="0.25">
      <c r="A384" s="38" t="s">
        <v>638</v>
      </c>
      <c r="B384" s="56" t="s">
        <v>639</v>
      </c>
      <c r="C384" s="40" t="s">
        <v>690</v>
      </c>
      <c r="D384" s="115" t="s">
        <v>277</v>
      </c>
      <c r="E384" s="11" t="s">
        <v>277</v>
      </c>
      <c r="F384" s="86" t="s">
        <v>694</v>
      </c>
      <c r="G384" s="87" t="s">
        <v>694</v>
      </c>
      <c r="H384" s="88" t="s">
        <v>694</v>
      </c>
    </row>
    <row r="385" spans="1:8" x14ac:dyDescent="0.25">
      <c r="A385" s="38" t="s">
        <v>640</v>
      </c>
      <c r="B385" s="56" t="s">
        <v>52</v>
      </c>
      <c r="C385" s="40" t="s">
        <v>690</v>
      </c>
      <c r="D385" s="115">
        <f>66748.6408128248/1000</f>
        <v>66.748640812824803</v>
      </c>
      <c r="E385" s="11">
        <f>18517.3783206777/1000</f>
        <v>18.5173783206777</v>
      </c>
      <c r="F385" s="86">
        <f>E385-D385</f>
        <v>-48.231262492147103</v>
      </c>
      <c r="G385" s="87">
        <f>F385/D385*100</f>
        <v>-72.258044365871427</v>
      </c>
      <c r="H385" s="88" t="s">
        <v>694</v>
      </c>
    </row>
    <row r="386" spans="1:8" x14ac:dyDescent="0.25">
      <c r="A386" s="38" t="s">
        <v>641</v>
      </c>
      <c r="B386" s="56" t="s">
        <v>639</v>
      </c>
      <c r="C386" s="40" t="s">
        <v>690</v>
      </c>
      <c r="D386" s="115" t="s">
        <v>277</v>
      </c>
      <c r="E386" s="11" t="s">
        <v>277</v>
      </c>
      <c r="F386" s="86" t="s">
        <v>694</v>
      </c>
      <c r="G386" s="87" t="s">
        <v>694</v>
      </c>
      <c r="H386" s="88" t="s">
        <v>694</v>
      </c>
    </row>
    <row r="387" spans="1:8" x14ac:dyDescent="0.25">
      <c r="A387" s="38" t="s">
        <v>46</v>
      </c>
      <c r="B387" s="55" t="s">
        <v>642</v>
      </c>
      <c r="C387" s="40" t="s">
        <v>690</v>
      </c>
      <c r="D387" s="115" t="s">
        <v>277</v>
      </c>
      <c r="E387" s="11" t="s">
        <v>277</v>
      </c>
      <c r="F387" s="86" t="s">
        <v>694</v>
      </c>
      <c r="G387" s="87" t="s">
        <v>694</v>
      </c>
      <c r="H387" s="88" t="s">
        <v>694</v>
      </c>
    </row>
    <row r="388" spans="1:8" x14ac:dyDescent="0.25">
      <c r="A388" s="38" t="s">
        <v>47</v>
      </c>
      <c r="B388" s="55" t="s">
        <v>461</v>
      </c>
      <c r="C388" s="40" t="s">
        <v>690</v>
      </c>
      <c r="D388" s="115" t="s">
        <v>277</v>
      </c>
      <c r="E388" s="11" t="s">
        <v>277</v>
      </c>
      <c r="F388" s="86" t="s">
        <v>694</v>
      </c>
      <c r="G388" s="87" t="s">
        <v>694</v>
      </c>
      <c r="H388" s="88" t="s">
        <v>694</v>
      </c>
    </row>
    <row r="389" spans="1:8" ht="25.5" x14ac:dyDescent="0.25">
      <c r="A389" s="38" t="s">
        <v>643</v>
      </c>
      <c r="B389" s="55" t="s">
        <v>644</v>
      </c>
      <c r="C389" s="40" t="s">
        <v>690</v>
      </c>
      <c r="D389" s="115" t="s">
        <v>277</v>
      </c>
      <c r="E389" s="11" t="s">
        <v>277</v>
      </c>
      <c r="F389" s="86" t="s">
        <v>694</v>
      </c>
      <c r="G389" s="87" t="s">
        <v>694</v>
      </c>
      <c r="H389" s="88" t="s">
        <v>694</v>
      </c>
    </row>
    <row r="390" spans="1:8" x14ac:dyDescent="0.25">
      <c r="A390" s="38" t="s">
        <v>645</v>
      </c>
      <c r="B390" s="56" t="s">
        <v>48</v>
      </c>
      <c r="C390" s="40" t="s">
        <v>690</v>
      </c>
      <c r="D390" s="115" t="s">
        <v>277</v>
      </c>
      <c r="E390" s="11" t="s">
        <v>277</v>
      </c>
      <c r="F390" s="86" t="s">
        <v>694</v>
      </c>
      <c r="G390" s="87" t="s">
        <v>694</v>
      </c>
      <c r="H390" s="88" t="s">
        <v>694</v>
      </c>
    </row>
    <row r="391" spans="1:8" x14ac:dyDescent="0.25">
      <c r="A391" s="38" t="s">
        <v>646</v>
      </c>
      <c r="B391" s="90" t="s">
        <v>49</v>
      </c>
      <c r="C391" s="40" t="s">
        <v>690</v>
      </c>
      <c r="D391" s="115" t="s">
        <v>277</v>
      </c>
      <c r="E391" s="11" t="s">
        <v>277</v>
      </c>
      <c r="F391" s="86" t="s">
        <v>694</v>
      </c>
      <c r="G391" s="87" t="s">
        <v>694</v>
      </c>
      <c r="H391" s="88" t="s">
        <v>694</v>
      </c>
    </row>
    <row r="392" spans="1:8" ht="25.5" x14ac:dyDescent="0.25">
      <c r="A392" s="38" t="s">
        <v>50</v>
      </c>
      <c r="B392" s="53" t="s">
        <v>647</v>
      </c>
      <c r="C392" s="40" t="s">
        <v>690</v>
      </c>
      <c r="D392" s="115" t="s">
        <v>277</v>
      </c>
      <c r="E392" s="11" t="s">
        <v>277</v>
      </c>
      <c r="F392" s="86" t="s">
        <v>694</v>
      </c>
      <c r="G392" s="87" t="s">
        <v>694</v>
      </c>
      <c r="H392" s="88" t="s">
        <v>694</v>
      </c>
    </row>
    <row r="393" spans="1:8" ht="25.5" x14ac:dyDescent="0.25">
      <c r="A393" s="38" t="s">
        <v>648</v>
      </c>
      <c r="B393" s="55" t="s">
        <v>109</v>
      </c>
      <c r="C393" s="40" t="s">
        <v>690</v>
      </c>
      <c r="D393" s="115" t="s">
        <v>277</v>
      </c>
      <c r="E393" s="11" t="s">
        <v>277</v>
      </c>
      <c r="F393" s="86" t="s">
        <v>694</v>
      </c>
      <c r="G393" s="87" t="s">
        <v>694</v>
      </c>
      <c r="H393" s="88" t="s">
        <v>694</v>
      </c>
    </row>
    <row r="394" spans="1:8" ht="25.5" x14ac:dyDescent="0.25">
      <c r="A394" s="38" t="s">
        <v>649</v>
      </c>
      <c r="B394" s="55" t="s">
        <v>110</v>
      </c>
      <c r="C394" s="40" t="s">
        <v>690</v>
      </c>
      <c r="D394" s="115" t="s">
        <v>277</v>
      </c>
      <c r="E394" s="11" t="s">
        <v>277</v>
      </c>
      <c r="F394" s="86" t="s">
        <v>694</v>
      </c>
      <c r="G394" s="87" t="s">
        <v>694</v>
      </c>
      <c r="H394" s="88" t="s">
        <v>694</v>
      </c>
    </row>
    <row r="395" spans="1:8" ht="25.5" x14ac:dyDescent="0.25">
      <c r="A395" s="38" t="s">
        <v>650</v>
      </c>
      <c r="B395" s="55" t="s">
        <v>111</v>
      </c>
      <c r="C395" s="40" t="s">
        <v>690</v>
      </c>
      <c r="D395" s="115" t="s">
        <v>277</v>
      </c>
      <c r="E395" s="11" t="s">
        <v>277</v>
      </c>
      <c r="F395" s="86" t="s">
        <v>694</v>
      </c>
      <c r="G395" s="87" t="s">
        <v>694</v>
      </c>
      <c r="H395" s="88" t="s">
        <v>694</v>
      </c>
    </row>
    <row r="396" spans="1:8" x14ac:dyDescent="0.25">
      <c r="A396" s="38" t="s">
        <v>51</v>
      </c>
      <c r="B396" s="53" t="s">
        <v>651</v>
      </c>
      <c r="C396" s="40" t="s">
        <v>690</v>
      </c>
      <c r="D396" s="115" t="s">
        <v>277</v>
      </c>
      <c r="E396" s="11" t="s">
        <v>277</v>
      </c>
      <c r="F396" s="86" t="s">
        <v>694</v>
      </c>
      <c r="G396" s="87" t="s">
        <v>694</v>
      </c>
      <c r="H396" s="88" t="s">
        <v>694</v>
      </c>
    </row>
    <row r="397" spans="1:8" x14ac:dyDescent="0.25">
      <c r="A397" s="38" t="s">
        <v>53</v>
      </c>
      <c r="B397" s="54" t="s">
        <v>652</v>
      </c>
      <c r="C397" s="40" t="s">
        <v>690</v>
      </c>
      <c r="D397" s="65">
        <f>D404</f>
        <v>199.12513872896801</v>
      </c>
      <c r="E397" s="65">
        <f>E404</f>
        <v>172.09823210776</v>
      </c>
      <c r="F397" s="86">
        <f>E397-D397</f>
        <v>-27.026906621208013</v>
      </c>
      <c r="G397" s="87">
        <f>F397/D397*100</f>
        <v>-13.572825005282086</v>
      </c>
      <c r="H397" s="88" t="s">
        <v>694</v>
      </c>
    </row>
    <row r="398" spans="1:8" x14ac:dyDescent="0.25">
      <c r="A398" s="38" t="s">
        <v>54</v>
      </c>
      <c r="B398" s="53" t="s">
        <v>653</v>
      </c>
      <c r="C398" s="40" t="s">
        <v>690</v>
      </c>
      <c r="D398" s="115">
        <f>D404</f>
        <v>199.12513872896801</v>
      </c>
      <c r="E398" s="115">
        <f>E404</f>
        <v>172.09823210776</v>
      </c>
      <c r="F398" s="15">
        <f t="shared" ref="F398:G398" si="12">F404</f>
        <v>-27.026906621208013</v>
      </c>
      <c r="G398" s="15">
        <f t="shared" si="12"/>
        <v>-13.572825005282086</v>
      </c>
      <c r="H398" s="88" t="s">
        <v>694</v>
      </c>
    </row>
    <row r="399" spans="1:8" x14ac:dyDescent="0.25">
      <c r="A399" s="38" t="s">
        <v>55</v>
      </c>
      <c r="B399" s="55" t="s">
        <v>39</v>
      </c>
      <c r="C399" s="40" t="s">
        <v>690</v>
      </c>
      <c r="D399" s="115" t="s">
        <v>277</v>
      </c>
      <c r="E399" s="11" t="s">
        <v>277</v>
      </c>
      <c r="F399" s="86" t="s">
        <v>694</v>
      </c>
      <c r="G399" s="87" t="s">
        <v>694</v>
      </c>
      <c r="H399" s="88" t="s">
        <v>694</v>
      </c>
    </row>
    <row r="400" spans="1:8" ht="25.5" x14ac:dyDescent="0.25">
      <c r="A400" s="38" t="s">
        <v>654</v>
      </c>
      <c r="B400" s="55" t="s">
        <v>109</v>
      </c>
      <c r="C400" s="40" t="s">
        <v>690</v>
      </c>
      <c r="D400" s="115" t="s">
        <v>277</v>
      </c>
      <c r="E400" s="11" t="s">
        <v>277</v>
      </c>
      <c r="F400" s="86" t="s">
        <v>694</v>
      </c>
      <c r="G400" s="87" t="s">
        <v>694</v>
      </c>
      <c r="H400" s="88" t="s">
        <v>694</v>
      </c>
    </row>
    <row r="401" spans="1:8" ht="25.5" x14ac:dyDescent="0.25">
      <c r="A401" s="38" t="s">
        <v>655</v>
      </c>
      <c r="B401" s="55" t="s">
        <v>110</v>
      </c>
      <c r="C401" s="40" t="s">
        <v>690</v>
      </c>
      <c r="D401" s="115" t="s">
        <v>277</v>
      </c>
      <c r="E401" s="11" t="s">
        <v>277</v>
      </c>
      <c r="F401" s="86" t="s">
        <v>694</v>
      </c>
      <c r="G401" s="87" t="s">
        <v>694</v>
      </c>
      <c r="H401" s="88" t="s">
        <v>694</v>
      </c>
    </row>
    <row r="402" spans="1:8" ht="25.5" x14ac:dyDescent="0.25">
      <c r="A402" s="38" t="s">
        <v>656</v>
      </c>
      <c r="B402" s="55" t="s">
        <v>111</v>
      </c>
      <c r="C402" s="40" t="s">
        <v>690</v>
      </c>
      <c r="D402" s="115" t="s">
        <v>277</v>
      </c>
      <c r="E402" s="11" t="s">
        <v>277</v>
      </c>
      <c r="F402" s="86" t="s">
        <v>694</v>
      </c>
      <c r="G402" s="87" t="s">
        <v>694</v>
      </c>
      <c r="H402" s="88" t="s">
        <v>694</v>
      </c>
    </row>
    <row r="403" spans="1:8" x14ac:dyDescent="0.25">
      <c r="A403" s="38" t="s">
        <v>56</v>
      </c>
      <c r="B403" s="55" t="s">
        <v>449</v>
      </c>
      <c r="C403" s="40" t="s">
        <v>690</v>
      </c>
      <c r="D403" s="115" t="s">
        <v>277</v>
      </c>
      <c r="E403" s="11" t="s">
        <v>277</v>
      </c>
      <c r="F403" s="86" t="s">
        <v>694</v>
      </c>
      <c r="G403" s="87" t="s">
        <v>694</v>
      </c>
      <c r="H403" s="88" t="s">
        <v>694</v>
      </c>
    </row>
    <row r="404" spans="1:8" x14ac:dyDescent="0.25">
      <c r="A404" s="38" t="s">
        <v>57</v>
      </c>
      <c r="B404" s="55" t="s">
        <v>41</v>
      </c>
      <c r="C404" s="40" t="s">
        <v>690</v>
      </c>
      <c r="D404" s="115">
        <f>199125.138728968/1000</f>
        <v>199.12513872896801</v>
      </c>
      <c r="E404" s="15">
        <v>172.09823210776</v>
      </c>
      <c r="F404" s="86">
        <f>E404-D404</f>
        <v>-27.026906621208013</v>
      </c>
      <c r="G404" s="87">
        <f>F404/D404*100</f>
        <v>-13.572825005282086</v>
      </c>
      <c r="H404" s="88" t="s">
        <v>694</v>
      </c>
    </row>
    <row r="405" spans="1:8" x14ac:dyDescent="0.25">
      <c r="A405" s="38" t="s">
        <v>58</v>
      </c>
      <c r="B405" s="55" t="s">
        <v>454</v>
      </c>
      <c r="C405" s="40" t="s">
        <v>690</v>
      </c>
      <c r="D405" s="115" t="s">
        <v>277</v>
      </c>
      <c r="E405" s="11" t="s">
        <v>277</v>
      </c>
      <c r="F405" s="86" t="s">
        <v>694</v>
      </c>
      <c r="G405" s="87" t="s">
        <v>694</v>
      </c>
      <c r="H405" s="88" t="s">
        <v>694</v>
      </c>
    </row>
    <row r="406" spans="1:8" x14ac:dyDescent="0.25">
      <c r="A406" s="38" t="s">
        <v>59</v>
      </c>
      <c r="B406" s="55" t="s">
        <v>43</v>
      </c>
      <c r="C406" s="40" t="s">
        <v>690</v>
      </c>
      <c r="D406" s="115" t="s">
        <v>277</v>
      </c>
      <c r="E406" s="11" t="s">
        <v>277</v>
      </c>
      <c r="F406" s="86" t="s">
        <v>694</v>
      </c>
      <c r="G406" s="87" t="s">
        <v>694</v>
      </c>
      <c r="H406" s="88" t="s">
        <v>694</v>
      </c>
    </row>
    <row r="407" spans="1:8" x14ac:dyDescent="0.25">
      <c r="A407" s="38" t="s">
        <v>60</v>
      </c>
      <c r="B407" s="55" t="s">
        <v>461</v>
      </c>
      <c r="C407" s="40" t="s">
        <v>690</v>
      </c>
      <c r="D407" s="115" t="s">
        <v>277</v>
      </c>
      <c r="E407" s="11" t="s">
        <v>277</v>
      </c>
      <c r="F407" s="86" t="s">
        <v>694</v>
      </c>
      <c r="G407" s="87" t="s">
        <v>694</v>
      </c>
      <c r="H407" s="88" t="s">
        <v>694</v>
      </c>
    </row>
    <row r="408" spans="1:8" ht="25.5" x14ac:dyDescent="0.25">
      <c r="A408" s="38" t="s">
        <v>61</v>
      </c>
      <c r="B408" s="55" t="s">
        <v>464</v>
      </c>
      <c r="C408" s="40" t="s">
        <v>690</v>
      </c>
      <c r="D408" s="115" t="s">
        <v>277</v>
      </c>
      <c r="E408" s="11" t="s">
        <v>277</v>
      </c>
      <c r="F408" s="86" t="s">
        <v>694</v>
      </c>
      <c r="G408" s="87" t="s">
        <v>694</v>
      </c>
      <c r="H408" s="88" t="s">
        <v>694</v>
      </c>
    </row>
    <row r="409" spans="1:8" x14ac:dyDescent="0.25">
      <c r="A409" s="38" t="s">
        <v>62</v>
      </c>
      <c r="B409" s="56" t="s">
        <v>48</v>
      </c>
      <c r="C409" s="40" t="s">
        <v>690</v>
      </c>
      <c r="D409" s="115" t="s">
        <v>277</v>
      </c>
      <c r="E409" s="11" t="s">
        <v>277</v>
      </c>
      <c r="F409" s="86" t="s">
        <v>694</v>
      </c>
      <c r="G409" s="87" t="s">
        <v>694</v>
      </c>
      <c r="H409" s="88" t="s">
        <v>694</v>
      </c>
    </row>
    <row r="410" spans="1:8" x14ac:dyDescent="0.25">
      <c r="A410" s="38" t="s">
        <v>63</v>
      </c>
      <c r="B410" s="90" t="s">
        <v>49</v>
      </c>
      <c r="C410" s="40" t="s">
        <v>690</v>
      </c>
      <c r="D410" s="115" t="s">
        <v>277</v>
      </c>
      <c r="E410" s="11" t="s">
        <v>277</v>
      </c>
      <c r="F410" s="86" t="s">
        <v>694</v>
      </c>
      <c r="G410" s="87" t="s">
        <v>694</v>
      </c>
      <c r="H410" s="88" t="s">
        <v>694</v>
      </c>
    </row>
    <row r="411" spans="1:8" x14ac:dyDescent="0.25">
      <c r="A411" s="38" t="s">
        <v>64</v>
      </c>
      <c r="B411" s="53" t="s">
        <v>657</v>
      </c>
      <c r="C411" s="40" t="s">
        <v>690</v>
      </c>
      <c r="D411" s="115" t="s">
        <v>277</v>
      </c>
      <c r="E411" s="11" t="s">
        <v>277</v>
      </c>
      <c r="F411" s="86" t="s">
        <v>694</v>
      </c>
      <c r="G411" s="87" t="s">
        <v>694</v>
      </c>
      <c r="H411" s="88" t="s">
        <v>694</v>
      </c>
    </row>
    <row r="412" spans="1:8" x14ac:dyDescent="0.25">
      <c r="A412" s="38" t="s">
        <v>65</v>
      </c>
      <c r="B412" s="53" t="s">
        <v>66</v>
      </c>
      <c r="C412" s="40" t="s">
        <v>690</v>
      </c>
      <c r="D412" s="115" t="s">
        <v>277</v>
      </c>
      <c r="E412" s="11" t="s">
        <v>277</v>
      </c>
      <c r="F412" s="86" t="s">
        <v>694</v>
      </c>
      <c r="G412" s="87" t="s">
        <v>694</v>
      </c>
      <c r="H412" s="88" t="s">
        <v>694</v>
      </c>
    </row>
    <row r="413" spans="1:8" x14ac:dyDescent="0.25">
      <c r="A413" s="38" t="s">
        <v>67</v>
      </c>
      <c r="B413" s="55" t="s">
        <v>39</v>
      </c>
      <c r="C413" s="40" t="s">
        <v>690</v>
      </c>
      <c r="D413" s="115" t="s">
        <v>277</v>
      </c>
      <c r="E413" s="11" t="s">
        <v>277</v>
      </c>
      <c r="F413" s="86" t="s">
        <v>694</v>
      </c>
      <c r="G413" s="87" t="s">
        <v>694</v>
      </c>
      <c r="H413" s="88" t="s">
        <v>694</v>
      </c>
    </row>
    <row r="414" spans="1:8" ht="25.5" x14ac:dyDescent="0.25">
      <c r="A414" s="38" t="s">
        <v>658</v>
      </c>
      <c r="B414" s="55" t="s">
        <v>109</v>
      </c>
      <c r="C414" s="40" t="s">
        <v>690</v>
      </c>
      <c r="D414" s="115" t="s">
        <v>277</v>
      </c>
      <c r="E414" s="11" t="s">
        <v>277</v>
      </c>
      <c r="F414" s="86" t="s">
        <v>694</v>
      </c>
      <c r="G414" s="87" t="s">
        <v>694</v>
      </c>
      <c r="H414" s="88" t="s">
        <v>694</v>
      </c>
    </row>
    <row r="415" spans="1:8" ht="25.5" x14ac:dyDescent="0.25">
      <c r="A415" s="38" t="s">
        <v>659</v>
      </c>
      <c r="B415" s="55" t="s">
        <v>110</v>
      </c>
      <c r="C415" s="40" t="s">
        <v>690</v>
      </c>
      <c r="D415" s="115" t="s">
        <v>277</v>
      </c>
      <c r="E415" s="11" t="s">
        <v>277</v>
      </c>
      <c r="F415" s="86" t="s">
        <v>694</v>
      </c>
      <c r="G415" s="87" t="s">
        <v>694</v>
      </c>
      <c r="H415" s="88" t="s">
        <v>694</v>
      </c>
    </row>
    <row r="416" spans="1:8" ht="25.5" x14ac:dyDescent="0.25">
      <c r="A416" s="38" t="s">
        <v>660</v>
      </c>
      <c r="B416" s="55" t="s">
        <v>111</v>
      </c>
      <c r="C416" s="40" t="s">
        <v>690</v>
      </c>
      <c r="D416" s="115" t="s">
        <v>277</v>
      </c>
      <c r="E416" s="11" t="s">
        <v>277</v>
      </c>
      <c r="F416" s="86" t="s">
        <v>694</v>
      </c>
      <c r="G416" s="87" t="s">
        <v>694</v>
      </c>
      <c r="H416" s="88" t="s">
        <v>694</v>
      </c>
    </row>
    <row r="417" spans="1:8" x14ac:dyDescent="0.25">
      <c r="A417" s="38" t="s">
        <v>68</v>
      </c>
      <c r="B417" s="55" t="s">
        <v>449</v>
      </c>
      <c r="C417" s="40" t="s">
        <v>690</v>
      </c>
      <c r="D417" s="115" t="s">
        <v>277</v>
      </c>
      <c r="E417" s="11" t="s">
        <v>277</v>
      </c>
      <c r="F417" s="86" t="s">
        <v>694</v>
      </c>
      <c r="G417" s="87" t="s">
        <v>694</v>
      </c>
      <c r="H417" s="88" t="s">
        <v>694</v>
      </c>
    </row>
    <row r="418" spans="1:8" x14ac:dyDescent="0.25">
      <c r="A418" s="38" t="s">
        <v>69</v>
      </c>
      <c r="B418" s="55" t="s">
        <v>41</v>
      </c>
      <c r="C418" s="40" t="s">
        <v>690</v>
      </c>
      <c r="D418" s="115" t="s">
        <v>277</v>
      </c>
      <c r="E418" s="11" t="s">
        <v>277</v>
      </c>
      <c r="F418" s="86" t="s">
        <v>694</v>
      </c>
      <c r="G418" s="87" t="s">
        <v>694</v>
      </c>
      <c r="H418" s="88" t="s">
        <v>694</v>
      </c>
    </row>
    <row r="419" spans="1:8" x14ac:dyDescent="0.25">
      <c r="A419" s="38" t="s">
        <v>70</v>
      </c>
      <c r="B419" s="55" t="s">
        <v>454</v>
      </c>
      <c r="C419" s="40" t="s">
        <v>690</v>
      </c>
      <c r="D419" s="115" t="s">
        <v>277</v>
      </c>
      <c r="E419" s="11" t="s">
        <v>277</v>
      </c>
      <c r="F419" s="86" t="s">
        <v>694</v>
      </c>
      <c r="G419" s="87" t="s">
        <v>694</v>
      </c>
      <c r="H419" s="88" t="s">
        <v>694</v>
      </c>
    </row>
    <row r="420" spans="1:8" x14ac:dyDescent="0.25">
      <c r="A420" s="38" t="s">
        <v>71</v>
      </c>
      <c r="B420" s="55" t="s">
        <v>43</v>
      </c>
      <c r="C420" s="40" t="s">
        <v>690</v>
      </c>
      <c r="D420" s="115" t="s">
        <v>277</v>
      </c>
      <c r="E420" s="11" t="s">
        <v>277</v>
      </c>
      <c r="F420" s="86" t="s">
        <v>694</v>
      </c>
      <c r="G420" s="87" t="s">
        <v>694</v>
      </c>
      <c r="H420" s="88" t="s">
        <v>694</v>
      </c>
    </row>
    <row r="421" spans="1:8" x14ac:dyDescent="0.25">
      <c r="A421" s="38" t="s">
        <v>72</v>
      </c>
      <c r="B421" s="55" t="s">
        <v>461</v>
      </c>
      <c r="C421" s="40" t="s">
        <v>690</v>
      </c>
      <c r="D421" s="115" t="s">
        <v>277</v>
      </c>
      <c r="E421" s="11" t="s">
        <v>277</v>
      </c>
      <c r="F421" s="86" t="s">
        <v>694</v>
      </c>
      <c r="G421" s="87" t="s">
        <v>694</v>
      </c>
      <c r="H421" s="88" t="s">
        <v>694</v>
      </c>
    </row>
    <row r="422" spans="1:8" ht="25.5" x14ac:dyDescent="0.25">
      <c r="A422" s="38" t="s">
        <v>73</v>
      </c>
      <c r="B422" s="55" t="s">
        <v>464</v>
      </c>
      <c r="C422" s="40" t="s">
        <v>690</v>
      </c>
      <c r="D422" s="115" t="s">
        <v>277</v>
      </c>
      <c r="E422" s="11" t="s">
        <v>277</v>
      </c>
      <c r="F422" s="86" t="s">
        <v>694</v>
      </c>
      <c r="G422" s="87" t="s">
        <v>694</v>
      </c>
      <c r="H422" s="88" t="s">
        <v>694</v>
      </c>
    </row>
    <row r="423" spans="1:8" x14ac:dyDescent="0.25">
      <c r="A423" s="38" t="s">
        <v>74</v>
      </c>
      <c r="B423" s="90" t="s">
        <v>48</v>
      </c>
      <c r="C423" s="40" t="s">
        <v>690</v>
      </c>
      <c r="D423" s="115" t="s">
        <v>277</v>
      </c>
      <c r="E423" s="11" t="s">
        <v>277</v>
      </c>
      <c r="F423" s="86" t="s">
        <v>694</v>
      </c>
      <c r="G423" s="87" t="s">
        <v>694</v>
      </c>
      <c r="H423" s="88" t="s">
        <v>694</v>
      </c>
    </row>
    <row r="424" spans="1:8" x14ac:dyDescent="0.25">
      <c r="A424" s="38" t="s">
        <v>75</v>
      </c>
      <c r="B424" s="90" t="s">
        <v>49</v>
      </c>
      <c r="C424" s="40" t="s">
        <v>690</v>
      </c>
      <c r="D424" s="115" t="s">
        <v>277</v>
      </c>
      <c r="E424" s="11" t="s">
        <v>277</v>
      </c>
      <c r="F424" s="86" t="s">
        <v>694</v>
      </c>
      <c r="G424" s="87" t="s">
        <v>694</v>
      </c>
      <c r="H424" s="88" t="s">
        <v>694</v>
      </c>
    </row>
    <row r="425" spans="1:8" x14ac:dyDescent="0.25">
      <c r="A425" s="38" t="s">
        <v>76</v>
      </c>
      <c r="B425" s="54" t="s">
        <v>661</v>
      </c>
      <c r="C425" s="40" t="s">
        <v>690</v>
      </c>
      <c r="D425" s="115">
        <f>56018.0052825649/1000</f>
        <v>56.018005282564907</v>
      </c>
      <c r="E425" s="15">
        <v>38.123122085687605</v>
      </c>
      <c r="F425" s="86">
        <f>E425-D425</f>
        <v>-17.894883196877302</v>
      </c>
      <c r="G425" s="87">
        <f>F425/D425*100</f>
        <v>-31.944877556086276</v>
      </c>
      <c r="H425" s="88" t="s">
        <v>694</v>
      </c>
    </row>
    <row r="426" spans="1:8" x14ac:dyDescent="0.25">
      <c r="A426" s="38" t="s">
        <v>77</v>
      </c>
      <c r="B426" s="54" t="s">
        <v>662</v>
      </c>
      <c r="C426" s="40" t="s">
        <v>690</v>
      </c>
      <c r="D426" s="115" t="s">
        <v>277</v>
      </c>
      <c r="E426" s="11" t="s">
        <v>277</v>
      </c>
      <c r="F426" s="86" t="s">
        <v>694</v>
      </c>
      <c r="G426" s="87" t="s">
        <v>694</v>
      </c>
      <c r="H426" s="88" t="s">
        <v>694</v>
      </c>
    </row>
    <row r="427" spans="1:8" x14ac:dyDescent="0.25">
      <c r="A427" s="38" t="s">
        <v>78</v>
      </c>
      <c r="B427" s="53" t="s">
        <v>663</v>
      </c>
      <c r="C427" s="40" t="s">
        <v>690</v>
      </c>
      <c r="D427" s="115" t="s">
        <v>277</v>
      </c>
      <c r="E427" s="11" t="s">
        <v>277</v>
      </c>
      <c r="F427" s="86" t="s">
        <v>694</v>
      </c>
      <c r="G427" s="87" t="s">
        <v>694</v>
      </c>
      <c r="H427" s="88" t="s">
        <v>694</v>
      </c>
    </row>
    <row r="428" spans="1:8" x14ac:dyDescent="0.25">
      <c r="A428" s="38" t="s">
        <v>79</v>
      </c>
      <c r="B428" s="53" t="s">
        <v>80</v>
      </c>
      <c r="C428" s="40" t="s">
        <v>690</v>
      </c>
      <c r="D428" s="115" t="s">
        <v>277</v>
      </c>
      <c r="E428" s="11" t="s">
        <v>277</v>
      </c>
      <c r="F428" s="86" t="s">
        <v>694</v>
      </c>
      <c r="G428" s="87" t="s">
        <v>694</v>
      </c>
      <c r="H428" s="88" t="s">
        <v>694</v>
      </c>
    </row>
    <row r="429" spans="1:8" x14ac:dyDescent="0.25">
      <c r="A429" s="38" t="s">
        <v>81</v>
      </c>
      <c r="B429" s="89" t="s">
        <v>82</v>
      </c>
      <c r="C429" s="40" t="s">
        <v>690</v>
      </c>
      <c r="D429" s="115" t="s">
        <v>277</v>
      </c>
      <c r="E429" s="11" t="s">
        <v>277</v>
      </c>
      <c r="F429" s="86" t="s">
        <v>694</v>
      </c>
      <c r="G429" s="87" t="s">
        <v>694</v>
      </c>
      <c r="H429" s="88" t="s">
        <v>694</v>
      </c>
    </row>
    <row r="430" spans="1:8" x14ac:dyDescent="0.25">
      <c r="A430" s="38" t="s">
        <v>83</v>
      </c>
      <c r="B430" s="54" t="s">
        <v>84</v>
      </c>
      <c r="C430" s="40" t="s">
        <v>690</v>
      </c>
      <c r="D430" s="115" t="s">
        <v>277</v>
      </c>
      <c r="E430" s="11" t="s">
        <v>277</v>
      </c>
      <c r="F430" s="86" t="s">
        <v>694</v>
      </c>
      <c r="G430" s="87" t="s">
        <v>694</v>
      </c>
      <c r="H430" s="88" t="s">
        <v>694</v>
      </c>
    </row>
    <row r="431" spans="1:8" x14ac:dyDescent="0.25">
      <c r="A431" s="38" t="s">
        <v>85</v>
      </c>
      <c r="B431" s="54" t="s">
        <v>86</v>
      </c>
      <c r="C431" s="40" t="s">
        <v>690</v>
      </c>
      <c r="D431" s="115" t="s">
        <v>277</v>
      </c>
      <c r="E431" s="11" t="s">
        <v>277</v>
      </c>
      <c r="F431" s="86" t="s">
        <v>694</v>
      </c>
      <c r="G431" s="87" t="s">
        <v>694</v>
      </c>
      <c r="H431" s="88" t="s">
        <v>694</v>
      </c>
    </row>
    <row r="432" spans="1:8" x14ac:dyDescent="0.25">
      <c r="A432" s="38" t="s">
        <v>87</v>
      </c>
      <c r="B432" s="54" t="s">
        <v>664</v>
      </c>
      <c r="C432" s="40" t="s">
        <v>690</v>
      </c>
      <c r="D432" s="115" t="s">
        <v>277</v>
      </c>
      <c r="E432" s="11" t="s">
        <v>277</v>
      </c>
      <c r="F432" s="86" t="s">
        <v>694</v>
      </c>
      <c r="G432" s="87" t="s">
        <v>694</v>
      </c>
      <c r="H432" s="88" t="s">
        <v>694</v>
      </c>
    </row>
    <row r="433" spans="1:8" x14ac:dyDescent="0.25">
      <c r="A433" s="38" t="s">
        <v>88</v>
      </c>
      <c r="B433" s="54" t="s">
        <v>89</v>
      </c>
      <c r="C433" s="40" t="s">
        <v>690</v>
      </c>
      <c r="D433" s="115" t="s">
        <v>277</v>
      </c>
      <c r="E433" s="11" t="s">
        <v>277</v>
      </c>
      <c r="F433" s="86" t="s">
        <v>694</v>
      </c>
      <c r="G433" s="87" t="s">
        <v>694</v>
      </c>
      <c r="H433" s="88" t="s">
        <v>694</v>
      </c>
    </row>
    <row r="434" spans="1:8" x14ac:dyDescent="0.25">
      <c r="A434" s="38" t="s">
        <v>90</v>
      </c>
      <c r="B434" s="54" t="s">
        <v>91</v>
      </c>
      <c r="C434" s="40" t="s">
        <v>690</v>
      </c>
      <c r="D434" s="115" t="s">
        <v>277</v>
      </c>
      <c r="E434" s="11" t="s">
        <v>277</v>
      </c>
      <c r="F434" s="86" t="s">
        <v>694</v>
      </c>
      <c r="G434" s="87" t="s">
        <v>694</v>
      </c>
      <c r="H434" s="88" t="s">
        <v>694</v>
      </c>
    </row>
    <row r="435" spans="1:8" x14ac:dyDescent="0.25">
      <c r="A435" s="38" t="s">
        <v>92</v>
      </c>
      <c r="B435" s="53" t="s">
        <v>93</v>
      </c>
      <c r="C435" s="40" t="s">
        <v>690</v>
      </c>
      <c r="D435" s="115" t="s">
        <v>277</v>
      </c>
      <c r="E435" s="11" t="s">
        <v>277</v>
      </c>
      <c r="F435" s="86" t="s">
        <v>694</v>
      </c>
      <c r="G435" s="87" t="s">
        <v>694</v>
      </c>
      <c r="H435" s="88" t="s">
        <v>694</v>
      </c>
    </row>
    <row r="436" spans="1:8" x14ac:dyDescent="0.25">
      <c r="A436" s="38" t="s">
        <v>94</v>
      </c>
      <c r="B436" s="55" t="s">
        <v>95</v>
      </c>
      <c r="C436" s="40" t="s">
        <v>690</v>
      </c>
      <c r="D436" s="115" t="s">
        <v>277</v>
      </c>
      <c r="E436" s="11" t="s">
        <v>277</v>
      </c>
      <c r="F436" s="86" t="s">
        <v>694</v>
      </c>
      <c r="G436" s="87" t="s">
        <v>694</v>
      </c>
      <c r="H436" s="88" t="s">
        <v>694</v>
      </c>
    </row>
    <row r="437" spans="1:8" x14ac:dyDescent="0.25">
      <c r="A437" s="38" t="s">
        <v>96</v>
      </c>
      <c r="B437" s="53" t="s">
        <v>97</v>
      </c>
      <c r="C437" s="40" t="s">
        <v>690</v>
      </c>
      <c r="D437" s="115" t="s">
        <v>277</v>
      </c>
      <c r="E437" s="11" t="s">
        <v>277</v>
      </c>
      <c r="F437" s="86" t="s">
        <v>694</v>
      </c>
      <c r="G437" s="87" t="s">
        <v>694</v>
      </c>
      <c r="H437" s="88" t="s">
        <v>694</v>
      </c>
    </row>
    <row r="438" spans="1:8" ht="25.5" x14ac:dyDescent="0.25">
      <c r="A438" s="38" t="s">
        <v>98</v>
      </c>
      <c r="B438" s="55" t="s">
        <v>99</v>
      </c>
      <c r="C438" s="40" t="s">
        <v>690</v>
      </c>
      <c r="D438" s="115" t="s">
        <v>277</v>
      </c>
      <c r="E438" s="11" t="s">
        <v>277</v>
      </c>
      <c r="F438" s="86" t="s">
        <v>694</v>
      </c>
      <c r="G438" s="87" t="s">
        <v>694</v>
      </c>
      <c r="H438" s="88" t="s">
        <v>694</v>
      </c>
    </row>
    <row r="439" spans="1:8" x14ac:dyDescent="0.25">
      <c r="A439" s="38" t="s">
        <v>100</v>
      </c>
      <c r="B439" s="54" t="s">
        <v>101</v>
      </c>
      <c r="C439" s="40" t="s">
        <v>690</v>
      </c>
      <c r="D439" s="115" t="s">
        <v>277</v>
      </c>
      <c r="E439" s="11" t="s">
        <v>277</v>
      </c>
      <c r="F439" s="86" t="s">
        <v>694</v>
      </c>
      <c r="G439" s="87" t="s">
        <v>694</v>
      </c>
      <c r="H439" s="88" t="s">
        <v>694</v>
      </c>
    </row>
    <row r="440" spans="1:8" x14ac:dyDescent="0.25">
      <c r="A440" s="38" t="s">
        <v>102</v>
      </c>
      <c r="B440" s="54" t="s">
        <v>103</v>
      </c>
      <c r="C440" s="40" t="s">
        <v>690</v>
      </c>
      <c r="D440" s="115" t="s">
        <v>277</v>
      </c>
      <c r="E440" s="11" t="s">
        <v>277</v>
      </c>
      <c r="F440" s="86" t="s">
        <v>694</v>
      </c>
      <c r="G440" s="87" t="s">
        <v>694</v>
      </c>
      <c r="H440" s="88" t="s">
        <v>694</v>
      </c>
    </row>
    <row r="441" spans="1:8" x14ac:dyDescent="0.25">
      <c r="A441" s="38" t="s">
        <v>186</v>
      </c>
      <c r="B441" s="68" t="s">
        <v>179</v>
      </c>
      <c r="C441" s="91" t="s">
        <v>277</v>
      </c>
      <c r="D441" s="115" t="s">
        <v>277</v>
      </c>
      <c r="E441" s="11" t="s">
        <v>277</v>
      </c>
      <c r="F441" s="86" t="s">
        <v>694</v>
      </c>
      <c r="G441" s="87" t="s">
        <v>694</v>
      </c>
      <c r="H441" s="88" t="s">
        <v>694</v>
      </c>
    </row>
    <row r="442" spans="1:8" ht="25.5" x14ac:dyDescent="0.25">
      <c r="A442" s="92" t="s">
        <v>665</v>
      </c>
      <c r="B442" s="54" t="s">
        <v>666</v>
      </c>
      <c r="C442" s="40" t="s">
        <v>690</v>
      </c>
      <c r="D442" s="115" t="s">
        <v>277</v>
      </c>
      <c r="E442" s="11" t="s">
        <v>277</v>
      </c>
      <c r="F442" s="86" t="s">
        <v>694</v>
      </c>
      <c r="G442" s="87" t="s">
        <v>694</v>
      </c>
      <c r="H442" s="88" t="s">
        <v>694</v>
      </c>
    </row>
    <row r="443" spans="1:8" x14ac:dyDescent="0.25">
      <c r="A443" s="92" t="s">
        <v>189</v>
      </c>
      <c r="B443" s="53" t="s">
        <v>667</v>
      </c>
      <c r="C443" s="40" t="s">
        <v>690</v>
      </c>
      <c r="D443" s="115" t="s">
        <v>277</v>
      </c>
      <c r="E443" s="11" t="s">
        <v>277</v>
      </c>
      <c r="F443" s="86" t="s">
        <v>694</v>
      </c>
      <c r="G443" s="87" t="s">
        <v>694</v>
      </c>
      <c r="H443" s="88" t="s">
        <v>694</v>
      </c>
    </row>
    <row r="444" spans="1:8" x14ac:dyDescent="0.25">
      <c r="A444" s="92" t="s">
        <v>190</v>
      </c>
      <c r="B444" s="53" t="s">
        <v>668</v>
      </c>
      <c r="C444" s="40" t="s">
        <v>690</v>
      </c>
      <c r="D444" s="115" t="s">
        <v>277</v>
      </c>
      <c r="E444" s="11" t="s">
        <v>277</v>
      </c>
      <c r="F444" s="86" t="s">
        <v>694</v>
      </c>
      <c r="G444" s="87" t="s">
        <v>694</v>
      </c>
      <c r="H444" s="88" t="s">
        <v>694</v>
      </c>
    </row>
    <row r="445" spans="1:8" x14ac:dyDescent="0.25">
      <c r="A445" s="92" t="s">
        <v>191</v>
      </c>
      <c r="B445" s="53" t="s">
        <v>669</v>
      </c>
      <c r="C445" s="40" t="s">
        <v>690</v>
      </c>
      <c r="D445" s="115" t="s">
        <v>277</v>
      </c>
      <c r="E445" s="11" t="s">
        <v>277</v>
      </c>
      <c r="F445" s="86" t="s">
        <v>694</v>
      </c>
      <c r="G445" s="87" t="s">
        <v>694</v>
      </c>
      <c r="H445" s="88" t="s">
        <v>694</v>
      </c>
    </row>
    <row r="446" spans="1:8" ht="25.5" x14ac:dyDescent="0.25">
      <c r="A446" s="92" t="s">
        <v>192</v>
      </c>
      <c r="B446" s="54" t="s">
        <v>670</v>
      </c>
      <c r="C446" s="91" t="s">
        <v>277</v>
      </c>
      <c r="D446" s="115" t="s">
        <v>277</v>
      </c>
      <c r="E446" s="11" t="s">
        <v>277</v>
      </c>
      <c r="F446" s="86" t="s">
        <v>694</v>
      </c>
      <c r="G446" s="87" t="s">
        <v>694</v>
      </c>
      <c r="H446" s="88" t="s">
        <v>694</v>
      </c>
    </row>
    <row r="447" spans="1:8" x14ac:dyDescent="0.25">
      <c r="A447" s="92" t="s">
        <v>671</v>
      </c>
      <c r="B447" s="53" t="s">
        <v>672</v>
      </c>
      <c r="C447" s="40" t="s">
        <v>690</v>
      </c>
      <c r="D447" s="115" t="s">
        <v>277</v>
      </c>
      <c r="E447" s="11" t="s">
        <v>277</v>
      </c>
      <c r="F447" s="86" t="s">
        <v>694</v>
      </c>
      <c r="G447" s="87" t="s">
        <v>694</v>
      </c>
      <c r="H447" s="88" t="s">
        <v>694</v>
      </c>
    </row>
    <row r="448" spans="1:8" x14ac:dyDescent="0.25">
      <c r="A448" s="92" t="s">
        <v>673</v>
      </c>
      <c r="B448" s="53" t="s">
        <v>674</v>
      </c>
      <c r="C448" s="40" t="s">
        <v>690</v>
      </c>
      <c r="D448" s="115" t="s">
        <v>277</v>
      </c>
      <c r="E448" s="11" t="s">
        <v>277</v>
      </c>
      <c r="F448" s="86" t="s">
        <v>694</v>
      </c>
      <c r="G448" s="87" t="s">
        <v>694</v>
      </c>
      <c r="H448" s="88" t="s">
        <v>694</v>
      </c>
    </row>
    <row r="449" spans="1:8" ht="16.5" thickBot="1" x14ac:dyDescent="0.3">
      <c r="A449" s="93" t="s">
        <v>675</v>
      </c>
      <c r="B449" s="94" t="s">
        <v>676</v>
      </c>
      <c r="C449" s="46" t="s">
        <v>690</v>
      </c>
      <c r="D449" s="116" t="s">
        <v>277</v>
      </c>
      <c r="E449" s="12" t="s">
        <v>277</v>
      </c>
      <c r="F449" s="95" t="s">
        <v>694</v>
      </c>
      <c r="G449" s="96" t="s">
        <v>694</v>
      </c>
      <c r="H449" s="97" t="s">
        <v>694</v>
      </c>
    </row>
    <row r="452" spans="1:8" x14ac:dyDescent="0.25">
      <c r="A452" s="98" t="s">
        <v>677</v>
      </c>
    </row>
    <row r="453" spans="1:8" ht="24.75" customHeight="1" x14ac:dyDescent="0.25">
      <c r="A453" s="122" t="s">
        <v>678</v>
      </c>
      <c r="B453" s="122"/>
      <c r="C453" s="122"/>
      <c r="D453" s="122"/>
      <c r="E453" s="122"/>
      <c r="F453" s="122"/>
      <c r="G453" s="122"/>
      <c r="H453" s="122"/>
    </row>
    <row r="454" spans="1:8" ht="22.5" customHeight="1" x14ac:dyDescent="0.25">
      <c r="A454" s="122" t="s">
        <v>679</v>
      </c>
      <c r="B454" s="122"/>
      <c r="C454" s="122"/>
      <c r="D454" s="122"/>
      <c r="E454" s="122"/>
      <c r="F454" s="122"/>
      <c r="G454" s="122"/>
      <c r="H454" s="122"/>
    </row>
    <row r="455" spans="1:8" ht="29.25" customHeight="1" x14ac:dyDescent="0.25">
      <c r="A455" s="122" t="s">
        <v>680</v>
      </c>
      <c r="B455" s="122"/>
      <c r="C455" s="122"/>
      <c r="D455" s="122"/>
      <c r="E455" s="122"/>
      <c r="F455" s="122"/>
      <c r="G455" s="122"/>
      <c r="H455" s="122"/>
    </row>
    <row r="456" spans="1:8" ht="36" customHeight="1" x14ac:dyDescent="0.25">
      <c r="A456" s="138" t="s">
        <v>681</v>
      </c>
      <c r="B456" s="138"/>
      <c r="C456" s="138"/>
      <c r="D456" s="138"/>
      <c r="E456" s="138"/>
      <c r="F456" s="138"/>
      <c r="G456" s="138"/>
      <c r="H456" s="138"/>
    </row>
    <row r="457" spans="1:8" ht="65.25" customHeight="1" x14ac:dyDescent="0.25">
      <c r="A457" s="117" t="s">
        <v>682</v>
      </c>
      <c r="B457" s="117"/>
      <c r="C457" s="117"/>
      <c r="D457" s="117"/>
      <c r="E457" s="117"/>
      <c r="F457" s="117"/>
      <c r="G457" s="117"/>
      <c r="H457" s="117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9">
    <mergeCell ref="A6:H7"/>
    <mergeCell ref="A16:H16"/>
    <mergeCell ref="A17:A18"/>
    <mergeCell ref="B17:B18"/>
    <mergeCell ref="C17:C18"/>
    <mergeCell ref="D17:E17"/>
    <mergeCell ref="F17:G17"/>
    <mergeCell ref="H17:H18"/>
    <mergeCell ref="A11:H11"/>
    <mergeCell ref="A12:H12"/>
    <mergeCell ref="A13:H13"/>
    <mergeCell ref="A9:H9"/>
    <mergeCell ref="A10:H10"/>
    <mergeCell ref="A20:H20"/>
    <mergeCell ref="A164:H164"/>
    <mergeCell ref="A316:H316"/>
    <mergeCell ref="A366:H367"/>
    <mergeCell ref="A456:H456"/>
    <mergeCell ref="A457:H457"/>
    <mergeCell ref="H368:H369"/>
    <mergeCell ref="A371:B371"/>
    <mergeCell ref="A453:H453"/>
    <mergeCell ref="A454:H454"/>
    <mergeCell ref="A455:H455"/>
    <mergeCell ref="A368:A369"/>
    <mergeCell ref="B368:B369"/>
    <mergeCell ref="C368:C369"/>
    <mergeCell ref="D368:E368"/>
    <mergeCell ref="F368:G368"/>
  </mergeCells>
  <conditionalFormatting sqref="E165">
    <cfRule type="expression" dxfId="0" priority="1">
      <formula>$H$4="Факт"</formula>
    </cfRule>
  </conditionalFormatting>
  <pageMargins left="0.59055118110236227" right="0.19685039370078741" top="0.39370078740157483" bottom="0.39370078740157483" header="0.31496062992125984" footer="0.31496062992125984"/>
  <pageSetup paperSize="9" scale="50" fitToHeight="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20квФп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Беленова С.Н.</cp:lastModifiedBy>
  <cp:lastPrinted>2019-09-09T12:39:41Z</cp:lastPrinted>
  <dcterms:created xsi:type="dcterms:W3CDTF">2009-07-27T10:10:26Z</dcterms:created>
  <dcterms:modified xsi:type="dcterms:W3CDTF">2020-11-11T11:39:42Z</dcterms:modified>
</cp:coreProperties>
</file>