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0" yWindow="45" windowWidth="16665" windowHeight="14160"/>
  </bookViews>
  <sheets>
    <sheet name="17квЭт" sheetId="17" r:id="rId1"/>
  </sheets>
  <externalReferences>
    <externalReference r:id="rId2"/>
  </externalReferences>
  <definedNames>
    <definedName name="_xlnm._FilterDatabase" localSheetId="0" hidden="1">'17квЭт'!$A$19:$CX$449</definedName>
    <definedName name="Z_500C2F4F_1743_499A_A051_20565DBF52B2_.wvu.PrintArea" localSheetId="0" hidden="1">'17квЭт'!$A$1:$BC$19</definedName>
    <definedName name="_xlnm.Print_Area" localSheetId="0">'17квЭт'!$A$1:$BC$19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E442" i="17" l="1"/>
  <c r="W145" i="17" l="1"/>
  <c r="V145" i="17"/>
  <c r="L145" i="17"/>
  <c r="O374" i="17"/>
  <c r="Z275" i="17"/>
  <c r="AA275" i="17"/>
  <c r="AB275" i="17"/>
  <c r="AC275" i="17"/>
  <c r="V275" i="17"/>
  <c r="V274" i="17" s="1"/>
  <c r="W275" i="17"/>
  <c r="W274" i="17" s="1"/>
  <c r="X275" i="17"/>
  <c r="X274" i="17" s="1"/>
  <c r="S275" i="17"/>
  <c r="S274" i="17" s="1"/>
  <c r="N275" i="17"/>
  <c r="N274" i="17" s="1"/>
  <c r="F276" i="17"/>
  <c r="G276" i="17"/>
  <c r="H276" i="17"/>
  <c r="I276" i="17"/>
  <c r="P360" i="17"/>
  <c r="O235" i="17"/>
  <c r="H374" i="17"/>
  <c r="G374" i="17"/>
  <c r="X444" i="17"/>
  <c r="X26" i="17" s="1"/>
  <c r="W444" i="17"/>
  <c r="W26" i="17" s="1"/>
  <c r="V444" i="17"/>
  <c r="V26" i="17" s="1"/>
  <c r="U444" i="17"/>
  <c r="U26" i="17" s="1"/>
  <c r="X399" i="17"/>
  <c r="X24" i="17" s="1"/>
  <c r="U399" i="17"/>
  <c r="U24" i="17" s="1"/>
  <c r="X392" i="17"/>
  <c r="W392" i="17"/>
  <c r="V392" i="17"/>
  <c r="X143" i="17"/>
  <c r="U143" i="17"/>
  <c r="X127" i="17"/>
  <c r="W127" i="17"/>
  <c r="V127" i="17"/>
  <c r="U127" i="17"/>
  <c r="X105" i="17"/>
  <c r="X104" i="17" s="1"/>
  <c r="W105" i="17"/>
  <c r="W104" i="17" s="1"/>
  <c r="V105" i="17"/>
  <c r="V104" i="17" s="1"/>
  <c r="U105" i="17"/>
  <c r="U104" i="17" s="1"/>
  <c r="X45" i="17"/>
  <c r="X39" i="17"/>
  <c r="W39" i="17"/>
  <c r="V39" i="17"/>
  <c r="U39" i="17"/>
  <c r="X31" i="17"/>
  <c r="X25" i="17"/>
  <c r="T25" i="17" s="1"/>
  <c r="X23" i="17"/>
  <c r="T23" i="17" s="1"/>
  <c r="M399" i="17"/>
  <c r="N399" i="17"/>
  <c r="K392" i="17"/>
  <c r="L392" i="17"/>
  <c r="M392" i="17"/>
  <c r="N392" i="17"/>
  <c r="K143" i="17"/>
  <c r="N143" i="17"/>
  <c r="K127" i="17"/>
  <c r="N127" i="17"/>
  <c r="K105" i="17"/>
  <c r="K104" i="17" s="1"/>
  <c r="L105" i="17"/>
  <c r="L104" i="17" s="1"/>
  <c r="M105" i="17"/>
  <c r="M104" i="17" s="1"/>
  <c r="N105" i="17"/>
  <c r="N104" i="17" s="1"/>
  <c r="K45" i="17"/>
  <c r="L45" i="17"/>
  <c r="M45" i="17"/>
  <c r="N45" i="17"/>
  <c r="P369" i="17"/>
  <c r="O369" i="17" s="1"/>
  <c r="P359" i="17"/>
  <c r="K417" i="17"/>
  <c r="K399" i="17" s="1"/>
  <c r="M142" i="17"/>
  <c r="M127" i="17" s="1"/>
  <c r="L142" i="17"/>
  <c r="L127" i="17" s="1"/>
  <c r="L297" i="17"/>
  <c r="K297" i="17"/>
  <c r="L296" i="17"/>
  <c r="K296" i="17"/>
  <c r="K295" i="17"/>
  <c r="T122" i="17"/>
  <c r="T314" i="17"/>
  <c r="T315" i="17"/>
  <c r="T316" i="17"/>
  <c r="T317" i="17"/>
  <c r="U318" i="17"/>
  <c r="U275" i="17" s="1"/>
  <c r="U274" i="17" s="1"/>
  <c r="W33" i="17"/>
  <c r="V33" i="17"/>
  <c r="U33" i="17"/>
  <c r="W35" i="17"/>
  <c r="V35" i="17"/>
  <c r="U35" i="17"/>
  <c r="U36" i="17"/>
  <c r="W32" i="17"/>
  <c r="V32" i="17"/>
  <c r="U32" i="17"/>
  <c r="W34" i="17"/>
  <c r="V34" i="17"/>
  <c r="U34" i="17"/>
  <c r="U31" i="17" l="1"/>
  <c r="V31" i="17"/>
  <c r="W31" i="17"/>
  <c r="K275" i="17"/>
  <c r="K274" i="17" s="1"/>
  <c r="T318" i="17"/>
  <c r="P275" i="17"/>
  <c r="P274" i="17" s="1"/>
  <c r="E374" i="17"/>
  <c r="K126" i="17"/>
  <c r="U126" i="17"/>
  <c r="T26" i="17"/>
  <c r="X126" i="17"/>
  <c r="X29" i="17"/>
  <c r="X28" i="17" s="1"/>
  <c r="X21" i="17" s="1"/>
  <c r="N126" i="17"/>
  <c r="J401" i="17" l="1"/>
  <c r="J402" i="17"/>
  <c r="J403" i="17"/>
  <c r="J404" i="17"/>
  <c r="J405" i="17"/>
  <c r="J406" i="17"/>
  <c r="J407" i="17"/>
  <c r="J408" i="17"/>
  <c r="J409" i="17"/>
  <c r="J410" i="17"/>
  <c r="J411" i="17"/>
  <c r="J412" i="17"/>
  <c r="J413" i="17"/>
  <c r="J414" i="17"/>
  <c r="J415" i="17"/>
  <c r="J416" i="17"/>
  <c r="J417" i="17"/>
  <c r="J418" i="17"/>
  <c r="J419" i="17"/>
  <c r="J420" i="17"/>
  <c r="J421" i="17"/>
  <c r="J422" i="17"/>
  <c r="J423" i="17"/>
  <c r="J424" i="17"/>
  <c r="J425" i="17"/>
  <c r="J426" i="17"/>
  <c r="J427" i="17"/>
  <c r="J434" i="17"/>
  <c r="J435" i="17"/>
  <c r="J436" i="17"/>
  <c r="J437" i="17"/>
  <c r="J438" i="17"/>
  <c r="J439" i="17"/>
  <c r="J440" i="17"/>
  <c r="J441" i="17"/>
  <c r="J442" i="17"/>
  <c r="J400" i="17"/>
  <c r="J277" i="17"/>
  <c r="J278" i="17"/>
  <c r="J279" i="17"/>
  <c r="J280" i="17"/>
  <c r="J281" i="17"/>
  <c r="J282" i="17"/>
  <c r="J283" i="17"/>
  <c r="J284" i="17"/>
  <c r="J285" i="17"/>
  <c r="J286" i="17"/>
  <c r="J287" i="17"/>
  <c r="J288" i="17"/>
  <c r="J289" i="17"/>
  <c r="J290" i="17"/>
  <c r="J291" i="17"/>
  <c r="J292" i="17"/>
  <c r="J293" i="17"/>
  <c r="J294" i="17"/>
  <c r="J295" i="17"/>
  <c r="J296" i="17"/>
  <c r="J297" i="17"/>
  <c r="J298" i="17"/>
  <c r="J299" i="17"/>
  <c r="J300" i="17"/>
  <c r="J301" i="17"/>
  <c r="J302" i="17"/>
  <c r="J303" i="17"/>
  <c r="J304" i="17"/>
  <c r="J305" i="17"/>
  <c r="J306" i="17"/>
  <c r="J307" i="17"/>
  <c r="J311" i="17"/>
  <c r="J312" i="17"/>
  <c r="J313" i="17"/>
  <c r="J314" i="17"/>
  <c r="J315" i="17"/>
  <c r="J316" i="17"/>
  <c r="J317" i="17"/>
  <c r="J318" i="17"/>
  <c r="J319" i="17"/>
  <c r="J320" i="17"/>
  <c r="J321" i="17"/>
  <c r="J322" i="17"/>
  <c r="J323" i="17"/>
  <c r="J324" i="17"/>
  <c r="J325" i="17"/>
  <c r="J326" i="17"/>
  <c r="J327" i="17"/>
  <c r="J328" i="17"/>
  <c r="J329" i="17"/>
  <c r="J330" i="17"/>
  <c r="J331" i="17"/>
  <c r="J332" i="17"/>
  <c r="J333" i="17"/>
  <c r="J334" i="17"/>
  <c r="J335" i="17"/>
  <c r="J336" i="17"/>
  <c r="J337" i="17"/>
  <c r="J338" i="17"/>
  <c r="J339" i="17"/>
  <c r="J340" i="17"/>
  <c r="J341" i="17"/>
  <c r="J342" i="17"/>
  <c r="J343" i="17"/>
  <c r="J344" i="17"/>
  <c r="J345" i="17"/>
  <c r="J346" i="17"/>
  <c r="J347" i="17"/>
  <c r="J348" i="17"/>
  <c r="J349" i="17"/>
  <c r="J350" i="17"/>
  <c r="J352" i="17"/>
  <c r="J353" i="17"/>
  <c r="J354" i="17"/>
  <c r="J355" i="17"/>
  <c r="J356" i="17"/>
  <c r="J357" i="17"/>
  <c r="J358" i="17"/>
  <c r="J359" i="17"/>
  <c r="J360" i="17"/>
  <c r="J361" i="17"/>
  <c r="J362" i="17"/>
  <c r="J363" i="17"/>
  <c r="J367" i="17"/>
  <c r="J368" i="17"/>
  <c r="J369" i="17"/>
  <c r="J370" i="17"/>
  <c r="J371" i="17"/>
  <c r="J372" i="17"/>
  <c r="J373" i="17"/>
  <c r="J374" i="17"/>
  <c r="J375" i="17"/>
  <c r="J376" i="17"/>
  <c r="J377" i="17"/>
  <c r="J378" i="17"/>
  <c r="J379" i="17"/>
  <c r="J276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8" i="17"/>
  <c r="J229" i="17"/>
  <c r="J230" i="17"/>
  <c r="J231" i="17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44" i="17"/>
  <c r="J245" i="17"/>
  <c r="J246" i="17"/>
  <c r="J247" i="17"/>
  <c r="J248" i="17"/>
  <c r="J249" i="17"/>
  <c r="J250" i="17"/>
  <c r="J251" i="17"/>
  <c r="J252" i="17"/>
  <c r="J253" i="17"/>
  <c r="J254" i="17"/>
  <c r="J255" i="17"/>
  <c r="J256" i="17"/>
  <c r="J257" i="17"/>
  <c r="J258" i="17"/>
  <c r="J259" i="17"/>
  <c r="J260" i="17"/>
  <c r="J261" i="17"/>
  <c r="J262" i="17"/>
  <c r="J264" i="17"/>
  <c r="J265" i="17"/>
  <c r="J266" i="17"/>
  <c r="J267" i="17"/>
  <c r="J268" i="17"/>
  <c r="J269" i="17"/>
  <c r="J270" i="17"/>
  <c r="J271" i="17"/>
  <c r="J272" i="17"/>
  <c r="J273" i="17"/>
  <c r="J144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28" i="17"/>
  <c r="W440" i="17"/>
  <c r="W399" i="17" s="1"/>
  <c r="W24" i="17" s="1"/>
  <c r="V440" i="17"/>
  <c r="V399" i="17" s="1"/>
  <c r="V24" i="17" s="1"/>
  <c r="R440" i="17"/>
  <c r="Q440" i="17"/>
  <c r="R351" i="17"/>
  <c r="R275" i="17" s="1"/>
  <c r="R274" i="17" s="1"/>
  <c r="Q351" i="17"/>
  <c r="Q275" i="17" s="1"/>
  <c r="Q274" i="17" s="1"/>
  <c r="M351" i="17"/>
  <c r="M275" i="17" s="1"/>
  <c r="M274" i="17" s="1"/>
  <c r="L351" i="17"/>
  <c r="M263" i="17"/>
  <c r="L263" i="17"/>
  <c r="M227" i="17"/>
  <c r="L227" i="17"/>
  <c r="AA145" i="17"/>
  <c r="W143" i="17"/>
  <c r="W126" i="17" s="1"/>
  <c r="V143" i="17"/>
  <c r="V126" i="17" s="1"/>
  <c r="AM263" i="17"/>
  <c r="AL263" i="17"/>
  <c r="AM227" i="17"/>
  <c r="AL227" i="17"/>
  <c r="AR374" i="17"/>
  <c r="AQ374" i="17"/>
  <c r="AR351" i="17"/>
  <c r="AQ351" i="17"/>
  <c r="AO374" i="17" l="1"/>
  <c r="AJ263" i="17"/>
  <c r="J263" i="17"/>
  <c r="M143" i="17"/>
  <c r="M126" i="17" s="1"/>
  <c r="J351" i="17"/>
  <c r="J227" i="17"/>
  <c r="L143" i="17"/>
  <c r="L126" i="17" s="1"/>
  <c r="J127" i="17"/>
  <c r="AJ227" i="17"/>
  <c r="J143" i="17" l="1"/>
  <c r="J126" i="17" s="1"/>
  <c r="AY440" i="17" l="1"/>
  <c r="AT440" i="17"/>
  <c r="AO440" i="17"/>
  <c r="AJ440" i="17"/>
  <c r="AI440" i="17"/>
  <c r="AH440" i="17"/>
  <c r="AG440" i="17"/>
  <c r="AF440" i="17"/>
  <c r="Y440" i="17"/>
  <c r="T440" i="17"/>
  <c r="O440" i="17"/>
  <c r="I440" i="17"/>
  <c r="H440" i="17"/>
  <c r="G440" i="17"/>
  <c r="F440" i="17"/>
  <c r="AE440" i="17" l="1"/>
  <c r="E440" i="17"/>
  <c r="AY83" i="17" l="1"/>
  <c r="AY84" i="17"/>
  <c r="AT83" i="17"/>
  <c r="AT84" i="17"/>
  <c r="AI83" i="17"/>
  <c r="AI84" i="17"/>
  <c r="AH83" i="17"/>
  <c r="AH84" i="17"/>
  <c r="AG83" i="17"/>
  <c r="AG84" i="17"/>
  <c r="AF83" i="17"/>
  <c r="AF84" i="17"/>
  <c r="I83" i="17"/>
  <c r="I84" i="17"/>
  <c r="H83" i="17"/>
  <c r="H84" i="17"/>
  <c r="G83" i="17"/>
  <c r="G84" i="17"/>
  <c r="F83" i="17"/>
  <c r="F84" i="17"/>
  <c r="Y84" i="17"/>
  <c r="Y83" i="17"/>
  <c r="T83" i="17"/>
  <c r="T84" i="17"/>
  <c r="E84" i="17" l="1"/>
  <c r="AE84" i="17"/>
  <c r="E83" i="17"/>
  <c r="AE83" i="17"/>
  <c r="T46" i="17"/>
  <c r="T47" i="17"/>
  <c r="T48" i="17"/>
  <c r="T49" i="17"/>
  <c r="T50" i="17"/>
  <c r="T52" i="17"/>
  <c r="T53" i="17"/>
  <c r="T54" i="17"/>
  <c r="BC31" i="17" l="1"/>
  <c r="AD57" i="17"/>
  <c r="AD55" i="17"/>
  <c r="AP31" i="17"/>
  <c r="AQ31" i="17"/>
  <c r="AR31" i="17"/>
  <c r="AS31" i="17"/>
  <c r="AU31" i="17"/>
  <c r="AV31" i="17"/>
  <c r="AW31" i="17"/>
  <c r="AX31" i="17"/>
  <c r="AS39" i="17"/>
  <c r="AU39" i="17"/>
  <c r="AV39" i="17"/>
  <c r="AW39" i="17"/>
  <c r="AX39" i="17"/>
  <c r="AS45" i="17"/>
  <c r="AX45" i="17"/>
  <c r="AP41" i="17"/>
  <c r="AQ41" i="17"/>
  <c r="AR41" i="17"/>
  <c r="AP42" i="17"/>
  <c r="AQ42" i="17"/>
  <c r="AR42" i="17"/>
  <c r="AQ43" i="17"/>
  <c r="AR43" i="17"/>
  <c r="AP48" i="17"/>
  <c r="AQ48" i="17"/>
  <c r="AR48" i="17"/>
  <c r="AJ142" i="17"/>
  <c r="AN444" i="17"/>
  <c r="AM444" i="17"/>
  <c r="AL444" i="17"/>
  <c r="AK444" i="17"/>
  <c r="AN399" i="17"/>
  <c r="AM399" i="17"/>
  <c r="AL399" i="17"/>
  <c r="AK399" i="17"/>
  <c r="AN392" i="17"/>
  <c r="AN390" i="17" s="1"/>
  <c r="AM392" i="17"/>
  <c r="AM390" i="17" s="1"/>
  <c r="AL392" i="17"/>
  <c r="AL390" i="17" s="1"/>
  <c r="AK392" i="17"/>
  <c r="AK390" i="17" s="1"/>
  <c r="AJ391" i="17"/>
  <c r="AN275" i="17"/>
  <c r="AN274" i="17" s="1"/>
  <c r="AM275" i="17"/>
  <c r="AM274" i="17" s="1"/>
  <c r="AL275" i="17"/>
  <c r="AL274" i="17" s="1"/>
  <c r="AK275" i="17"/>
  <c r="AK274" i="17" s="1"/>
  <c r="AM143" i="17"/>
  <c r="AL143" i="17"/>
  <c r="AK143" i="17"/>
  <c r="AM127" i="17"/>
  <c r="AL127" i="17"/>
  <c r="AK127" i="17"/>
  <c r="AN105" i="17"/>
  <c r="AN104" i="17" s="1"/>
  <c r="AM105" i="17"/>
  <c r="AM104" i="17" s="1"/>
  <c r="AL105" i="17"/>
  <c r="AL104" i="17" s="1"/>
  <c r="AK105" i="17"/>
  <c r="AK104" i="17" s="1"/>
  <c r="AN45" i="17"/>
  <c r="AM45" i="17"/>
  <c r="AL45" i="17"/>
  <c r="AK45" i="17"/>
  <c r="AN39" i="17"/>
  <c r="AM39" i="17"/>
  <c r="AL39" i="17"/>
  <c r="AK39" i="17"/>
  <c r="AN31" i="17"/>
  <c r="AM31" i="17"/>
  <c r="AL31" i="17"/>
  <c r="AK31" i="17"/>
  <c r="AJ31" i="17"/>
  <c r="AP39" i="17" l="1"/>
  <c r="AQ39" i="17"/>
  <c r="AR39" i="17"/>
  <c r="AL126" i="17"/>
  <c r="AL125" i="17" s="1"/>
  <c r="AL29" i="17"/>
  <c r="AL28" i="17" s="1"/>
  <c r="AX29" i="17"/>
  <c r="AO31" i="17"/>
  <c r="AS29" i="17"/>
  <c r="AK126" i="17"/>
  <c r="AM29" i="17"/>
  <c r="AM28" i="17" s="1"/>
  <c r="AM126" i="17"/>
  <c r="AM125" i="17" s="1"/>
  <c r="AK29" i="17"/>
  <c r="AK28" i="17" s="1"/>
  <c r="AK125" i="17"/>
  <c r="AN29" i="17"/>
  <c r="AN28" i="17" s="1"/>
  <c r="AP444" i="17" l="1"/>
  <c r="AQ444" i="17"/>
  <c r="AS444" i="17"/>
  <c r="AU444" i="17"/>
  <c r="AV444" i="17"/>
  <c r="AW444" i="17"/>
  <c r="AX444" i="17"/>
  <c r="AS399" i="17"/>
  <c r="AV399" i="17"/>
  <c r="AW399" i="17"/>
  <c r="AX399" i="17"/>
  <c r="AP392" i="17"/>
  <c r="AQ392" i="17"/>
  <c r="AR392" i="17"/>
  <c r="AS392" i="17"/>
  <c r="AU392" i="17"/>
  <c r="AV392" i="17"/>
  <c r="AW392" i="17"/>
  <c r="AX392" i="17"/>
  <c r="AS275" i="17"/>
  <c r="AS274" i="17" s="1"/>
  <c r="AU275" i="17"/>
  <c r="AU274" i="17" s="1"/>
  <c r="AV275" i="17"/>
  <c r="AV274" i="17" s="1"/>
  <c r="AW275" i="17"/>
  <c r="AW274" i="17" s="1"/>
  <c r="AX275" i="17"/>
  <c r="AU127" i="17"/>
  <c r="AV127" i="17"/>
  <c r="AW127" i="17"/>
  <c r="AP105" i="17"/>
  <c r="AP104" i="17" s="1"/>
  <c r="AQ105" i="17"/>
  <c r="AQ104" i="17" s="1"/>
  <c r="AR105" i="17"/>
  <c r="AS105" i="17"/>
  <c r="AS104" i="17" s="1"/>
  <c r="AU105" i="17"/>
  <c r="AU104" i="17" s="1"/>
  <c r="AV105" i="17"/>
  <c r="AX105" i="17"/>
  <c r="AX104" i="17" s="1"/>
  <c r="D46" i="17"/>
  <c r="K31" i="17"/>
  <c r="L31" i="17"/>
  <c r="M31" i="17"/>
  <c r="N31" i="17"/>
  <c r="O31" i="17"/>
  <c r="P31" i="17"/>
  <c r="Q31" i="17"/>
  <c r="R31" i="17"/>
  <c r="S31" i="17"/>
  <c r="AI27" i="17"/>
  <c r="AI30" i="17"/>
  <c r="AI32" i="17"/>
  <c r="AI33" i="17"/>
  <c r="AI34" i="17"/>
  <c r="AI35" i="17"/>
  <c r="AI36" i="17"/>
  <c r="AI37" i="17"/>
  <c r="AI38" i="17"/>
  <c r="AI40" i="17"/>
  <c r="AI41" i="17"/>
  <c r="AI42" i="17"/>
  <c r="AI43" i="17"/>
  <c r="AI44" i="17"/>
  <c r="AI46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I64" i="17"/>
  <c r="AI65" i="17"/>
  <c r="AI66" i="17"/>
  <c r="AI67" i="17"/>
  <c r="AI68" i="17"/>
  <c r="AI69" i="17"/>
  <c r="AI70" i="17"/>
  <c r="AI71" i="17"/>
  <c r="AI72" i="17"/>
  <c r="AI73" i="17"/>
  <c r="AI74" i="17"/>
  <c r="AI75" i="17"/>
  <c r="AI76" i="17"/>
  <c r="AI77" i="17"/>
  <c r="AI78" i="17"/>
  <c r="AI79" i="17"/>
  <c r="AI80" i="17"/>
  <c r="AI81" i="17"/>
  <c r="AI82" i="17"/>
  <c r="AI85" i="17"/>
  <c r="AI86" i="17"/>
  <c r="AI87" i="17"/>
  <c r="AI88" i="17"/>
  <c r="AI89" i="17"/>
  <c r="AI90" i="17"/>
  <c r="AI91" i="17"/>
  <c r="AI92" i="17"/>
  <c r="AI93" i="17"/>
  <c r="AI94" i="17"/>
  <c r="AI95" i="17"/>
  <c r="AI96" i="17"/>
  <c r="AI97" i="17"/>
  <c r="AI98" i="17"/>
  <c r="AI99" i="17"/>
  <c r="AI100" i="17"/>
  <c r="AI101" i="17"/>
  <c r="AI102" i="17"/>
  <c r="AI103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17" i="17"/>
  <c r="AI118" i="17"/>
  <c r="AI119" i="17"/>
  <c r="AI120" i="17"/>
  <c r="AI121" i="17"/>
  <c r="AI122" i="17"/>
  <c r="AI123" i="17"/>
  <c r="AI124" i="17"/>
  <c r="AI128" i="17"/>
  <c r="AI129" i="17"/>
  <c r="AI130" i="17"/>
  <c r="AI131" i="17"/>
  <c r="AI132" i="17"/>
  <c r="AI133" i="17"/>
  <c r="AI134" i="17"/>
  <c r="AI135" i="17"/>
  <c r="AI136" i="17"/>
  <c r="AI137" i="17"/>
  <c r="AI138" i="17"/>
  <c r="AI139" i="17"/>
  <c r="AI140" i="17"/>
  <c r="AI141" i="17"/>
  <c r="AI144" i="17"/>
  <c r="AI145" i="17"/>
  <c r="AI146" i="17"/>
  <c r="AI147" i="17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5" i="17"/>
  <c r="AI196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29" i="17"/>
  <c r="AI230" i="17"/>
  <c r="AI231" i="17"/>
  <c r="AI232" i="17"/>
  <c r="AI233" i="17"/>
  <c r="AI234" i="17"/>
  <c r="AI235" i="17"/>
  <c r="AI236" i="17"/>
  <c r="AI237" i="17"/>
  <c r="AI238" i="17"/>
  <c r="AI239" i="17"/>
  <c r="AI240" i="17"/>
  <c r="AI241" i="17"/>
  <c r="AI242" i="17"/>
  <c r="AI243" i="17"/>
  <c r="AI244" i="17"/>
  <c r="AI245" i="17"/>
  <c r="AI246" i="17"/>
  <c r="AI247" i="17"/>
  <c r="AI248" i="17"/>
  <c r="AI249" i="17"/>
  <c r="AI250" i="17"/>
  <c r="AI251" i="17"/>
  <c r="AI252" i="17"/>
  <c r="AI253" i="17"/>
  <c r="AI254" i="17"/>
  <c r="AI255" i="17"/>
  <c r="AI256" i="17"/>
  <c r="AI257" i="17"/>
  <c r="AI258" i="17"/>
  <c r="AI259" i="17"/>
  <c r="AI260" i="17"/>
  <c r="AI261" i="17"/>
  <c r="AI262" i="17"/>
  <c r="AI263" i="17"/>
  <c r="AI264" i="17"/>
  <c r="AI265" i="17"/>
  <c r="AI266" i="17"/>
  <c r="AI267" i="17"/>
  <c r="AI268" i="17"/>
  <c r="AI269" i="17"/>
  <c r="AI270" i="17"/>
  <c r="AI271" i="17"/>
  <c r="AI272" i="17"/>
  <c r="AI276" i="17"/>
  <c r="AI277" i="17"/>
  <c r="AI278" i="17"/>
  <c r="AI279" i="17"/>
  <c r="AI280" i="17"/>
  <c r="AI281" i="17"/>
  <c r="AI282" i="17"/>
  <c r="AI283" i="17"/>
  <c r="AI284" i="17"/>
  <c r="AI285" i="17"/>
  <c r="AI286" i="17"/>
  <c r="AI287" i="17"/>
  <c r="AI288" i="17"/>
  <c r="AI289" i="17"/>
  <c r="AI290" i="17"/>
  <c r="AI291" i="17"/>
  <c r="AI292" i="17"/>
  <c r="AI293" i="17"/>
  <c r="AI294" i="17"/>
  <c r="AI295" i="17"/>
  <c r="AI296" i="17"/>
  <c r="AI297" i="17"/>
  <c r="AI298" i="17"/>
  <c r="AI299" i="17"/>
  <c r="AI300" i="17"/>
  <c r="AI301" i="17"/>
  <c r="AI302" i="17"/>
  <c r="AI303" i="17"/>
  <c r="AI304" i="17"/>
  <c r="AI305" i="17"/>
  <c r="AI306" i="17"/>
  <c r="AI307" i="17"/>
  <c r="AI308" i="17"/>
  <c r="AI309" i="17"/>
  <c r="AI310" i="17"/>
  <c r="AI311" i="17"/>
  <c r="AI312" i="17"/>
  <c r="AI313" i="17"/>
  <c r="AI314" i="17"/>
  <c r="AI315" i="17"/>
  <c r="AI316" i="17"/>
  <c r="AI317" i="17"/>
  <c r="AI318" i="17"/>
  <c r="AI319" i="17"/>
  <c r="AI320" i="17"/>
  <c r="AI321" i="17"/>
  <c r="AI322" i="17"/>
  <c r="AI323" i="17"/>
  <c r="AI324" i="17"/>
  <c r="AI325" i="17"/>
  <c r="AI326" i="17"/>
  <c r="AI327" i="17"/>
  <c r="AI328" i="17"/>
  <c r="AI329" i="17"/>
  <c r="AI330" i="17"/>
  <c r="AI331" i="17"/>
  <c r="AI332" i="17"/>
  <c r="AI333" i="17"/>
  <c r="AI334" i="17"/>
  <c r="AI335" i="17"/>
  <c r="AI336" i="17"/>
  <c r="AI337" i="17"/>
  <c r="AI338" i="17"/>
  <c r="AI339" i="17"/>
  <c r="AI340" i="17"/>
  <c r="AI341" i="17"/>
  <c r="AI342" i="17"/>
  <c r="AI343" i="17"/>
  <c r="AI344" i="17"/>
  <c r="AI345" i="17"/>
  <c r="AI346" i="17"/>
  <c r="AI347" i="17"/>
  <c r="AI348" i="17"/>
  <c r="AI349" i="17"/>
  <c r="AI350" i="17"/>
  <c r="AI351" i="17"/>
  <c r="AI352" i="17"/>
  <c r="AI353" i="17"/>
  <c r="AI354" i="17"/>
  <c r="AI355" i="17"/>
  <c r="AI356" i="17"/>
  <c r="AI357" i="17"/>
  <c r="AI358" i="17"/>
  <c r="AI359" i="17"/>
  <c r="AI360" i="17"/>
  <c r="AI361" i="17"/>
  <c r="AI362" i="17"/>
  <c r="AI363" i="17"/>
  <c r="AI364" i="17"/>
  <c r="AI365" i="17"/>
  <c r="AI366" i="17"/>
  <c r="AI367" i="17"/>
  <c r="AI368" i="17"/>
  <c r="AI369" i="17"/>
  <c r="AI370" i="17"/>
  <c r="AI371" i="17"/>
  <c r="AI372" i="17"/>
  <c r="AI373" i="17"/>
  <c r="AI374" i="17"/>
  <c r="AI375" i="17"/>
  <c r="AI376" i="17"/>
  <c r="AI377" i="17"/>
  <c r="AI378" i="17"/>
  <c r="AI379" i="17"/>
  <c r="AI380" i="17"/>
  <c r="AI381" i="17"/>
  <c r="AI382" i="17"/>
  <c r="AI383" i="17"/>
  <c r="AI384" i="17"/>
  <c r="AI385" i="17"/>
  <c r="AI386" i="17"/>
  <c r="AI387" i="17"/>
  <c r="AI388" i="17"/>
  <c r="AI389" i="17"/>
  <c r="AI391" i="17"/>
  <c r="AI393" i="17"/>
  <c r="AI394" i="17"/>
  <c r="AI395" i="17"/>
  <c r="AI396" i="17"/>
  <c r="AI397" i="17"/>
  <c r="AI398" i="17"/>
  <c r="AI400" i="17"/>
  <c r="AI401" i="17"/>
  <c r="AI402" i="17"/>
  <c r="AI403" i="17"/>
  <c r="AI404" i="17"/>
  <c r="AI405" i="17"/>
  <c r="AI406" i="17"/>
  <c r="AI407" i="17"/>
  <c r="AI408" i="17"/>
  <c r="AI409" i="17"/>
  <c r="AI410" i="17"/>
  <c r="AI411" i="17"/>
  <c r="AI412" i="17"/>
  <c r="AI413" i="17"/>
  <c r="AI414" i="17"/>
  <c r="AI415" i="17"/>
  <c r="AI416" i="17"/>
  <c r="AI417" i="17"/>
  <c r="AI418" i="17"/>
  <c r="AI419" i="17"/>
  <c r="AI420" i="17"/>
  <c r="AI421" i="17"/>
  <c r="AI422" i="17"/>
  <c r="AI423" i="17"/>
  <c r="AI424" i="17"/>
  <c r="AI425" i="17"/>
  <c r="AI426" i="17"/>
  <c r="AI427" i="17"/>
  <c r="AI428" i="17"/>
  <c r="AI429" i="17"/>
  <c r="AI430" i="17"/>
  <c r="AI431" i="17"/>
  <c r="AI432" i="17"/>
  <c r="AI433" i="17"/>
  <c r="AI434" i="17"/>
  <c r="AI435" i="17"/>
  <c r="AI436" i="17"/>
  <c r="AI437" i="17"/>
  <c r="AI438" i="17"/>
  <c r="AI439" i="17"/>
  <c r="AI441" i="17"/>
  <c r="AI442" i="17"/>
  <c r="AI443" i="17"/>
  <c r="AI445" i="17"/>
  <c r="AI446" i="17"/>
  <c r="AI447" i="17"/>
  <c r="AI448" i="17"/>
  <c r="AI449" i="17"/>
  <c r="AH23" i="17"/>
  <c r="AH25" i="17"/>
  <c r="AH27" i="17"/>
  <c r="AH30" i="17"/>
  <c r="AH32" i="17"/>
  <c r="AH33" i="17"/>
  <c r="AH34" i="17"/>
  <c r="AH35" i="17"/>
  <c r="AH36" i="17"/>
  <c r="AH37" i="17"/>
  <c r="AH38" i="17"/>
  <c r="AH40" i="17"/>
  <c r="AH41" i="17"/>
  <c r="AH42" i="17"/>
  <c r="AH43" i="17"/>
  <c r="AH44" i="17"/>
  <c r="AH46" i="17"/>
  <c r="AH47" i="17"/>
  <c r="AH48" i="17"/>
  <c r="AH49" i="17"/>
  <c r="AH50" i="17"/>
  <c r="AH51" i="17"/>
  <c r="AH52" i="17"/>
  <c r="AH53" i="17"/>
  <c r="AH55" i="17"/>
  <c r="AH56" i="17"/>
  <c r="AH57" i="17"/>
  <c r="AH58" i="17"/>
  <c r="AH59" i="17"/>
  <c r="AH60" i="17"/>
  <c r="AH61" i="17"/>
  <c r="AH62" i="17"/>
  <c r="AH63" i="17"/>
  <c r="AH64" i="17"/>
  <c r="AH66" i="17"/>
  <c r="AH68" i="17"/>
  <c r="AH69" i="17"/>
  <c r="AH70" i="17"/>
  <c r="AH72" i="17"/>
  <c r="AH73" i="17"/>
  <c r="AH75" i="17"/>
  <c r="AH76" i="17"/>
  <c r="AH77" i="17"/>
  <c r="AH78" i="17"/>
  <c r="AH80" i="17"/>
  <c r="AH81" i="17"/>
  <c r="AH85" i="17"/>
  <c r="AH86" i="17"/>
  <c r="AH87" i="17"/>
  <c r="AH88" i="17"/>
  <c r="AH89" i="17"/>
  <c r="AH90" i="17"/>
  <c r="AH91" i="17"/>
  <c r="AH92" i="17"/>
  <c r="AH93" i="17"/>
  <c r="AH94" i="17"/>
  <c r="AH95" i="17"/>
  <c r="AH96" i="17"/>
  <c r="AH97" i="17"/>
  <c r="AH98" i="17"/>
  <c r="AH99" i="17"/>
  <c r="AH100" i="17"/>
  <c r="AH101" i="17"/>
  <c r="AH102" i="17"/>
  <c r="AH103" i="17"/>
  <c r="AH106" i="17"/>
  <c r="AH107" i="17"/>
  <c r="AH108" i="17"/>
  <c r="AH109" i="17"/>
  <c r="AH110" i="17"/>
  <c r="AH111" i="17"/>
  <c r="AH112" i="17"/>
  <c r="AH113" i="17"/>
  <c r="AH114" i="17"/>
  <c r="AH115" i="17"/>
  <c r="AH116" i="17"/>
  <c r="AH117" i="17"/>
  <c r="AH118" i="17"/>
  <c r="AH119" i="17"/>
  <c r="AH121" i="17"/>
  <c r="AH122" i="17"/>
  <c r="AH123" i="17"/>
  <c r="AH124" i="17"/>
  <c r="AH128" i="17"/>
  <c r="AH129" i="17"/>
  <c r="AH130" i="17"/>
  <c r="AH131" i="17"/>
  <c r="AH132" i="17"/>
  <c r="AH133" i="17"/>
  <c r="AH134" i="17"/>
  <c r="AH135" i="17"/>
  <c r="AH136" i="17"/>
  <c r="AH137" i="17"/>
  <c r="AH138" i="17"/>
  <c r="AH139" i="17"/>
  <c r="AH140" i="17"/>
  <c r="AH141" i="17"/>
  <c r="AH144" i="17"/>
  <c r="AH145" i="17"/>
  <c r="AH146" i="17"/>
  <c r="AH147" i="17"/>
  <c r="AH148" i="17"/>
  <c r="AH149" i="17"/>
  <c r="AH150" i="17"/>
  <c r="AH151" i="17"/>
  <c r="AH152" i="17"/>
  <c r="AH153" i="17"/>
  <c r="AH154" i="17"/>
  <c r="AH155" i="17"/>
  <c r="AH156" i="17"/>
  <c r="AH157" i="17"/>
  <c r="AH158" i="17"/>
  <c r="AH159" i="17"/>
  <c r="AH160" i="17"/>
  <c r="AH161" i="17"/>
  <c r="AH162" i="17"/>
  <c r="AH163" i="17"/>
  <c r="AH164" i="17"/>
  <c r="AH165" i="17"/>
  <c r="AH166" i="17"/>
  <c r="AH167" i="17"/>
  <c r="AH168" i="17"/>
  <c r="AH169" i="17"/>
  <c r="AH170" i="17"/>
  <c r="AH171" i="17"/>
  <c r="AH172" i="17"/>
  <c r="AH173" i="17"/>
  <c r="AH174" i="17"/>
  <c r="AH175" i="17"/>
  <c r="AH176" i="17"/>
  <c r="AH177" i="17"/>
  <c r="AH178" i="17"/>
  <c r="AH179" i="17"/>
  <c r="AH180" i="17"/>
  <c r="AH181" i="17"/>
  <c r="AH182" i="17"/>
  <c r="AH183" i="17"/>
  <c r="AH184" i="17"/>
  <c r="AH185" i="17"/>
  <c r="AH186" i="17"/>
  <c r="AH187" i="17"/>
  <c r="AH188" i="17"/>
  <c r="AH189" i="17"/>
  <c r="AH190" i="17"/>
  <c r="AH191" i="17"/>
  <c r="AH192" i="17"/>
  <c r="AH193" i="17"/>
  <c r="AH194" i="17"/>
  <c r="AH195" i="17"/>
  <c r="AH196" i="17"/>
  <c r="AH197" i="17"/>
  <c r="AH198" i="17"/>
  <c r="AH199" i="17"/>
  <c r="AH200" i="17"/>
  <c r="AH201" i="17"/>
  <c r="AH202" i="17"/>
  <c r="AH203" i="17"/>
  <c r="AH204" i="17"/>
  <c r="AH205" i="17"/>
  <c r="AH206" i="17"/>
  <c r="AH207" i="17"/>
  <c r="AH208" i="17"/>
  <c r="AH209" i="17"/>
  <c r="AH210" i="17"/>
  <c r="AH211" i="17"/>
  <c r="AH212" i="17"/>
  <c r="AH213" i="17"/>
  <c r="AH214" i="17"/>
  <c r="AH215" i="17"/>
  <c r="AH216" i="17"/>
  <c r="AH217" i="17"/>
  <c r="AH218" i="17"/>
  <c r="AH219" i="17"/>
  <c r="AH220" i="17"/>
  <c r="AH221" i="17"/>
  <c r="AH222" i="17"/>
  <c r="AH223" i="17"/>
  <c r="AH224" i="17"/>
  <c r="AH225" i="17"/>
  <c r="AH226" i="17"/>
  <c r="AH227" i="17"/>
  <c r="AH228" i="17"/>
  <c r="AH229" i="17"/>
  <c r="AH230" i="17"/>
  <c r="AH231" i="17"/>
  <c r="AH232" i="17"/>
  <c r="AH233" i="17"/>
  <c r="AH234" i="17"/>
  <c r="AH235" i="17"/>
  <c r="AH236" i="17"/>
  <c r="AH237" i="17"/>
  <c r="AH238" i="17"/>
  <c r="AH239" i="17"/>
  <c r="AH240" i="17"/>
  <c r="AH241" i="17"/>
  <c r="AH242" i="17"/>
  <c r="AH243" i="17"/>
  <c r="AH244" i="17"/>
  <c r="AH245" i="17"/>
  <c r="AH246" i="17"/>
  <c r="AH247" i="17"/>
  <c r="AH248" i="17"/>
  <c r="AH249" i="17"/>
  <c r="AH250" i="17"/>
  <c r="AH251" i="17"/>
  <c r="AH252" i="17"/>
  <c r="AH253" i="17"/>
  <c r="AH254" i="17"/>
  <c r="AH255" i="17"/>
  <c r="AH256" i="17"/>
  <c r="AH257" i="17"/>
  <c r="AH258" i="17"/>
  <c r="AH259" i="17"/>
  <c r="AH260" i="17"/>
  <c r="AH261" i="17"/>
  <c r="AH262" i="17"/>
  <c r="AH263" i="17"/>
  <c r="AH264" i="17"/>
  <c r="AH265" i="17"/>
  <c r="AH266" i="17"/>
  <c r="AH267" i="17"/>
  <c r="AH268" i="17"/>
  <c r="AH269" i="17"/>
  <c r="AH270" i="17"/>
  <c r="AH271" i="17"/>
  <c r="AH272" i="17"/>
  <c r="AH276" i="17"/>
  <c r="AH277" i="17"/>
  <c r="AH278" i="17"/>
  <c r="AH279" i="17"/>
  <c r="AH280" i="17"/>
  <c r="AH281" i="17"/>
  <c r="AH282" i="17"/>
  <c r="AH283" i="17"/>
  <c r="AH284" i="17"/>
  <c r="AH286" i="17"/>
  <c r="AH287" i="17"/>
  <c r="AH288" i="17"/>
  <c r="AH289" i="17"/>
  <c r="AH290" i="17"/>
  <c r="AH291" i="17"/>
  <c r="AH292" i="17"/>
  <c r="AH293" i="17"/>
  <c r="AH294" i="17"/>
  <c r="AH295" i="17"/>
  <c r="AH296" i="17"/>
  <c r="AH297" i="17"/>
  <c r="AH298" i="17"/>
  <c r="AH299" i="17"/>
  <c r="AH300" i="17"/>
  <c r="AH301" i="17"/>
  <c r="AH302" i="17"/>
  <c r="AH303" i="17"/>
  <c r="AH304" i="17"/>
  <c r="AH305" i="17"/>
  <c r="AH306" i="17"/>
  <c r="AH307" i="17"/>
  <c r="AH308" i="17"/>
  <c r="AH309" i="17"/>
  <c r="AH310" i="17"/>
  <c r="AH311" i="17"/>
  <c r="AH312" i="17"/>
  <c r="AH313" i="17"/>
  <c r="AH314" i="17"/>
  <c r="AH315" i="17"/>
  <c r="AH316" i="17"/>
  <c r="AH317" i="17"/>
  <c r="AH318" i="17"/>
  <c r="AH319" i="17"/>
  <c r="AH320" i="17"/>
  <c r="AH321" i="17"/>
  <c r="AH322" i="17"/>
  <c r="AH323" i="17"/>
  <c r="AH324" i="17"/>
  <c r="AH325" i="17"/>
  <c r="AH326" i="17"/>
  <c r="AH327" i="17"/>
  <c r="AH328" i="17"/>
  <c r="AH329" i="17"/>
  <c r="AH330" i="17"/>
  <c r="AH331" i="17"/>
  <c r="AH332" i="17"/>
  <c r="AH333" i="17"/>
  <c r="AH334" i="17"/>
  <c r="AH335" i="17"/>
  <c r="AH336" i="17"/>
  <c r="AH337" i="17"/>
  <c r="AH338" i="17"/>
  <c r="AH339" i="17"/>
  <c r="AH340" i="17"/>
  <c r="AH341" i="17"/>
  <c r="AH342" i="17"/>
  <c r="AH343" i="17"/>
  <c r="AH344" i="17"/>
  <c r="AH345" i="17"/>
  <c r="AH346" i="17"/>
  <c r="AH347" i="17"/>
  <c r="AH348" i="17"/>
  <c r="AH349" i="17"/>
  <c r="AH350" i="17"/>
  <c r="AH351" i="17"/>
  <c r="AH352" i="17"/>
  <c r="AH353" i="17"/>
  <c r="AH354" i="17"/>
  <c r="AH355" i="17"/>
  <c r="AH356" i="17"/>
  <c r="AH357" i="17"/>
  <c r="AH358" i="17"/>
  <c r="AH359" i="17"/>
  <c r="AH360" i="17"/>
  <c r="AH361" i="17"/>
  <c r="AH362" i="17"/>
  <c r="AH363" i="17"/>
  <c r="AH364" i="17"/>
  <c r="AH365" i="17"/>
  <c r="AH366" i="17"/>
  <c r="AH367" i="17"/>
  <c r="AH368" i="17"/>
  <c r="AH369" i="17"/>
  <c r="AH370" i="17"/>
  <c r="AH371" i="17"/>
  <c r="AH372" i="17"/>
  <c r="AH373" i="17"/>
  <c r="AH374" i="17"/>
  <c r="AH375" i="17"/>
  <c r="AH376" i="17"/>
  <c r="AH377" i="17"/>
  <c r="AH378" i="17"/>
  <c r="AH379" i="17"/>
  <c r="AH380" i="17"/>
  <c r="AH381" i="17"/>
  <c r="AH382" i="17"/>
  <c r="AH383" i="17"/>
  <c r="AH384" i="17"/>
  <c r="AH385" i="17"/>
  <c r="AH386" i="17"/>
  <c r="AH387" i="17"/>
  <c r="AH388" i="17"/>
  <c r="AH389" i="17"/>
  <c r="AH391" i="17"/>
  <c r="AH394" i="17"/>
  <c r="AH395" i="17"/>
  <c r="AH396" i="17"/>
  <c r="AH397" i="17"/>
  <c r="AH398" i="17"/>
  <c r="AH400" i="17"/>
  <c r="AH401" i="17"/>
  <c r="AH402" i="17"/>
  <c r="AH403" i="17"/>
  <c r="AH404" i="17"/>
  <c r="AH405" i="17"/>
  <c r="AH406" i="17"/>
  <c r="AH408" i="17"/>
  <c r="AH409" i="17"/>
  <c r="AH410" i="17"/>
  <c r="AH411" i="17"/>
  <c r="AH413" i="17"/>
  <c r="AH414" i="17"/>
  <c r="AH415" i="17"/>
  <c r="AH417" i="17"/>
  <c r="AH418" i="17"/>
  <c r="AH419" i="17"/>
  <c r="AH420" i="17"/>
  <c r="AH421" i="17"/>
  <c r="AH422" i="17"/>
  <c r="AH436" i="17"/>
  <c r="AH437" i="17"/>
  <c r="AH438" i="17"/>
  <c r="AH439" i="17"/>
  <c r="AH441" i="17"/>
  <c r="AH442" i="17"/>
  <c r="AH443" i="17"/>
  <c r="AH447" i="17"/>
  <c r="AH448" i="17"/>
  <c r="AG23" i="17"/>
  <c r="AG25" i="17"/>
  <c r="AG27" i="17"/>
  <c r="AG30" i="17"/>
  <c r="AG32" i="17"/>
  <c r="AG33" i="17"/>
  <c r="AG34" i="17"/>
  <c r="AG35" i="17"/>
  <c r="AG36" i="17"/>
  <c r="AG37" i="17"/>
  <c r="AG38" i="17"/>
  <c r="AG40" i="17"/>
  <c r="AG41" i="17"/>
  <c r="AG42" i="17"/>
  <c r="AG43" i="17"/>
  <c r="AG44" i="17"/>
  <c r="AG46" i="17"/>
  <c r="AG47" i="17"/>
  <c r="AG48" i="17"/>
  <c r="AG49" i="17"/>
  <c r="AG50" i="17"/>
  <c r="AG51" i="17"/>
  <c r="AG52" i="17"/>
  <c r="AG53" i="17"/>
  <c r="AG55" i="17"/>
  <c r="AG56" i="17"/>
  <c r="AG57" i="17"/>
  <c r="AG58" i="17"/>
  <c r="AG59" i="17"/>
  <c r="AG60" i="17"/>
  <c r="AG61" i="17"/>
  <c r="AG62" i="17"/>
  <c r="AG63" i="17"/>
  <c r="AG64" i="17"/>
  <c r="AG66" i="17"/>
  <c r="AG68" i="17"/>
  <c r="AG69" i="17"/>
  <c r="AG70" i="17"/>
  <c r="AG72" i="17"/>
  <c r="AG73" i="17"/>
  <c r="AG75" i="17"/>
  <c r="AG76" i="17"/>
  <c r="AG77" i="17"/>
  <c r="AG78" i="17"/>
  <c r="AG80" i="17"/>
  <c r="AG81" i="17"/>
  <c r="AG85" i="17"/>
  <c r="AG86" i="17"/>
  <c r="AG87" i="17"/>
  <c r="AG88" i="17"/>
  <c r="AG89" i="17"/>
  <c r="AG90" i="17"/>
  <c r="AG91" i="17"/>
  <c r="AG92" i="17"/>
  <c r="AG93" i="17"/>
  <c r="AG94" i="17"/>
  <c r="AG95" i="17"/>
  <c r="AG96" i="17"/>
  <c r="AG97" i="17"/>
  <c r="AG98" i="17"/>
  <c r="AG99" i="17"/>
  <c r="AG100" i="17"/>
  <c r="AG101" i="17"/>
  <c r="AG102" i="17"/>
  <c r="AG103" i="17"/>
  <c r="AG106" i="17"/>
  <c r="AG107" i="17"/>
  <c r="AG108" i="17"/>
  <c r="AG109" i="17"/>
  <c r="AG110" i="17"/>
  <c r="AG111" i="17"/>
  <c r="AG112" i="17"/>
  <c r="AG113" i="17"/>
  <c r="AG114" i="17"/>
  <c r="AG115" i="17"/>
  <c r="AG116" i="17"/>
  <c r="AG117" i="17"/>
  <c r="AG118" i="17"/>
  <c r="AG119" i="17"/>
  <c r="AG120" i="17"/>
  <c r="AG121" i="17"/>
  <c r="AG122" i="17"/>
  <c r="AG123" i="17"/>
  <c r="AG124" i="17"/>
  <c r="AG128" i="17"/>
  <c r="AG129" i="17"/>
  <c r="AG130" i="17"/>
  <c r="AG131" i="17"/>
  <c r="AG132" i="17"/>
  <c r="AG133" i="17"/>
  <c r="AG134" i="17"/>
  <c r="AG135" i="17"/>
  <c r="AG136" i="17"/>
  <c r="AG137" i="17"/>
  <c r="AG138" i="17"/>
  <c r="AG139" i="17"/>
  <c r="AG140" i="17"/>
  <c r="AG141" i="17"/>
  <c r="AG144" i="17"/>
  <c r="AG145" i="17"/>
  <c r="AG146" i="17"/>
  <c r="AG147" i="17"/>
  <c r="AG148" i="17"/>
  <c r="AG149" i="17"/>
  <c r="AG150" i="17"/>
  <c r="AG151" i="17"/>
  <c r="AG152" i="17"/>
  <c r="AG153" i="17"/>
  <c r="AG154" i="17"/>
  <c r="AG155" i="17"/>
  <c r="AG156" i="17"/>
  <c r="AG157" i="17"/>
  <c r="AG158" i="17"/>
  <c r="AG159" i="17"/>
  <c r="AG160" i="17"/>
  <c r="AG161" i="17"/>
  <c r="AG162" i="17"/>
  <c r="AG163" i="17"/>
  <c r="AG164" i="17"/>
  <c r="AG165" i="17"/>
  <c r="AG166" i="17"/>
  <c r="AG167" i="17"/>
  <c r="AG168" i="17"/>
  <c r="AG169" i="17"/>
  <c r="AG170" i="17"/>
  <c r="AG171" i="17"/>
  <c r="AG172" i="17"/>
  <c r="AG173" i="17"/>
  <c r="AG174" i="17"/>
  <c r="AG175" i="17"/>
  <c r="AG176" i="17"/>
  <c r="AG177" i="17"/>
  <c r="AG178" i="17"/>
  <c r="AG179" i="17"/>
  <c r="AG180" i="17"/>
  <c r="AG181" i="17"/>
  <c r="AG182" i="17"/>
  <c r="AG183" i="17"/>
  <c r="AG184" i="17"/>
  <c r="AG185" i="17"/>
  <c r="AG186" i="17"/>
  <c r="AG187" i="17"/>
  <c r="AG188" i="17"/>
  <c r="AG189" i="17"/>
  <c r="AG190" i="17"/>
  <c r="AG191" i="17"/>
  <c r="AG192" i="17"/>
  <c r="AG193" i="17"/>
  <c r="AG194" i="17"/>
  <c r="AG195" i="17"/>
  <c r="AG196" i="17"/>
  <c r="AG197" i="17"/>
  <c r="AG198" i="17"/>
  <c r="AG199" i="17"/>
  <c r="AG200" i="17"/>
  <c r="AG201" i="17"/>
  <c r="AG202" i="17"/>
  <c r="AG203" i="17"/>
  <c r="AG204" i="17"/>
  <c r="AG205" i="17"/>
  <c r="AG206" i="17"/>
  <c r="AG207" i="17"/>
  <c r="AG208" i="17"/>
  <c r="AG209" i="17"/>
  <c r="AG210" i="17"/>
  <c r="AG211" i="17"/>
  <c r="AG212" i="17"/>
  <c r="AG213" i="17"/>
  <c r="AG214" i="17"/>
  <c r="AG215" i="17"/>
  <c r="AG216" i="17"/>
  <c r="AG217" i="17"/>
  <c r="AG218" i="17"/>
  <c r="AG219" i="17"/>
  <c r="AG220" i="17"/>
  <c r="AG221" i="17"/>
  <c r="AG222" i="17"/>
  <c r="AG223" i="17"/>
  <c r="AG224" i="17"/>
  <c r="AG225" i="17"/>
  <c r="AG226" i="17"/>
  <c r="AG227" i="17"/>
  <c r="AG228" i="17"/>
  <c r="AG229" i="17"/>
  <c r="AG230" i="17"/>
  <c r="AG231" i="17"/>
  <c r="AG232" i="17"/>
  <c r="AG233" i="17"/>
  <c r="AG234" i="17"/>
  <c r="AG235" i="17"/>
  <c r="AG236" i="17"/>
  <c r="AG237" i="17"/>
  <c r="AG238" i="17"/>
  <c r="AG239" i="17"/>
  <c r="AG240" i="17"/>
  <c r="AG241" i="17"/>
  <c r="AG242" i="17"/>
  <c r="AG243" i="17"/>
  <c r="AG244" i="17"/>
  <c r="AG245" i="17"/>
  <c r="AG246" i="17"/>
  <c r="AG247" i="17"/>
  <c r="AG248" i="17"/>
  <c r="AG249" i="17"/>
  <c r="AG250" i="17"/>
  <c r="AG251" i="17"/>
  <c r="AG252" i="17"/>
  <c r="AG253" i="17"/>
  <c r="AG254" i="17"/>
  <c r="AG255" i="17"/>
  <c r="AG256" i="17"/>
  <c r="AG257" i="17"/>
  <c r="AG258" i="17"/>
  <c r="AG259" i="17"/>
  <c r="AG260" i="17"/>
  <c r="AG261" i="17"/>
  <c r="AG262" i="17"/>
  <c r="AG263" i="17"/>
  <c r="AG264" i="17"/>
  <c r="AG265" i="17"/>
  <c r="AG266" i="17"/>
  <c r="AG267" i="17"/>
  <c r="AG268" i="17"/>
  <c r="AG269" i="17"/>
  <c r="AG270" i="17"/>
  <c r="AG271" i="17"/>
  <c r="AG272" i="17"/>
  <c r="AG276" i="17"/>
  <c r="AG277" i="17"/>
  <c r="AG278" i="17"/>
  <c r="AG279" i="17"/>
  <c r="AG280" i="17"/>
  <c r="AG281" i="17"/>
  <c r="AG282" i="17"/>
  <c r="AG283" i="17"/>
  <c r="AG284" i="17"/>
  <c r="AG286" i="17"/>
  <c r="AG287" i="17"/>
  <c r="AG288" i="17"/>
  <c r="AG289" i="17"/>
  <c r="AG290" i="17"/>
  <c r="AG291" i="17"/>
  <c r="AG292" i="17"/>
  <c r="AG293" i="17"/>
  <c r="AG294" i="17"/>
  <c r="AG295" i="17"/>
  <c r="AG296" i="17"/>
  <c r="AG297" i="17"/>
  <c r="AG298" i="17"/>
  <c r="AG299" i="17"/>
  <c r="AG300" i="17"/>
  <c r="AG301" i="17"/>
  <c r="AG302" i="17"/>
  <c r="AG303" i="17"/>
  <c r="AG304" i="17"/>
  <c r="AG305" i="17"/>
  <c r="AG306" i="17"/>
  <c r="AG307" i="17"/>
  <c r="AG308" i="17"/>
  <c r="AG309" i="17"/>
  <c r="AG310" i="17"/>
  <c r="AG311" i="17"/>
  <c r="AG312" i="17"/>
  <c r="AG313" i="17"/>
  <c r="AG314" i="17"/>
  <c r="AG315" i="17"/>
  <c r="AG316" i="17"/>
  <c r="AG317" i="17"/>
  <c r="AG318" i="17"/>
  <c r="AG319" i="17"/>
  <c r="AG320" i="17"/>
  <c r="AG321" i="17"/>
  <c r="AG322" i="17"/>
  <c r="AG323" i="17"/>
  <c r="AG324" i="17"/>
  <c r="AG325" i="17"/>
  <c r="AG326" i="17"/>
  <c r="AG327" i="17"/>
  <c r="AG328" i="17"/>
  <c r="AG329" i="17"/>
  <c r="AG330" i="17"/>
  <c r="AG331" i="17"/>
  <c r="AG332" i="17"/>
  <c r="AG333" i="17"/>
  <c r="AG334" i="17"/>
  <c r="AG335" i="17"/>
  <c r="AG336" i="17"/>
  <c r="AG337" i="17"/>
  <c r="AG338" i="17"/>
  <c r="AG339" i="17"/>
  <c r="AG340" i="17"/>
  <c r="AG341" i="17"/>
  <c r="AG342" i="17"/>
  <c r="AG343" i="17"/>
  <c r="AG344" i="17"/>
  <c r="AG345" i="17"/>
  <c r="AG346" i="17"/>
  <c r="AG347" i="17"/>
  <c r="AG348" i="17"/>
  <c r="AG349" i="17"/>
  <c r="AG350" i="17"/>
  <c r="AG351" i="17"/>
  <c r="AG352" i="17"/>
  <c r="AG353" i="17"/>
  <c r="AG354" i="17"/>
  <c r="AG355" i="17"/>
  <c r="AG356" i="17"/>
  <c r="AG357" i="17"/>
  <c r="AG358" i="17"/>
  <c r="AG359" i="17"/>
  <c r="AG360" i="17"/>
  <c r="AG361" i="17"/>
  <c r="AG362" i="17"/>
  <c r="AG363" i="17"/>
  <c r="AG364" i="17"/>
  <c r="AG365" i="17"/>
  <c r="AG366" i="17"/>
  <c r="AG367" i="17"/>
  <c r="AG368" i="17"/>
  <c r="AG369" i="17"/>
  <c r="AG370" i="17"/>
  <c r="AG371" i="17"/>
  <c r="AG372" i="17"/>
  <c r="AG373" i="17"/>
  <c r="AG374" i="17"/>
  <c r="AG375" i="17"/>
  <c r="AG376" i="17"/>
  <c r="AG377" i="17"/>
  <c r="AG378" i="17"/>
  <c r="AG379" i="17"/>
  <c r="AG380" i="17"/>
  <c r="AG381" i="17"/>
  <c r="AG382" i="17"/>
  <c r="AG383" i="17"/>
  <c r="AG384" i="17"/>
  <c r="AG385" i="17"/>
  <c r="AG386" i="17"/>
  <c r="AG387" i="17"/>
  <c r="AG388" i="17"/>
  <c r="AG389" i="17"/>
  <c r="AG391" i="17"/>
  <c r="AG394" i="17"/>
  <c r="AG395" i="17"/>
  <c r="AG396" i="17"/>
  <c r="AG397" i="17"/>
  <c r="AG398" i="17"/>
  <c r="AG400" i="17"/>
  <c r="AG401" i="17"/>
  <c r="AG402" i="17"/>
  <c r="AG403" i="17"/>
  <c r="AG404" i="17"/>
  <c r="AG405" i="17"/>
  <c r="AG406" i="17"/>
  <c r="AG408" i="17"/>
  <c r="AG409" i="17"/>
  <c r="AG410" i="17"/>
  <c r="AG411" i="17"/>
  <c r="AG413" i="17"/>
  <c r="AG414" i="17"/>
  <c r="AG415" i="17"/>
  <c r="AG417" i="17"/>
  <c r="AG418" i="17"/>
  <c r="AG419" i="17"/>
  <c r="AG420" i="17"/>
  <c r="AG421" i="17"/>
  <c r="AG422" i="17"/>
  <c r="AG436" i="17"/>
  <c r="AG437" i="17"/>
  <c r="AG438" i="17"/>
  <c r="AG439" i="17"/>
  <c r="AG441" i="17"/>
  <c r="AG442" i="17"/>
  <c r="AG443" i="17"/>
  <c r="AG445" i="17"/>
  <c r="AG446" i="17"/>
  <c r="AG447" i="17"/>
  <c r="AG448" i="17"/>
  <c r="AG449" i="17"/>
  <c r="AF30" i="17"/>
  <c r="AF32" i="17"/>
  <c r="AF33" i="17"/>
  <c r="AF34" i="17"/>
  <c r="AF35" i="17"/>
  <c r="AF36" i="17"/>
  <c r="AF38" i="17"/>
  <c r="AF40" i="17"/>
  <c r="AF41" i="17"/>
  <c r="AF42" i="17"/>
  <c r="AF43" i="17"/>
  <c r="AF44" i="17"/>
  <c r="AF46" i="17"/>
  <c r="AF47" i="17"/>
  <c r="AF48" i="17"/>
  <c r="AF49" i="17"/>
  <c r="AF50" i="17"/>
  <c r="AF51" i="17"/>
  <c r="AF52" i="17"/>
  <c r="AF53" i="17"/>
  <c r="AF54" i="17"/>
  <c r="AF55" i="17"/>
  <c r="AF56" i="17"/>
  <c r="AF57" i="17"/>
  <c r="AF58" i="17"/>
  <c r="AF59" i="17"/>
  <c r="AF60" i="17"/>
  <c r="AF61" i="17"/>
  <c r="AF62" i="17"/>
  <c r="AF63" i="17"/>
  <c r="AF64" i="17"/>
  <c r="AF65" i="17"/>
  <c r="AF66" i="17"/>
  <c r="AF68" i="17"/>
  <c r="AF69" i="17"/>
  <c r="AF70" i="17"/>
  <c r="AF72" i="17"/>
  <c r="AF73" i="17"/>
  <c r="AF75" i="17"/>
  <c r="AF76" i="17"/>
  <c r="AF77" i="17"/>
  <c r="AF78" i="17"/>
  <c r="AF80" i="17"/>
  <c r="AF81" i="17"/>
  <c r="AF85" i="17"/>
  <c r="AF86" i="17"/>
  <c r="AF87" i="17"/>
  <c r="AF88" i="17"/>
  <c r="AF89" i="17"/>
  <c r="AF90" i="17"/>
  <c r="AF91" i="17"/>
  <c r="AF106" i="17"/>
  <c r="AF107" i="17"/>
  <c r="AF108" i="17"/>
  <c r="AF109" i="17"/>
  <c r="AF110" i="17"/>
  <c r="AF111" i="17"/>
  <c r="AF112" i="17"/>
  <c r="AF113" i="17"/>
  <c r="AF114" i="17"/>
  <c r="AF115" i="17"/>
  <c r="AF116" i="17"/>
  <c r="AF117" i="17"/>
  <c r="AF118" i="17"/>
  <c r="AF119" i="17"/>
  <c r="AF120" i="17"/>
  <c r="AF121" i="17"/>
  <c r="AF122" i="17"/>
  <c r="AF123" i="17"/>
  <c r="AF124" i="17"/>
  <c r="AF128" i="17"/>
  <c r="AF129" i="17"/>
  <c r="AF130" i="17"/>
  <c r="AF131" i="17"/>
  <c r="AF132" i="17"/>
  <c r="AF133" i="17"/>
  <c r="AF134" i="17"/>
  <c r="AF135" i="17"/>
  <c r="AF136" i="17"/>
  <c r="AF137" i="17"/>
  <c r="AF138" i="17"/>
  <c r="AF139" i="17"/>
  <c r="AF140" i="17"/>
  <c r="AF141" i="17"/>
  <c r="AF144" i="17"/>
  <c r="AF145" i="17"/>
  <c r="AF146" i="17"/>
  <c r="AF147" i="17"/>
  <c r="AF148" i="17"/>
  <c r="AF149" i="17"/>
  <c r="AF150" i="17"/>
  <c r="AF151" i="17"/>
  <c r="AF152" i="17"/>
  <c r="AF153" i="17"/>
  <c r="AF154" i="17"/>
  <c r="AF155" i="17"/>
  <c r="AF156" i="17"/>
  <c r="AF157" i="17"/>
  <c r="AF158" i="17"/>
  <c r="AF159" i="17"/>
  <c r="AF160" i="17"/>
  <c r="AF161" i="17"/>
  <c r="AF162" i="17"/>
  <c r="AF163" i="17"/>
  <c r="AF164" i="17"/>
  <c r="AF165" i="17"/>
  <c r="AF166" i="17"/>
  <c r="AF167" i="17"/>
  <c r="AF168" i="17"/>
  <c r="AF169" i="17"/>
  <c r="AF170" i="17"/>
  <c r="AF171" i="17"/>
  <c r="AF172" i="17"/>
  <c r="AF173" i="17"/>
  <c r="AF174" i="17"/>
  <c r="AF175" i="17"/>
  <c r="AF176" i="17"/>
  <c r="AF177" i="17"/>
  <c r="AF178" i="17"/>
  <c r="AF179" i="17"/>
  <c r="AF180" i="17"/>
  <c r="AF181" i="17"/>
  <c r="AF182" i="17"/>
  <c r="AF183" i="17"/>
  <c r="AF184" i="17"/>
  <c r="AF185" i="17"/>
  <c r="AF186" i="17"/>
  <c r="AF187" i="17"/>
  <c r="AF188" i="17"/>
  <c r="AF189" i="17"/>
  <c r="AF190" i="17"/>
  <c r="AF191" i="17"/>
  <c r="AF192" i="17"/>
  <c r="AF193" i="17"/>
  <c r="AF194" i="17"/>
  <c r="AF195" i="17"/>
  <c r="AF196" i="17"/>
  <c r="AF197" i="17"/>
  <c r="AF198" i="17"/>
  <c r="AF199" i="17"/>
  <c r="AF200" i="17"/>
  <c r="AF201" i="17"/>
  <c r="AF202" i="17"/>
  <c r="AF203" i="17"/>
  <c r="AF204" i="17"/>
  <c r="AF205" i="17"/>
  <c r="AF206" i="17"/>
  <c r="AF207" i="17"/>
  <c r="AF208" i="17"/>
  <c r="AF209" i="17"/>
  <c r="AF210" i="17"/>
  <c r="AF211" i="17"/>
  <c r="AF212" i="17"/>
  <c r="AF213" i="17"/>
  <c r="AF214" i="17"/>
  <c r="AF215" i="17"/>
  <c r="AF216" i="17"/>
  <c r="AF217" i="17"/>
  <c r="AF218" i="17"/>
  <c r="AF219" i="17"/>
  <c r="AF220" i="17"/>
  <c r="AF221" i="17"/>
  <c r="AF222" i="17"/>
  <c r="AF223" i="17"/>
  <c r="AF224" i="17"/>
  <c r="AF225" i="17"/>
  <c r="AF226" i="17"/>
  <c r="AF227" i="17"/>
  <c r="AF228" i="17"/>
  <c r="AF229" i="17"/>
  <c r="AF230" i="17"/>
  <c r="AF231" i="17"/>
  <c r="AF232" i="17"/>
  <c r="AF233" i="17"/>
  <c r="AF234" i="17"/>
  <c r="AF235" i="17"/>
  <c r="AF236" i="17"/>
  <c r="AF237" i="17"/>
  <c r="AF238" i="17"/>
  <c r="AF239" i="17"/>
  <c r="AF240" i="17"/>
  <c r="AF241" i="17"/>
  <c r="AF242" i="17"/>
  <c r="AF243" i="17"/>
  <c r="AF244" i="17"/>
  <c r="AF245" i="17"/>
  <c r="AF246" i="17"/>
  <c r="AF247" i="17"/>
  <c r="AF248" i="17"/>
  <c r="AF249" i="17"/>
  <c r="AF250" i="17"/>
  <c r="AF251" i="17"/>
  <c r="AF252" i="17"/>
  <c r="AF253" i="17"/>
  <c r="AF254" i="17"/>
  <c r="AF255" i="17"/>
  <c r="AF256" i="17"/>
  <c r="AF257" i="17"/>
  <c r="AF258" i="17"/>
  <c r="AF259" i="17"/>
  <c r="AF260" i="17"/>
  <c r="AF261" i="17"/>
  <c r="AF262" i="17"/>
  <c r="AF263" i="17"/>
  <c r="AF264" i="17"/>
  <c r="AF265" i="17"/>
  <c r="AF266" i="17"/>
  <c r="AF267" i="17"/>
  <c r="AF268" i="17"/>
  <c r="AF269" i="17"/>
  <c r="AF270" i="17"/>
  <c r="AF271" i="17"/>
  <c r="AF272" i="17"/>
  <c r="AF276" i="17"/>
  <c r="AF277" i="17"/>
  <c r="AF278" i="17"/>
  <c r="AF279" i="17"/>
  <c r="AF280" i="17"/>
  <c r="AF281" i="17"/>
  <c r="AF282" i="17"/>
  <c r="AF283" i="17"/>
  <c r="AF284" i="17"/>
  <c r="AF286" i="17"/>
  <c r="AF287" i="17"/>
  <c r="AF288" i="17"/>
  <c r="AF289" i="17"/>
  <c r="AF290" i="17"/>
  <c r="AF291" i="17"/>
  <c r="AF292" i="17"/>
  <c r="AF293" i="17"/>
  <c r="AF294" i="17"/>
  <c r="AF295" i="17"/>
  <c r="AF296" i="17"/>
  <c r="AF297" i="17"/>
  <c r="AF298" i="17"/>
  <c r="AF299" i="17"/>
  <c r="AF300" i="17"/>
  <c r="AF301" i="17"/>
  <c r="AF302" i="17"/>
  <c r="AF303" i="17"/>
  <c r="AF304" i="17"/>
  <c r="AF305" i="17"/>
  <c r="AF306" i="17"/>
  <c r="AF307" i="17"/>
  <c r="AF308" i="17"/>
  <c r="AF309" i="17"/>
  <c r="AF310" i="17"/>
  <c r="AF311" i="17"/>
  <c r="AF312" i="17"/>
  <c r="AF313" i="17"/>
  <c r="AF314" i="17"/>
  <c r="AF315" i="17"/>
  <c r="AF316" i="17"/>
  <c r="AF317" i="17"/>
  <c r="AF318" i="17"/>
  <c r="AF319" i="17"/>
  <c r="AF320" i="17"/>
  <c r="AF321" i="17"/>
  <c r="AF322" i="17"/>
  <c r="AF323" i="17"/>
  <c r="AF324" i="17"/>
  <c r="AF325" i="17"/>
  <c r="AF326" i="17"/>
  <c r="AF327" i="17"/>
  <c r="AF328" i="17"/>
  <c r="AF329" i="17"/>
  <c r="AF330" i="17"/>
  <c r="AF331" i="17"/>
  <c r="AF332" i="17"/>
  <c r="AF333" i="17"/>
  <c r="AF334" i="17"/>
  <c r="AF335" i="17"/>
  <c r="AF336" i="17"/>
  <c r="AF337" i="17"/>
  <c r="AF338" i="17"/>
  <c r="AF339" i="17"/>
  <c r="AF340" i="17"/>
  <c r="AF341" i="17"/>
  <c r="AF342" i="17"/>
  <c r="AF343" i="17"/>
  <c r="AF344" i="17"/>
  <c r="AF345" i="17"/>
  <c r="AF346" i="17"/>
  <c r="AF347" i="17"/>
  <c r="AF348" i="17"/>
  <c r="AF349" i="17"/>
  <c r="AF350" i="17"/>
  <c r="AF351" i="17"/>
  <c r="AF352" i="17"/>
  <c r="AF353" i="17"/>
  <c r="AF354" i="17"/>
  <c r="AF355" i="17"/>
  <c r="AF356" i="17"/>
  <c r="AF357" i="17"/>
  <c r="AF358" i="17"/>
  <c r="AF359" i="17"/>
  <c r="AF360" i="17"/>
  <c r="AF361" i="17"/>
  <c r="AF362" i="17"/>
  <c r="AF363" i="17"/>
  <c r="AF364" i="17"/>
  <c r="AF365" i="17"/>
  <c r="AF366" i="17"/>
  <c r="AF367" i="17"/>
  <c r="AF368" i="17"/>
  <c r="AF369" i="17"/>
  <c r="AF370" i="17"/>
  <c r="AF371" i="17"/>
  <c r="AF372" i="17"/>
  <c r="AF373" i="17"/>
  <c r="AF374" i="17"/>
  <c r="AF375" i="17"/>
  <c r="AF376" i="17"/>
  <c r="AF377" i="17"/>
  <c r="AF378" i="17"/>
  <c r="AF379" i="17"/>
  <c r="AF380" i="17"/>
  <c r="AF381" i="17"/>
  <c r="AF382" i="17"/>
  <c r="AF383" i="17"/>
  <c r="AF384" i="17"/>
  <c r="AF385" i="17"/>
  <c r="AF386" i="17"/>
  <c r="AF387" i="17"/>
  <c r="AF388" i="17"/>
  <c r="AF389" i="17"/>
  <c r="AF391" i="17"/>
  <c r="AF393" i="17"/>
  <c r="AF394" i="17"/>
  <c r="AF395" i="17"/>
  <c r="AF396" i="17"/>
  <c r="AF397" i="17"/>
  <c r="AF398" i="17"/>
  <c r="AF400" i="17"/>
  <c r="AF401" i="17"/>
  <c r="AF402" i="17"/>
  <c r="AF403" i="17"/>
  <c r="AF404" i="17"/>
  <c r="AF405" i="17"/>
  <c r="AF406" i="17"/>
  <c r="AF407" i="17"/>
  <c r="AF411" i="17"/>
  <c r="AF413" i="17"/>
  <c r="AF414" i="17"/>
  <c r="AF415" i="17"/>
  <c r="AF416" i="17"/>
  <c r="AF417" i="17"/>
  <c r="AF418" i="17"/>
  <c r="AF419" i="17"/>
  <c r="AF420" i="17"/>
  <c r="AF421" i="17"/>
  <c r="AF422" i="17"/>
  <c r="AF423" i="17"/>
  <c r="AF424" i="17"/>
  <c r="AF426" i="17"/>
  <c r="AF427" i="17"/>
  <c r="AF428" i="17"/>
  <c r="AF429" i="17"/>
  <c r="AF430" i="17"/>
  <c r="AF431" i="17"/>
  <c r="AF432" i="17"/>
  <c r="AF433" i="17"/>
  <c r="AF434" i="17"/>
  <c r="AF435" i="17"/>
  <c r="AF436" i="17"/>
  <c r="AF437" i="17"/>
  <c r="AF438" i="17"/>
  <c r="AF439" i="17"/>
  <c r="AF441" i="17"/>
  <c r="AF442" i="17"/>
  <c r="AF445" i="17"/>
  <c r="AF446" i="17"/>
  <c r="AF447" i="17"/>
  <c r="AF448" i="17"/>
  <c r="AF449" i="17"/>
  <c r="AE30" i="17"/>
  <c r="AE38" i="17"/>
  <c r="AE124" i="17"/>
  <c r="P127" i="17"/>
  <c r="Q127" i="17"/>
  <c r="R127" i="17"/>
  <c r="P105" i="17"/>
  <c r="P104" i="17" s="1"/>
  <c r="Q105" i="17"/>
  <c r="Q104" i="17" s="1"/>
  <c r="R105" i="17"/>
  <c r="R104" i="17" s="1"/>
  <c r="K39" i="17"/>
  <c r="L39" i="17"/>
  <c r="M39" i="17"/>
  <c r="N39" i="17"/>
  <c r="J31" i="17"/>
  <c r="I27" i="17"/>
  <c r="I30" i="17"/>
  <c r="I32" i="17"/>
  <c r="I33" i="17"/>
  <c r="I34" i="17"/>
  <c r="I35" i="17"/>
  <c r="I36" i="17"/>
  <c r="I37" i="17"/>
  <c r="I38" i="17"/>
  <c r="I40" i="17"/>
  <c r="I41" i="17"/>
  <c r="I42" i="17"/>
  <c r="I43" i="17"/>
  <c r="I44" i="17"/>
  <c r="I46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101" i="17"/>
  <c r="I102" i="17"/>
  <c r="I103" i="17"/>
  <c r="I106" i="17"/>
  <c r="I107" i="17"/>
  <c r="I108" i="17"/>
  <c r="I109" i="17"/>
  <c r="I110" i="17"/>
  <c r="I111" i="17"/>
  <c r="I112" i="17"/>
  <c r="I113" i="17"/>
  <c r="I114" i="17"/>
  <c r="I115" i="17"/>
  <c r="I116" i="17"/>
  <c r="I117" i="17"/>
  <c r="I118" i="17"/>
  <c r="I119" i="17"/>
  <c r="I120" i="17"/>
  <c r="I121" i="17"/>
  <c r="I122" i="17"/>
  <c r="I123" i="17"/>
  <c r="I124" i="17"/>
  <c r="I128" i="17"/>
  <c r="I129" i="17"/>
  <c r="I130" i="17"/>
  <c r="I131" i="17"/>
  <c r="I132" i="17"/>
  <c r="I133" i="17"/>
  <c r="I134" i="17"/>
  <c r="I135" i="17"/>
  <c r="I136" i="17"/>
  <c r="I137" i="17"/>
  <c r="I138" i="17"/>
  <c r="I139" i="17"/>
  <c r="I140" i="17"/>
  <c r="I141" i="17"/>
  <c r="I142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5" i="17"/>
  <c r="I376" i="17"/>
  <c r="I377" i="17"/>
  <c r="I378" i="17"/>
  <c r="I379" i="17"/>
  <c r="I380" i="17"/>
  <c r="I381" i="17"/>
  <c r="I382" i="17"/>
  <c r="I383" i="17"/>
  <c r="I384" i="17"/>
  <c r="I385" i="17"/>
  <c r="I386" i="17"/>
  <c r="I387" i="17"/>
  <c r="I388" i="17"/>
  <c r="I389" i="17"/>
  <c r="I391" i="17"/>
  <c r="I393" i="17"/>
  <c r="I394" i="17"/>
  <c r="I395" i="17"/>
  <c r="I396" i="17"/>
  <c r="I397" i="17"/>
  <c r="I398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5" i="17"/>
  <c r="I436" i="17"/>
  <c r="I437" i="17"/>
  <c r="I438" i="17"/>
  <c r="I439" i="17"/>
  <c r="I441" i="17"/>
  <c r="I442" i="17"/>
  <c r="I443" i="17"/>
  <c r="I445" i="17"/>
  <c r="I446" i="17"/>
  <c r="I447" i="17"/>
  <c r="I448" i="17"/>
  <c r="I449" i="17"/>
  <c r="H23" i="17"/>
  <c r="H25" i="17"/>
  <c r="H27" i="17"/>
  <c r="H30" i="17"/>
  <c r="H32" i="17"/>
  <c r="H33" i="17"/>
  <c r="H34" i="17"/>
  <c r="H35" i="17"/>
  <c r="H36" i="17"/>
  <c r="H37" i="17"/>
  <c r="H38" i="17"/>
  <c r="H40" i="17"/>
  <c r="H44" i="17"/>
  <c r="H46" i="17"/>
  <c r="H47" i="17"/>
  <c r="H49" i="17"/>
  <c r="H50" i="17"/>
  <c r="H51" i="17"/>
  <c r="H52" i="17"/>
  <c r="H53" i="17"/>
  <c r="H55" i="17"/>
  <c r="H56" i="17"/>
  <c r="H57" i="17"/>
  <c r="H58" i="17"/>
  <c r="H59" i="17"/>
  <c r="H60" i="17"/>
  <c r="H61" i="17"/>
  <c r="H62" i="17"/>
  <c r="H63" i="17"/>
  <c r="H64" i="17"/>
  <c r="H66" i="17"/>
  <c r="H68" i="17"/>
  <c r="H69" i="17"/>
  <c r="H70" i="17"/>
  <c r="H72" i="17"/>
  <c r="H73" i="17"/>
  <c r="H75" i="17"/>
  <c r="H76" i="17"/>
  <c r="H77" i="17"/>
  <c r="H80" i="17"/>
  <c r="H81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2" i="17"/>
  <c r="H103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8" i="17"/>
  <c r="H129" i="17"/>
  <c r="H130" i="17"/>
  <c r="H131" i="17"/>
  <c r="H132" i="17"/>
  <c r="H133" i="17"/>
  <c r="H134" i="17"/>
  <c r="H135" i="17"/>
  <c r="H136" i="17"/>
  <c r="H137" i="17"/>
  <c r="H138" i="17"/>
  <c r="H139" i="17"/>
  <c r="H140" i="17"/>
  <c r="H141" i="17"/>
  <c r="H142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3" i="17"/>
  <c r="H375" i="17"/>
  <c r="H376" i="17"/>
  <c r="H377" i="17"/>
  <c r="H378" i="17"/>
  <c r="H379" i="17"/>
  <c r="H380" i="17"/>
  <c r="H381" i="17"/>
  <c r="H382" i="17"/>
  <c r="H383" i="17"/>
  <c r="H384" i="17"/>
  <c r="H385" i="17"/>
  <c r="H386" i="17"/>
  <c r="H387" i="17"/>
  <c r="H388" i="17"/>
  <c r="H389" i="17"/>
  <c r="H391" i="17"/>
  <c r="H393" i="17"/>
  <c r="H394" i="17"/>
  <c r="H395" i="17"/>
  <c r="H396" i="17"/>
  <c r="H397" i="17"/>
  <c r="H398" i="17"/>
  <c r="H400" i="17"/>
  <c r="H401" i="17"/>
  <c r="H402" i="17"/>
  <c r="H403" i="17"/>
  <c r="H404" i="17"/>
  <c r="H405" i="17"/>
  <c r="H406" i="17"/>
  <c r="H407" i="17"/>
  <c r="H408" i="17"/>
  <c r="H409" i="17"/>
  <c r="H410" i="17"/>
  <c r="H411" i="17"/>
  <c r="H412" i="17"/>
  <c r="H413" i="17"/>
  <c r="H414" i="17"/>
  <c r="H415" i="17"/>
  <c r="H416" i="17"/>
  <c r="H417" i="17"/>
  <c r="H418" i="17"/>
  <c r="H419" i="17"/>
  <c r="H420" i="17"/>
  <c r="H421" i="17"/>
  <c r="H422" i="17"/>
  <c r="H423" i="17"/>
  <c r="H424" i="17"/>
  <c r="H425" i="17"/>
  <c r="H426" i="17"/>
  <c r="H427" i="17"/>
  <c r="H428" i="17"/>
  <c r="H429" i="17"/>
  <c r="H430" i="17"/>
  <c r="H431" i="17"/>
  <c r="H432" i="17"/>
  <c r="H433" i="17"/>
  <c r="H434" i="17"/>
  <c r="H435" i="17"/>
  <c r="H436" i="17"/>
  <c r="H437" i="17"/>
  <c r="H438" i="17"/>
  <c r="H439" i="17"/>
  <c r="H441" i="17"/>
  <c r="H442" i="17"/>
  <c r="H443" i="17"/>
  <c r="H447" i="17"/>
  <c r="H448" i="17"/>
  <c r="H449" i="17"/>
  <c r="G23" i="17"/>
  <c r="G25" i="17"/>
  <c r="G27" i="17"/>
  <c r="G30" i="17"/>
  <c r="G32" i="17"/>
  <c r="G33" i="17"/>
  <c r="G34" i="17"/>
  <c r="G35" i="17"/>
  <c r="G36" i="17"/>
  <c r="G37" i="17"/>
  <c r="G38" i="17"/>
  <c r="G40" i="17"/>
  <c r="G44" i="17"/>
  <c r="G46" i="17"/>
  <c r="G47" i="17"/>
  <c r="G49" i="17"/>
  <c r="G50" i="17"/>
  <c r="G52" i="17"/>
  <c r="G53" i="17"/>
  <c r="G55" i="17"/>
  <c r="G57" i="17"/>
  <c r="G58" i="17"/>
  <c r="G59" i="17"/>
  <c r="G60" i="17"/>
  <c r="G69" i="17"/>
  <c r="G70" i="17"/>
  <c r="G73" i="17"/>
  <c r="G75" i="17"/>
  <c r="G76" i="17"/>
  <c r="G77" i="17"/>
  <c r="G80" i="17"/>
  <c r="G81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7" i="17"/>
  <c r="G98" i="17"/>
  <c r="G99" i="17"/>
  <c r="G100" i="17"/>
  <c r="G101" i="17"/>
  <c r="G102" i="17"/>
  <c r="G103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19" i="17"/>
  <c r="G120" i="17"/>
  <c r="G121" i="17"/>
  <c r="G122" i="17"/>
  <c r="G123" i="17"/>
  <c r="G124" i="17"/>
  <c r="G128" i="17"/>
  <c r="G129" i="17"/>
  <c r="G130" i="17"/>
  <c r="G131" i="17"/>
  <c r="G132" i="17"/>
  <c r="G133" i="17"/>
  <c r="G134" i="17"/>
  <c r="G135" i="17"/>
  <c r="G136" i="17"/>
  <c r="G137" i="17"/>
  <c r="G138" i="17"/>
  <c r="G139" i="17"/>
  <c r="G140" i="17"/>
  <c r="G141" i="17"/>
  <c r="G142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57" i="17"/>
  <c r="G158" i="17"/>
  <c r="G159" i="17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G177" i="17"/>
  <c r="G178" i="17"/>
  <c r="G179" i="17"/>
  <c r="G180" i="17"/>
  <c r="G181" i="17"/>
  <c r="G182" i="17"/>
  <c r="G183" i="17"/>
  <c r="G184" i="17"/>
  <c r="G185" i="17"/>
  <c r="G186" i="17"/>
  <c r="G187" i="17"/>
  <c r="G188" i="17"/>
  <c r="G189" i="17"/>
  <c r="G190" i="17"/>
  <c r="G191" i="17"/>
  <c r="G192" i="17"/>
  <c r="G193" i="17"/>
  <c r="G194" i="17"/>
  <c r="G195" i="17"/>
  <c r="G196" i="17"/>
  <c r="G197" i="17"/>
  <c r="G198" i="17"/>
  <c r="G199" i="17"/>
  <c r="G200" i="17"/>
  <c r="G201" i="17"/>
  <c r="G202" i="17"/>
  <c r="G203" i="17"/>
  <c r="G204" i="17"/>
  <c r="G205" i="17"/>
  <c r="G206" i="17"/>
  <c r="G207" i="17"/>
  <c r="G208" i="17"/>
  <c r="G209" i="17"/>
  <c r="G210" i="17"/>
  <c r="G211" i="17"/>
  <c r="G212" i="17"/>
  <c r="G213" i="17"/>
  <c r="G214" i="17"/>
  <c r="G215" i="17"/>
  <c r="G216" i="17"/>
  <c r="G217" i="17"/>
  <c r="G218" i="17"/>
  <c r="G219" i="17"/>
  <c r="G220" i="17"/>
  <c r="G221" i="17"/>
  <c r="G222" i="17"/>
  <c r="G223" i="17"/>
  <c r="G224" i="17"/>
  <c r="G225" i="17"/>
  <c r="G226" i="17"/>
  <c r="G227" i="17"/>
  <c r="G228" i="17"/>
  <c r="G229" i="17"/>
  <c r="G230" i="17"/>
  <c r="G231" i="17"/>
  <c r="G232" i="17"/>
  <c r="G233" i="17"/>
  <c r="G234" i="17"/>
  <c r="G235" i="17"/>
  <c r="G236" i="17"/>
  <c r="G237" i="17"/>
  <c r="G238" i="17"/>
  <c r="G239" i="17"/>
  <c r="G240" i="17"/>
  <c r="G241" i="17"/>
  <c r="G242" i="17"/>
  <c r="G243" i="17"/>
  <c r="G244" i="17"/>
  <c r="G245" i="17"/>
  <c r="G246" i="17"/>
  <c r="G247" i="17"/>
  <c r="G248" i="17"/>
  <c r="G249" i="17"/>
  <c r="G250" i="17"/>
  <c r="G251" i="17"/>
  <c r="G252" i="17"/>
  <c r="G253" i="17"/>
  <c r="G254" i="17"/>
  <c r="G255" i="17"/>
  <c r="G256" i="17"/>
  <c r="G257" i="17"/>
  <c r="G258" i="17"/>
  <c r="G259" i="17"/>
  <c r="G260" i="17"/>
  <c r="G261" i="17"/>
  <c r="G262" i="17"/>
  <c r="G263" i="17"/>
  <c r="G264" i="17"/>
  <c r="G265" i="17"/>
  <c r="G266" i="17"/>
  <c r="G267" i="17"/>
  <c r="G268" i="17"/>
  <c r="G269" i="17"/>
  <c r="G270" i="17"/>
  <c r="G271" i="17"/>
  <c r="G272" i="17"/>
  <c r="G273" i="17"/>
  <c r="G277" i="17"/>
  <c r="G278" i="17"/>
  <c r="G279" i="17"/>
  <c r="G280" i="17"/>
  <c r="G281" i="17"/>
  <c r="G282" i="17"/>
  <c r="G283" i="17"/>
  <c r="G284" i="17"/>
  <c r="G285" i="17"/>
  <c r="G286" i="17"/>
  <c r="G287" i="17"/>
  <c r="G288" i="17"/>
  <c r="G289" i="17"/>
  <c r="G290" i="17"/>
  <c r="G291" i="17"/>
  <c r="G292" i="17"/>
  <c r="G293" i="17"/>
  <c r="G294" i="17"/>
  <c r="G295" i="17"/>
  <c r="G296" i="17"/>
  <c r="G297" i="17"/>
  <c r="G298" i="17"/>
  <c r="G299" i="17"/>
  <c r="G300" i="17"/>
  <c r="G301" i="17"/>
  <c r="G302" i="17"/>
  <c r="G303" i="17"/>
  <c r="G304" i="17"/>
  <c r="G305" i="17"/>
  <c r="G306" i="17"/>
  <c r="G307" i="17"/>
  <c r="G311" i="17"/>
  <c r="G312" i="17"/>
  <c r="G313" i="17"/>
  <c r="G314" i="17"/>
  <c r="G315" i="17"/>
  <c r="G316" i="17"/>
  <c r="G317" i="17"/>
  <c r="G318" i="17"/>
  <c r="G319" i="17"/>
  <c r="G320" i="17"/>
  <c r="G321" i="17"/>
  <c r="G322" i="17"/>
  <c r="G323" i="17"/>
  <c r="G324" i="17"/>
  <c r="G325" i="17"/>
  <c r="G326" i="17"/>
  <c r="G327" i="17"/>
  <c r="G328" i="17"/>
  <c r="G329" i="17"/>
  <c r="G330" i="17"/>
  <c r="G331" i="17"/>
  <c r="G332" i="17"/>
  <c r="G333" i="17"/>
  <c r="G334" i="17"/>
  <c r="G335" i="17"/>
  <c r="G336" i="17"/>
  <c r="G337" i="17"/>
  <c r="G338" i="17"/>
  <c r="G339" i="17"/>
  <c r="G340" i="17"/>
  <c r="G341" i="17"/>
  <c r="G342" i="17"/>
  <c r="G343" i="17"/>
  <c r="G344" i="17"/>
  <c r="G345" i="17"/>
  <c r="G346" i="17"/>
  <c r="G347" i="17"/>
  <c r="G348" i="17"/>
  <c r="G349" i="17"/>
  <c r="G350" i="17"/>
  <c r="G351" i="17"/>
  <c r="G352" i="17"/>
  <c r="G353" i="17"/>
  <c r="G354" i="17"/>
  <c r="G355" i="17"/>
  <c r="G356" i="17"/>
  <c r="G357" i="17"/>
  <c r="G358" i="17"/>
  <c r="G359" i="17"/>
  <c r="G360" i="17"/>
  <c r="G361" i="17"/>
  <c r="G362" i="17"/>
  <c r="G363" i="17"/>
  <c r="G367" i="17"/>
  <c r="G368" i="17"/>
  <c r="G369" i="17"/>
  <c r="G370" i="17"/>
  <c r="G371" i="17"/>
  <c r="G372" i="17"/>
  <c r="G373" i="17"/>
  <c r="G375" i="17"/>
  <c r="G376" i="17"/>
  <c r="G377" i="17"/>
  <c r="G378" i="17"/>
  <c r="G379" i="17"/>
  <c r="G380" i="17"/>
  <c r="G381" i="17"/>
  <c r="G382" i="17"/>
  <c r="G383" i="17"/>
  <c r="G384" i="17"/>
  <c r="G385" i="17"/>
  <c r="G386" i="17"/>
  <c r="G387" i="17"/>
  <c r="G388" i="17"/>
  <c r="G389" i="17"/>
  <c r="G391" i="17"/>
  <c r="G393" i="17"/>
  <c r="G394" i="17"/>
  <c r="G395" i="17"/>
  <c r="G396" i="17"/>
  <c r="G397" i="17"/>
  <c r="G398" i="17"/>
  <c r="G400" i="17"/>
  <c r="G401" i="17"/>
  <c r="G402" i="17"/>
  <c r="G403" i="17"/>
  <c r="G404" i="17"/>
  <c r="G405" i="17"/>
  <c r="G406" i="17"/>
  <c r="G407" i="17"/>
  <c r="G408" i="17"/>
  <c r="G409" i="17"/>
  <c r="G410" i="17"/>
  <c r="G411" i="17"/>
  <c r="G412" i="17"/>
  <c r="G413" i="17"/>
  <c r="G414" i="17"/>
  <c r="G415" i="17"/>
  <c r="G416" i="17"/>
  <c r="G417" i="17"/>
  <c r="G418" i="17"/>
  <c r="G419" i="17"/>
  <c r="G420" i="17"/>
  <c r="G421" i="17"/>
  <c r="G422" i="17"/>
  <c r="G423" i="17"/>
  <c r="G424" i="17"/>
  <c r="G425" i="17"/>
  <c r="G426" i="17"/>
  <c r="G427" i="17"/>
  <c r="G434" i="17"/>
  <c r="G435" i="17"/>
  <c r="G436" i="17"/>
  <c r="G437" i="17"/>
  <c r="G438" i="17"/>
  <c r="G439" i="17"/>
  <c r="G441" i="17"/>
  <c r="G442" i="17"/>
  <c r="G443" i="17"/>
  <c r="G445" i="17"/>
  <c r="G446" i="17"/>
  <c r="G447" i="17"/>
  <c r="G448" i="17"/>
  <c r="G449" i="17"/>
  <c r="F30" i="17"/>
  <c r="F32" i="17"/>
  <c r="F33" i="17"/>
  <c r="F34" i="17"/>
  <c r="F35" i="17"/>
  <c r="F36" i="17"/>
  <c r="F38" i="17"/>
  <c r="F40" i="17"/>
  <c r="F46" i="17"/>
  <c r="F47" i="17"/>
  <c r="F48" i="17"/>
  <c r="F49" i="17"/>
  <c r="F50" i="17"/>
  <c r="F52" i="17"/>
  <c r="F53" i="17"/>
  <c r="F54" i="17"/>
  <c r="F55" i="17"/>
  <c r="F57" i="17"/>
  <c r="F58" i="17"/>
  <c r="F59" i="17"/>
  <c r="F60" i="17"/>
  <c r="F62" i="17"/>
  <c r="F63" i="17"/>
  <c r="F64" i="17"/>
  <c r="F65" i="17"/>
  <c r="F66" i="17"/>
  <c r="F71" i="17"/>
  <c r="F72" i="17"/>
  <c r="F74" i="17"/>
  <c r="F78" i="17"/>
  <c r="F82" i="17"/>
  <c r="F85" i="17"/>
  <c r="F86" i="17"/>
  <c r="F88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19" i="17"/>
  <c r="F120" i="17"/>
  <c r="F121" i="17"/>
  <c r="F122" i="17"/>
  <c r="F123" i="17"/>
  <c r="F124" i="17"/>
  <c r="F128" i="17"/>
  <c r="F129" i="17"/>
  <c r="F130" i="17"/>
  <c r="F131" i="17"/>
  <c r="F132" i="17"/>
  <c r="F133" i="17"/>
  <c r="F134" i="17"/>
  <c r="F135" i="17"/>
  <c r="F136" i="17"/>
  <c r="F137" i="17"/>
  <c r="F138" i="17"/>
  <c r="F139" i="17"/>
  <c r="F140" i="17"/>
  <c r="F141" i="17"/>
  <c r="F142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47" i="17"/>
  <c r="F348" i="17"/>
  <c r="F349" i="17"/>
  <c r="F350" i="17"/>
  <c r="F351" i="17"/>
  <c r="F352" i="17"/>
  <c r="F353" i="17"/>
  <c r="F354" i="17"/>
  <c r="F355" i="17"/>
  <c r="F356" i="17"/>
  <c r="F357" i="17"/>
  <c r="F358" i="17"/>
  <c r="F359" i="17"/>
  <c r="F360" i="17"/>
  <c r="F361" i="17"/>
  <c r="F362" i="17"/>
  <c r="F363" i="17"/>
  <c r="F364" i="17"/>
  <c r="F365" i="17"/>
  <c r="F366" i="17"/>
  <c r="F367" i="17"/>
  <c r="F368" i="17"/>
  <c r="F369" i="17"/>
  <c r="F370" i="17"/>
  <c r="F371" i="17"/>
  <c r="F372" i="17"/>
  <c r="F373" i="17"/>
  <c r="F375" i="17"/>
  <c r="F376" i="17"/>
  <c r="F377" i="17"/>
  <c r="F378" i="17"/>
  <c r="F379" i="17"/>
  <c r="F380" i="17"/>
  <c r="F381" i="17"/>
  <c r="F382" i="17"/>
  <c r="F383" i="17"/>
  <c r="F384" i="17"/>
  <c r="F385" i="17"/>
  <c r="F386" i="17"/>
  <c r="F387" i="17"/>
  <c r="F388" i="17"/>
  <c r="F389" i="17"/>
  <c r="F391" i="17"/>
  <c r="F394" i="17"/>
  <c r="F396" i="17"/>
  <c r="F397" i="17"/>
  <c r="F398" i="17"/>
  <c r="F400" i="17"/>
  <c r="F401" i="17"/>
  <c r="F402" i="17"/>
  <c r="F403" i="17"/>
  <c r="F404" i="17"/>
  <c r="F405" i="17"/>
  <c r="F406" i="17"/>
  <c r="F407" i="17"/>
  <c r="F408" i="17"/>
  <c r="F409" i="17"/>
  <c r="F410" i="17"/>
  <c r="F411" i="17"/>
  <c r="F412" i="17"/>
  <c r="F413" i="17"/>
  <c r="F414" i="17"/>
  <c r="F415" i="17"/>
  <c r="F416" i="17"/>
  <c r="F417" i="17"/>
  <c r="F418" i="17"/>
  <c r="F419" i="17"/>
  <c r="F420" i="17"/>
  <c r="F421" i="17"/>
  <c r="F422" i="17"/>
  <c r="F423" i="17"/>
  <c r="F424" i="17"/>
  <c r="F425" i="17"/>
  <c r="F426" i="17"/>
  <c r="F427" i="17"/>
  <c r="F428" i="17"/>
  <c r="F429" i="17"/>
  <c r="F430" i="17"/>
  <c r="F431" i="17"/>
  <c r="F432" i="17"/>
  <c r="F433" i="17"/>
  <c r="F434" i="17"/>
  <c r="F435" i="17"/>
  <c r="F436" i="17"/>
  <c r="F437" i="17"/>
  <c r="F438" i="17"/>
  <c r="F439" i="17"/>
  <c r="F441" i="17"/>
  <c r="F442" i="17"/>
  <c r="F445" i="17"/>
  <c r="F446" i="17"/>
  <c r="F447" i="17"/>
  <c r="F448" i="17"/>
  <c r="F449" i="17"/>
  <c r="E124" i="17"/>
  <c r="E38" i="17"/>
  <c r="E30" i="17"/>
  <c r="I275" i="17" l="1"/>
  <c r="F275" i="17"/>
  <c r="H275" i="17"/>
  <c r="L29" i="17"/>
  <c r="AV104" i="17"/>
  <c r="AX274" i="17"/>
  <c r="AR104" i="17"/>
  <c r="M29" i="17"/>
  <c r="K29" i="17"/>
  <c r="N29" i="17"/>
  <c r="D127" i="17" l="1"/>
  <c r="D105" i="17"/>
  <c r="D104" i="17" s="1"/>
  <c r="D39" i="17"/>
  <c r="S39" i="17" l="1"/>
  <c r="Z91" i="17" l="1"/>
  <c r="Z90" i="17"/>
  <c r="Z89" i="17"/>
  <c r="Z87" i="17"/>
  <c r="Z80" i="17"/>
  <c r="Y80" i="17" s="1"/>
  <c r="AB446" i="17"/>
  <c r="H446" i="17" s="1"/>
  <c r="AB445" i="17"/>
  <c r="H445" i="17" s="1"/>
  <c r="Y318" i="17"/>
  <c r="E318" i="17" s="1"/>
  <c r="Y46" i="17"/>
  <c r="Y47" i="17"/>
  <c r="Y48" i="17"/>
  <c r="Y49" i="17"/>
  <c r="Y50" i="17"/>
  <c r="Y51" i="17"/>
  <c r="Y52" i="17"/>
  <c r="Y53" i="17"/>
  <c r="Y54" i="17"/>
  <c r="Y55" i="17"/>
  <c r="E55" i="17" s="1"/>
  <c r="Y56" i="17"/>
  <c r="Y57" i="17"/>
  <c r="E57" i="17" s="1"/>
  <c r="Y58" i="17"/>
  <c r="E58" i="17" s="1"/>
  <c r="Y59" i="17"/>
  <c r="E59" i="17" s="1"/>
  <c r="Y60" i="17"/>
  <c r="E60" i="17" s="1"/>
  <c r="Y61" i="17"/>
  <c r="Y62" i="17"/>
  <c r="Y63" i="17"/>
  <c r="Y64" i="17"/>
  <c r="Y65" i="17"/>
  <c r="Y66" i="17"/>
  <c r="Y67" i="17"/>
  <c r="Y68" i="17"/>
  <c r="Y69" i="17"/>
  <c r="Y70" i="17"/>
  <c r="Y71" i="17"/>
  <c r="Y72" i="17"/>
  <c r="Y73" i="17"/>
  <c r="Y74" i="17"/>
  <c r="Y75" i="17"/>
  <c r="Y76" i="17"/>
  <c r="Y77" i="17"/>
  <c r="Y78" i="17"/>
  <c r="Y79" i="17"/>
  <c r="Y81" i="17"/>
  <c r="Y82" i="17"/>
  <c r="Y85" i="17"/>
  <c r="E85" i="17" s="1"/>
  <c r="Y86" i="17"/>
  <c r="E86" i="17" s="1"/>
  <c r="Y88" i="17"/>
  <c r="E88" i="17" s="1"/>
  <c r="Y40" i="17"/>
  <c r="Y41" i="17"/>
  <c r="Y42" i="17"/>
  <c r="Y43" i="17"/>
  <c r="Y44" i="17"/>
  <c r="BB446" i="17"/>
  <c r="AH446" i="17" s="1"/>
  <c r="BB445" i="17"/>
  <c r="BB393" i="17"/>
  <c r="BA393" i="17"/>
  <c r="AY371" i="17"/>
  <c r="AE371" i="17" s="1"/>
  <c r="AY372" i="17"/>
  <c r="AE372" i="17" s="1"/>
  <c r="AY373" i="17"/>
  <c r="AE373" i="17" s="1"/>
  <c r="AY374" i="17"/>
  <c r="AE374" i="17" s="1"/>
  <c r="AY375" i="17"/>
  <c r="AE375" i="17" s="1"/>
  <c r="AY376" i="17"/>
  <c r="AE376" i="17" s="1"/>
  <c r="AY377" i="17"/>
  <c r="AE377" i="17" s="1"/>
  <c r="AY378" i="17"/>
  <c r="AE378" i="17" s="1"/>
  <c r="AY379" i="17"/>
  <c r="AE379" i="17" s="1"/>
  <c r="AY57" i="17"/>
  <c r="AE57" i="17" s="1"/>
  <c r="AY58" i="17"/>
  <c r="AE58" i="17" s="1"/>
  <c r="AY59" i="17"/>
  <c r="AE59" i="17" s="1"/>
  <c r="AY60" i="17"/>
  <c r="AE60" i="17" s="1"/>
  <c r="AY61" i="17"/>
  <c r="AY62" i="17"/>
  <c r="AY63" i="17"/>
  <c r="AY64" i="17"/>
  <c r="AY65" i="17"/>
  <c r="AY66" i="17"/>
  <c r="AY67" i="17"/>
  <c r="AY68" i="17"/>
  <c r="AY69" i="17"/>
  <c r="AY70" i="17"/>
  <c r="AE70" i="17" s="1"/>
  <c r="AY71" i="17"/>
  <c r="AY72" i="17"/>
  <c r="AE72" i="17" s="1"/>
  <c r="AY73" i="17"/>
  <c r="AE73" i="17" s="1"/>
  <c r="AY74" i="17"/>
  <c r="AY75" i="17"/>
  <c r="AE75" i="17" s="1"/>
  <c r="AY76" i="17"/>
  <c r="AE76" i="17" s="1"/>
  <c r="AY77" i="17"/>
  <c r="AE77" i="17" s="1"/>
  <c r="AY78" i="17"/>
  <c r="AY79" i="17"/>
  <c r="AY80" i="17"/>
  <c r="AE80" i="17" s="1"/>
  <c r="AY81" i="17"/>
  <c r="AE81" i="17" s="1"/>
  <c r="AY82" i="17"/>
  <c r="AY85" i="17"/>
  <c r="AE85" i="17" s="1"/>
  <c r="AY86" i="17"/>
  <c r="AE86" i="17" s="1"/>
  <c r="AY87" i="17"/>
  <c r="AE87" i="17" s="1"/>
  <c r="AY88" i="17"/>
  <c r="AE88" i="17" s="1"/>
  <c r="AY89" i="17"/>
  <c r="AE89" i="17" s="1"/>
  <c r="AY90" i="17"/>
  <c r="AE90" i="17" s="1"/>
  <c r="AY91" i="17"/>
  <c r="AE91" i="17" s="1"/>
  <c r="AY55" i="17"/>
  <c r="AE55" i="17" s="1"/>
  <c r="AY40" i="17"/>
  <c r="AY41" i="17"/>
  <c r="AY42" i="17"/>
  <c r="AY43" i="17"/>
  <c r="AY44" i="17"/>
  <c r="AY441" i="17"/>
  <c r="AE441" i="17" s="1"/>
  <c r="AY442" i="17"/>
  <c r="AY323" i="17"/>
  <c r="AE323" i="17" s="1"/>
  <c r="AY324" i="17"/>
  <c r="AE324" i="17" s="1"/>
  <c r="AY325" i="17"/>
  <c r="AE325" i="17" s="1"/>
  <c r="AY326" i="17"/>
  <c r="AE326" i="17" s="1"/>
  <c r="AY327" i="17"/>
  <c r="AE327" i="17" s="1"/>
  <c r="AY328" i="17"/>
  <c r="AY318" i="17"/>
  <c r="AE318" i="17" s="1"/>
  <c r="AY319" i="17"/>
  <c r="AE319" i="17" s="1"/>
  <c r="AY320" i="17"/>
  <c r="AE320" i="17" s="1"/>
  <c r="AY238" i="17"/>
  <c r="AE238" i="17" s="1"/>
  <c r="AY239" i="17"/>
  <c r="AE239" i="17" s="1"/>
  <c r="AY240" i="17"/>
  <c r="AE240" i="17" s="1"/>
  <c r="AY241" i="17"/>
  <c r="AE241" i="17" s="1"/>
  <c r="AY242" i="17"/>
  <c r="AE242" i="17" s="1"/>
  <c r="AY243" i="17"/>
  <c r="AE243" i="17" s="1"/>
  <c r="AY244" i="17"/>
  <c r="AE244" i="17" s="1"/>
  <c r="AY245" i="17"/>
  <c r="AE245" i="17" s="1"/>
  <c r="AY246" i="17"/>
  <c r="AE246" i="17" s="1"/>
  <c r="AY247" i="17"/>
  <c r="AE247" i="17" s="1"/>
  <c r="AY248" i="17"/>
  <c r="AE248" i="17" s="1"/>
  <c r="AY249" i="17"/>
  <c r="AE249" i="17" s="1"/>
  <c r="AY250" i="17"/>
  <c r="AE250" i="17" s="1"/>
  <c r="AY251" i="17"/>
  <c r="AE251" i="17" s="1"/>
  <c r="AY252" i="17"/>
  <c r="AE252" i="17" s="1"/>
  <c r="AY253" i="17"/>
  <c r="AE253" i="17" s="1"/>
  <c r="AY254" i="17"/>
  <c r="AE254" i="17" s="1"/>
  <c r="AY255" i="17"/>
  <c r="AE255" i="17" s="1"/>
  <c r="AY256" i="17"/>
  <c r="AE256" i="17" s="1"/>
  <c r="AY257" i="17"/>
  <c r="AE257" i="17" s="1"/>
  <c r="AY258" i="17"/>
  <c r="AE258" i="17" s="1"/>
  <c r="AY259" i="17"/>
  <c r="AE259" i="17" s="1"/>
  <c r="BC444" i="17"/>
  <c r="AI444" i="17" s="1"/>
  <c r="BA444" i="17"/>
  <c r="AG444" i="17" s="1"/>
  <c r="AZ444" i="17"/>
  <c r="AF444" i="17" s="1"/>
  <c r="AY443" i="17"/>
  <c r="BC399" i="17"/>
  <c r="AI399" i="17" s="1"/>
  <c r="BB399" i="17"/>
  <c r="BA399" i="17"/>
  <c r="AZ399" i="17"/>
  <c r="BC392" i="17"/>
  <c r="AZ392" i="17"/>
  <c r="AY391" i="17"/>
  <c r="BC275" i="17"/>
  <c r="BB275" i="17"/>
  <c r="BA275" i="17"/>
  <c r="AZ275" i="17"/>
  <c r="BB127" i="17"/>
  <c r="BA127" i="17"/>
  <c r="AZ127" i="17"/>
  <c r="BC105" i="17"/>
  <c r="BB105" i="17"/>
  <c r="BA105" i="17"/>
  <c r="AZ105" i="17"/>
  <c r="BC45" i="17"/>
  <c r="AI45" i="17" s="1"/>
  <c r="AZ45" i="17"/>
  <c r="BB39" i="17"/>
  <c r="AH39" i="17" s="1"/>
  <c r="BA39" i="17"/>
  <c r="AG39" i="17" s="1"/>
  <c r="AZ39" i="17"/>
  <c r="AF39" i="17" s="1"/>
  <c r="BC39" i="17"/>
  <c r="AI39" i="17" s="1"/>
  <c r="AZ31" i="17"/>
  <c r="BA31" i="17"/>
  <c r="BB31" i="17"/>
  <c r="BB45" i="17"/>
  <c r="BA45" i="17"/>
  <c r="BB392" i="17" l="1"/>
  <c r="BB390" i="17" s="1"/>
  <c r="AH393" i="17"/>
  <c r="Y87" i="17"/>
  <c r="E87" i="17" s="1"/>
  <c r="F87" i="17"/>
  <c r="Y89" i="17"/>
  <c r="E89" i="17" s="1"/>
  <c r="F89" i="17"/>
  <c r="Y90" i="17"/>
  <c r="E90" i="17" s="1"/>
  <c r="F90" i="17"/>
  <c r="BA392" i="17"/>
  <c r="BA390" i="17" s="1"/>
  <c r="AG393" i="17"/>
  <c r="Y91" i="17"/>
  <c r="E91" i="17" s="1"/>
  <c r="F91" i="17"/>
  <c r="AZ104" i="17"/>
  <c r="AF104" i="17" s="1"/>
  <c r="AF105" i="17"/>
  <c r="BA274" i="17"/>
  <c r="AZ390" i="17"/>
  <c r="AF392" i="17"/>
  <c r="BA104" i="17"/>
  <c r="AG104" i="17" s="1"/>
  <c r="AG105" i="17"/>
  <c r="BB274" i="17"/>
  <c r="BC390" i="17"/>
  <c r="AI392" i="17"/>
  <c r="BB104" i="17"/>
  <c r="BC274" i="17"/>
  <c r="AI274" i="17" s="1"/>
  <c r="AI275" i="17"/>
  <c r="BC104" i="17"/>
  <c r="AI104" i="17" s="1"/>
  <c r="AI105" i="17"/>
  <c r="AZ274" i="17"/>
  <c r="BB444" i="17"/>
  <c r="BB29" i="17"/>
  <c r="BC29" i="17"/>
  <c r="BA29" i="17"/>
  <c r="AZ29" i="17"/>
  <c r="AH392" i="17" l="1"/>
  <c r="BB28" i="17"/>
  <c r="BB21" i="17" s="1"/>
  <c r="AG392" i="17"/>
  <c r="AZ28" i="17"/>
  <c r="AZ21" i="17" s="1"/>
  <c r="BC28" i="17"/>
  <c r="BC21" i="17" s="1"/>
  <c r="BA28" i="17"/>
  <c r="BA21" i="17" s="1"/>
  <c r="Y327" i="17"/>
  <c r="E327" i="17" s="1"/>
  <c r="AY439" i="17" l="1"/>
  <c r="AE439" i="17" s="1"/>
  <c r="AY403" i="17"/>
  <c r="AY141" i="17"/>
  <c r="AE141" i="17" s="1"/>
  <c r="AY140" i="17"/>
  <c r="AE140" i="17" s="1"/>
  <c r="AY268" i="17"/>
  <c r="AE268" i="17" s="1"/>
  <c r="AY269" i="17"/>
  <c r="AE269" i="17" s="1"/>
  <c r="AY270" i="17"/>
  <c r="AE270" i="17" s="1"/>
  <c r="AY271" i="17"/>
  <c r="AE271" i="17" s="1"/>
  <c r="AY272" i="17"/>
  <c r="AE272" i="17" s="1"/>
  <c r="AY215" i="17"/>
  <c r="AE215" i="17" s="1"/>
  <c r="AY216" i="17"/>
  <c r="AE216" i="17" s="1"/>
  <c r="AY217" i="17"/>
  <c r="AE217" i="17" s="1"/>
  <c r="AY218" i="17"/>
  <c r="AE218" i="17" s="1"/>
  <c r="AY219" i="17"/>
  <c r="AE219" i="17" s="1"/>
  <c r="AY207" i="17"/>
  <c r="AE207" i="17" s="1"/>
  <c r="AY208" i="17"/>
  <c r="AE208" i="17" s="1"/>
  <c r="AY209" i="17"/>
  <c r="AE209" i="17" s="1"/>
  <c r="AY210" i="17"/>
  <c r="AE210" i="17" s="1"/>
  <c r="AY370" i="17"/>
  <c r="AE370" i="17" s="1"/>
  <c r="AY322" i="17"/>
  <c r="AE322" i="17" s="1"/>
  <c r="AY321" i="17"/>
  <c r="AE321" i="17" s="1"/>
  <c r="AY123" i="17"/>
  <c r="AE123" i="17" s="1"/>
  <c r="AY122" i="17"/>
  <c r="AE122" i="17" s="1"/>
  <c r="AY317" i="17"/>
  <c r="AE317" i="17" s="1"/>
  <c r="AY316" i="17"/>
  <c r="AE316" i="17" s="1"/>
  <c r="AY400" i="17"/>
  <c r="AY368" i="17"/>
  <c r="AY315" i="17"/>
  <c r="AE315" i="17" s="1"/>
  <c r="AY314" i="17"/>
  <c r="AE314" i="17" s="1"/>
  <c r="Y323" i="17" l="1"/>
  <c r="E323" i="17" s="1"/>
  <c r="Y321" i="17" l="1"/>
  <c r="E321" i="17" s="1"/>
  <c r="Y376" i="17"/>
  <c r="E376" i="17" s="1"/>
  <c r="Z105" i="17"/>
  <c r="AA105" i="17"/>
  <c r="AB105" i="17"/>
  <c r="AC105" i="17"/>
  <c r="AD412" i="17"/>
  <c r="Y439" i="17"/>
  <c r="E439" i="17" s="1"/>
  <c r="Y325" i="17"/>
  <c r="E325" i="17" s="1"/>
  <c r="Y326" i="17"/>
  <c r="E326" i="17" s="1"/>
  <c r="Z274" i="17" l="1"/>
  <c r="F274" i="17" s="1"/>
  <c r="AA274" i="17"/>
  <c r="AB274" i="17"/>
  <c r="H274" i="17" s="1"/>
  <c r="AC274" i="17"/>
  <c r="I274" i="17" s="1"/>
  <c r="Z143" i="17"/>
  <c r="AA143" i="17"/>
  <c r="AB143" i="17"/>
  <c r="AC143" i="17"/>
  <c r="Z127" i="17"/>
  <c r="AA127" i="17"/>
  <c r="AB127" i="17"/>
  <c r="AC127" i="17"/>
  <c r="Z39" i="17" l="1"/>
  <c r="AA39" i="17"/>
  <c r="AB39" i="17"/>
  <c r="AC39" i="17"/>
  <c r="I39" i="17" s="1"/>
  <c r="Z45" i="17"/>
  <c r="AC45" i="17"/>
  <c r="AA45" i="17" l="1"/>
  <c r="AB45" i="17"/>
  <c r="Y441" i="17" l="1"/>
  <c r="E441" i="17" s="1"/>
  <c r="Y140" i="17"/>
  <c r="E140" i="17" s="1"/>
  <c r="Y141" i="17"/>
  <c r="E141" i="17" s="1"/>
  <c r="Y142" i="17"/>
  <c r="E142" i="17" s="1"/>
  <c r="Y268" i="17"/>
  <c r="E268" i="17" s="1"/>
  <c r="Y269" i="17"/>
  <c r="E269" i="17" s="1"/>
  <c r="Y270" i="17"/>
  <c r="E270" i="17" s="1"/>
  <c r="Y271" i="17"/>
  <c r="E271" i="17" s="1"/>
  <c r="Y272" i="17"/>
  <c r="E272" i="17" s="1"/>
  <c r="Y273" i="17"/>
  <c r="E273" i="17" s="1"/>
  <c r="Y238" i="17"/>
  <c r="E238" i="17" s="1"/>
  <c r="Y239" i="17"/>
  <c r="E239" i="17" s="1"/>
  <c r="Y240" i="17"/>
  <c r="E240" i="17" s="1"/>
  <c r="Y241" i="17"/>
  <c r="E241" i="17" s="1"/>
  <c r="Y242" i="17"/>
  <c r="E242" i="17" s="1"/>
  <c r="Y243" i="17"/>
  <c r="E243" i="17" s="1"/>
  <c r="Y244" i="17"/>
  <c r="E244" i="17" s="1"/>
  <c r="Y245" i="17"/>
  <c r="E245" i="17" s="1"/>
  <c r="Y246" i="17"/>
  <c r="E246" i="17" s="1"/>
  <c r="Y247" i="17"/>
  <c r="E247" i="17" s="1"/>
  <c r="Y248" i="17"/>
  <c r="E248" i="17" s="1"/>
  <c r="Y249" i="17"/>
  <c r="E249" i="17" s="1"/>
  <c r="Y250" i="17"/>
  <c r="E250" i="17" s="1"/>
  <c r="Y251" i="17"/>
  <c r="E251" i="17" s="1"/>
  <c r="Y252" i="17"/>
  <c r="E252" i="17" s="1"/>
  <c r="Y253" i="17"/>
  <c r="E253" i="17" s="1"/>
  <c r="Y254" i="17"/>
  <c r="E254" i="17" s="1"/>
  <c r="Y255" i="17"/>
  <c r="E255" i="17" s="1"/>
  <c r="Y256" i="17"/>
  <c r="E256" i="17" s="1"/>
  <c r="Y257" i="17"/>
  <c r="E257" i="17" s="1"/>
  <c r="Y258" i="17"/>
  <c r="E258" i="17" s="1"/>
  <c r="Y259" i="17"/>
  <c r="E259" i="17" s="1"/>
  <c r="Y215" i="17"/>
  <c r="E215" i="17" s="1"/>
  <c r="Y216" i="17"/>
  <c r="E216" i="17" s="1"/>
  <c r="Y217" i="17"/>
  <c r="E217" i="17" s="1"/>
  <c r="Y218" i="17"/>
  <c r="E218" i="17" s="1"/>
  <c r="Y219" i="17"/>
  <c r="E219" i="17" s="1"/>
  <c r="Y207" i="17"/>
  <c r="E207" i="17" s="1"/>
  <c r="Y208" i="17"/>
  <c r="E208" i="17" s="1"/>
  <c r="Y209" i="17"/>
  <c r="E209" i="17" s="1"/>
  <c r="Y210" i="17"/>
  <c r="E210" i="17" s="1"/>
  <c r="Y192" i="17"/>
  <c r="Y191" i="17"/>
  <c r="Y370" i="17"/>
  <c r="E370" i="17" s="1"/>
  <c r="Y371" i="17"/>
  <c r="E371" i="17" s="1"/>
  <c r="Y372" i="17"/>
  <c r="E372" i="17" s="1"/>
  <c r="Y373" i="17"/>
  <c r="E373" i="17" s="1"/>
  <c r="Y375" i="17"/>
  <c r="E375" i="17" s="1"/>
  <c r="Y377" i="17"/>
  <c r="E377" i="17" s="1"/>
  <c r="Y378" i="17"/>
  <c r="E378" i="17" s="1"/>
  <c r="Y379" i="17"/>
  <c r="E379" i="17" s="1"/>
  <c r="Y374" i="17"/>
  <c r="Y322" i="17" l="1"/>
  <c r="E322" i="17" s="1"/>
  <c r="Y320" i="17"/>
  <c r="E320" i="17" s="1"/>
  <c r="Y319" i="17"/>
  <c r="E319" i="17" s="1"/>
  <c r="Y123" i="17"/>
  <c r="E123" i="17" s="1"/>
  <c r="Y122" i="17"/>
  <c r="E122" i="17" s="1"/>
  <c r="Y317" i="17"/>
  <c r="E317" i="17" s="1"/>
  <c r="Y316" i="17"/>
  <c r="E316" i="17" s="1"/>
  <c r="Y368" i="17"/>
  <c r="Y324" i="17"/>
  <c r="E324" i="17" s="1"/>
  <c r="Y315" i="17"/>
  <c r="E315" i="17" s="1"/>
  <c r="Y314" i="17"/>
  <c r="E314" i="17" s="1"/>
  <c r="T121" i="17" l="1"/>
  <c r="Y121" i="17"/>
  <c r="AJ121" i="17"/>
  <c r="AY121" i="17"/>
  <c r="AE121" i="17" l="1"/>
  <c r="E121" i="17"/>
  <c r="BC142" i="17"/>
  <c r="BC127" i="17" s="1"/>
  <c r="AX142" i="17"/>
  <c r="AX127" i="17" s="1"/>
  <c r="AS142" i="17"/>
  <c r="AS127" i="17" s="1"/>
  <c r="AR142" i="17"/>
  <c r="AQ142" i="17"/>
  <c r="AP142" i="17"/>
  <c r="AO142" i="17"/>
  <c r="AE142" i="17" s="1"/>
  <c r="AR127" i="17" l="1"/>
  <c r="AH127" i="17" s="1"/>
  <c r="AH142" i="17"/>
  <c r="AP127" i="17"/>
  <c r="AF127" i="17" s="1"/>
  <c r="AF142" i="17"/>
  <c r="AG142" i="17"/>
  <c r="AQ127" i="17"/>
  <c r="AG127" i="17" s="1"/>
  <c r="AT40" i="17"/>
  <c r="AO40" i="17"/>
  <c r="AJ40" i="17"/>
  <c r="AD40" i="17"/>
  <c r="T40" i="17"/>
  <c r="O40" i="17"/>
  <c r="J40" i="17"/>
  <c r="AT44" i="17"/>
  <c r="AO44" i="17"/>
  <c r="AJ44" i="17"/>
  <c r="AD44" i="17"/>
  <c r="T44" i="17"/>
  <c r="P44" i="17"/>
  <c r="F44" i="17" s="1"/>
  <c r="J44" i="17"/>
  <c r="AT43" i="17"/>
  <c r="AJ43" i="17"/>
  <c r="T43" i="17"/>
  <c r="R43" i="17"/>
  <c r="H43" i="17" s="1"/>
  <c r="Q43" i="17"/>
  <c r="G43" i="17" s="1"/>
  <c r="P43" i="17"/>
  <c r="F43" i="17" s="1"/>
  <c r="J43" i="17"/>
  <c r="AT42" i="17"/>
  <c r="AJ42" i="17"/>
  <c r="T42" i="17"/>
  <c r="R42" i="17"/>
  <c r="H42" i="17" s="1"/>
  <c r="Q42" i="17"/>
  <c r="G42" i="17" s="1"/>
  <c r="P42" i="17"/>
  <c r="F42" i="17" s="1"/>
  <c r="J42" i="17"/>
  <c r="AT41" i="17"/>
  <c r="AJ41" i="17"/>
  <c r="T41" i="17"/>
  <c r="R41" i="17"/>
  <c r="Q41" i="17"/>
  <c r="P41" i="17"/>
  <c r="J41" i="17"/>
  <c r="T39" i="17" l="1"/>
  <c r="P39" i="17"/>
  <c r="F41" i="17"/>
  <c r="G41" i="17"/>
  <c r="Q39" i="17"/>
  <c r="AT39" i="17"/>
  <c r="H41" i="17"/>
  <c r="R39" i="17"/>
  <c r="AE44" i="17"/>
  <c r="E40" i="17"/>
  <c r="J39" i="17"/>
  <c r="AJ39" i="17"/>
  <c r="AE40" i="17"/>
  <c r="AD39" i="17"/>
  <c r="AN127" i="17"/>
  <c r="AI127" i="17" s="1"/>
  <c r="AI142" i="17"/>
  <c r="AY39" i="17"/>
  <c r="Y39" i="17"/>
  <c r="O41" i="17"/>
  <c r="AO41" i="17"/>
  <c r="O42" i="17"/>
  <c r="E42" i="17" s="1"/>
  <c r="AO42" i="17"/>
  <c r="AE42" i="17" s="1"/>
  <c r="O43" i="17"/>
  <c r="E43" i="17" s="1"/>
  <c r="O44" i="17"/>
  <c r="E44" i="17" s="1"/>
  <c r="AO43" i="17"/>
  <c r="AE43" i="17" s="1"/>
  <c r="AO39" i="17" l="1"/>
  <c r="H39" i="17"/>
  <c r="G39" i="17"/>
  <c r="F39" i="17"/>
  <c r="AE41" i="17"/>
  <c r="O39" i="17"/>
  <c r="E39" i="17" s="1"/>
  <c r="E41" i="17"/>
  <c r="AY449" i="17"/>
  <c r="AY448" i="17"/>
  <c r="AY447" i="17"/>
  <c r="AY446" i="17"/>
  <c r="AY445" i="17"/>
  <c r="BC26" i="17"/>
  <c r="BB26" i="17"/>
  <c r="BA26" i="17"/>
  <c r="AZ26" i="17"/>
  <c r="AY438" i="17"/>
  <c r="AY437" i="17"/>
  <c r="AY436" i="17"/>
  <c r="AY435" i="17"/>
  <c r="AY434" i="17"/>
  <c r="AY433" i="17"/>
  <c r="AY432" i="17"/>
  <c r="AY431" i="17"/>
  <c r="AY430" i="17"/>
  <c r="AY429" i="17"/>
  <c r="AY428" i="17"/>
  <c r="AY427" i="17"/>
  <c r="AY426" i="17"/>
  <c r="AY425" i="17"/>
  <c r="AY424" i="17"/>
  <c r="AY423" i="17"/>
  <c r="AY422" i="17"/>
  <c r="AY421" i="17"/>
  <c r="AY420" i="17"/>
  <c r="AY419" i="17"/>
  <c r="AY418" i="17"/>
  <c r="AY417" i="17"/>
  <c r="AY416" i="17"/>
  <c r="AY415" i="17"/>
  <c r="AY414" i="17"/>
  <c r="AY413" i="17"/>
  <c r="AY412" i="17"/>
  <c r="AY411" i="17"/>
  <c r="AY410" i="17"/>
  <c r="AY409" i="17"/>
  <c r="AY408" i="17"/>
  <c r="AY407" i="17"/>
  <c r="AY406" i="17"/>
  <c r="AY405" i="17"/>
  <c r="AY404" i="17"/>
  <c r="AY402" i="17"/>
  <c r="AY401" i="17"/>
  <c r="BC24" i="17"/>
  <c r="BB24" i="17"/>
  <c r="BA24" i="17"/>
  <c r="AZ24" i="17"/>
  <c r="AY398" i="17"/>
  <c r="AY397" i="17"/>
  <c r="AY396" i="17"/>
  <c r="AY395" i="17"/>
  <c r="AY394" i="17"/>
  <c r="AY393" i="17"/>
  <c r="AY389" i="17"/>
  <c r="AY388" i="17"/>
  <c r="AY387" i="17"/>
  <c r="AY386" i="17"/>
  <c r="AY385" i="17"/>
  <c r="AY384" i="17"/>
  <c r="AY383" i="17"/>
  <c r="AY382" i="17"/>
  <c r="AY381" i="17"/>
  <c r="AY380" i="17"/>
  <c r="AY369" i="17"/>
  <c r="AY367" i="17"/>
  <c r="AY366" i="17"/>
  <c r="AY365" i="17"/>
  <c r="AY364" i="17"/>
  <c r="AY363" i="17"/>
  <c r="AY362" i="17"/>
  <c r="AY361" i="17"/>
  <c r="AY360" i="17"/>
  <c r="AY359" i="17"/>
  <c r="AY358" i="17"/>
  <c r="AY357" i="17"/>
  <c r="AY356" i="17"/>
  <c r="AY355" i="17"/>
  <c r="AY354" i="17"/>
  <c r="AY353" i="17"/>
  <c r="AY352" i="17"/>
  <c r="AY351" i="17"/>
  <c r="AY350" i="17"/>
  <c r="AY349" i="17"/>
  <c r="AY348" i="17"/>
  <c r="AY347" i="17"/>
  <c r="AY346" i="17"/>
  <c r="AY345" i="17"/>
  <c r="AY344" i="17"/>
  <c r="AY343" i="17"/>
  <c r="AY342" i="17"/>
  <c r="AY341" i="17"/>
  <c r="AY340" i="17"/>
  <c r="AY339" i="17"/>
  <c r="AY338" i="17"/>
  <c r="AY337" i="17"/>
  <c r="AY336" i="17"/>
  <c r="AY335" i="17"/>
  <c r="AY334" i="17"/>
  <c r="AY333" i="17"/>
  <c r="AY332" i="17"/>
  <c r="AY331" i="17"/>
  <c r="AY330" i="17"/>
  <c r="AY329" i="17"/>
  <c r="AY313" i="17"/>
  <c r="AY312" i="17"/>
  <c r="AY311" i="17"/>
  <c r="AY310" i="17"/>
  <c r="AY309" i="17"/>
  <c r="AY308" i="17"/>
  <c r="AY307" i="17"/>
  <c r="AY306" i="17"/>
  <c r="AY305" i="17"/>
  <c r="AY304" i="17"/>
  <c r="AY303" i="17"/>
  <c r="AY302" i="17"/>
  <c r="AY301" i="17"/>
  <c r="AY300" i="17"/>
  <c r="AY299" i="17"/>
  <c r="AY298" i="17"/>
  <c r="AY297" i="17"/>
  <c r="AY296" i="17"/>
  <c r="AY295" i="17"/>
  <c r="AY294" i="17"/>
  <c r="AY293" i="17"/>
  <c r="AY292" i="17"/>
  <c r="AY291" i="17"/>
  <c r="AY290" i="17"/>
  <c r="AY289" i="17"/>
  <c r="AY288" i="17"/>
  <c r="AY287" i="17"/>
  <c r="AY286" i="17"/>
  <c r="AY285" i="17"/>
  <c r="AY284" i="17"/>
  <c r="AY283" i="17"/>
  <c r="AY282" i="17"/>
  <c r="AY281" i="17"/>
  <c r="AY280" i="17"/>
  <c r="AY279" i="17"/>
  <c r="AY278" i="17"/>
  <c r="AY277" i="17"/>
  <c r="AY276" i="17"/>
  <c r="BC143" i="17"/>
  <c r="BC126" i="17" s="1"/>
  <c r="BB143" i="17"/>
  <c r="BB126" i="17" s="1"/>
  <c r="BA143" i="17"/>
  <c r="BA126" i="17" s="1"/>
  <c r="BA125" i="17" s="1"/>
  <c r="BA22" i="17" s="1"/>
  <c r="AZ143" i="17"/>
  <c r="AZ126" i="17" s="1"/>
  <c r="AZ125" i="17" s="1"/>
  <c r="AZ22" i="17" s="1"/>
  <c r="AY267" i="17"/>
  <c r="AY266" i="17"/>
  <c r="AY265" i="17"/>
  <c r="AY264" i="17"/>
  <c r="AY263" i="17"/>
  <c r="AY262" i="17"/>
  <c r="AY261" i="17"/>
  <c r="AY260" i="17"/>
  <c r="AY237" i="17"/>
  <c r="AY236" i="17"/>
  <c r="AY235" i="17"/>
  <c r="AY234" i="17"/>
  <c r="AY233" i="17"/>
  <c r="AY232" i="17"/>
  <c r="AY231" i="17"/>
  <c r="AY230" i="17"/>
  <c r="AY229" i="17"/>
  <c r="AY228" i="17"/>
  <c r="AY227" i="17"/>
  <c r="AY226" i="17"/>
  <c r="AY225" i="17"/>
  <c r="AY224" i="17"/>
  <c r="AY223" i="17"/>
  <c r="AY222" i="17"/>
  <c r="AY221" i="17"/>
  <c r="AY220" i="17"/>
  <c r="AY214" i="17"/>
  <c r="AY213" i="17"/>
  <c r="AY212" i="17"/>
  <c r="AY211" i="17"/>
  <c r="AY206" i="17"/>
  <c r="AY205" i="17"/>
  <c r="AY204" i="17"/>
  <c r="AY203" i="17"/>
  <c r="AY202" i="17"/>
  <c r="AY201" i="17"/>
  <c r="AY200" i="17"/>
  <c r="AY199" i="17"/>
  <c r="AY198" i="17"/>
  <c r="AY197" i="17"/>
  <c r="AY196" i="17"/>
  <c r="AY195" i="17"/>
  <c r="AY194" i="17"/>
  <c r="AY193" i="17"/>
  <c r="AY192" i="17"/>
  <c r="AY191" i="17"/>
  <c r="AY190" i="17"/>
  <c r="AY189" i="17"/>
  <c r="AY188" i="17"/>
  <c r="AY187" i="17"/>
  <c r="AY186" i="17"/>
  <c r="AY185" i="17"/>
  <c r="AY184" i="17"/>
  <c r="AY183" i="17"/>
  <c r="AY182" i="17"/>
  <c r="AY181" i="17"/>
  <c r="AY180" i="17"/>
  <c r="AY179" i="17"/>
  <c r="AY178" i="17"/>
  <c r="AY177" i="17"/>
  <c r="AY176" i="17"/>
  <c r="AY175" i="17"/>
  <c r="AY174" i="17"/>
  <c r="AY173" i="17"/>
  <c r="AY172" i="17"/>
  <c r="AY171" i="17"/>
  <c r="AY170" i="17"/>
  <c r="AY169" i="17"/>
  <c r="AY168" i="17"/>
  <c r="AY167" i="17"/>
  <c r="AY166" i="17"/>
  <c r="AY165" i="17"/>
  <c r="AY164" i="17"/>
  <c r="AY163" i="17"/>
  <c r="AY162" i="17"/>
  <c r="AY161" i="17"/>
  <c r="AY160" i="17"/>
  <c r="AY159" i="17"/>
  <c r="AY158" i="17"/>
  <c r="AY157" i="17"/>
  <c r="AY156" i="17"/>
  <c r="AY155" i="17"/>
  <c r="AY154" i="17"/>
  <c r="AY153" i="17"/>
  <c r="AY152" i="17"/>
  <c r="AY151" i="17"/>
  <c r="AY150" i="17"/>
  <c r="AY149" i="17"/>
  <c r="AY148" i="17"/>
  <c r="AY147" i="17"/>
  <c r="AY146" i="17"/>
  <c r="AY145" i="17"/>
  <c r="AY144" i="17"/>
  <c r="AY139" i="17"/>
  <c r="AY138" i="17"/>
  <c r="AY137" i="17"/>
  <c r="AY136" i="17"/>
  <c r="AY135" i="17"/>
  <c r="AY134" i="17"/>
  <c r="AY133" i="17"/>
  <c r="AY132" i="17"/>
  <c r="AY131" i="17"/>
  <c r="AY130" i="17"/>
  <c r="AY129" i="17"/>
  <c r="AY128" i="17"/>
  <c r="AY120" i="17"/>
  <c r="AY119" i="17"/>
  <c r="AY118" i="17"/>
  <c r="AY117" i="17"/>
  <c r="AY116" i="17"/>
  <c r="AY115" i="17"/>
  <c r="AY114" i="17"/>
  <c r="AY113" i="17"/>
  <c r="AY112" i="17"/>
  <c r="AY111" i="17"/>
  <c r="AY110" i="17"/>
  <c r="AY109" i="17"/>
  <c r="AY108" i="17"/>
  <c r="AY107" i="17"/>
  <c r="AY106" i="17"/>
  <c r="AY103" i="17"/>
  <c r="AY102" i="17"/>
  <c r="AY101" i="17"/>
  <c r="AY100" i="17"/>
  <c r="AY99" i="17"/>
  <c r="AY98" i="17"/>
  <c r="AY97" i="17"/>
  <c r="AY96" i="17"/>
  <c r="AY95" i="17"/>
  <c r="AY94" i="17"/>
  <c r="AY93" i="17"/>
  <c r="AY92" i="17"/>
  <c r="AY56" i="17"/>
  <c r="AY54" i="17"/>
  <c r="AY53" i="17"/>
  <c r="AY52" i="17"/>
  <c r="AY51" i="17"/>
  <c r="AY50" i="17"/>
  <c r="AY49" i="17"/>
  <c r="AY48" i="17"/>
  <c r="AY47" i="17"/>
  <c r="AY46" i="17"/>
  <c r="AE46" i="17" s="1"/>
  <c r="AY37" i="17"/>
  <c r="AY36" i="17"/>
  <c r="AY35" i="17"/>
  <c r="AY34" i="17"/>
  <c r="AY33" i="17"/>
  <c r="AY32" i="17"/>
  <c r="AY27" i="17"/>
  <c r="BC25" i="17"/>
  <c r="AY25" i="17" s="1"/>
  <c r="BC23" i="17"/>
  <c r="AY23" i="17" s="1"/>
  <c r="Y449" i="17"/>
  <c r="Y448" i="17"/>
  <c r="Y447" i="17"/>
  <c r="Y446" i="17"/>
  <c r="Y445" i="17"/>
  <c r="AC444" i="17"/>
  <c r="AC26" i="17" s="1"/>
  <c r="AB444" i="17"/>
  <c r="AB26" i="17" s="1"/>
  <c r="AA444" i="17"/>
  <c r="AA26" i="17" s="1"/>
  <c r="Z444" i="17"/>
  <c r="Z26" i="17" s="1"/>
  <c r="Y443" i="17"/>
  <c r="Y442" i="17"/>
  <c r="Y438" i="17"/>
  <c r="Y437" i="17"/>
  <c r="Y436" i="17"/>
  <c r="Y435" i="17"/>
  <c r="Y434" i="17"/>
  <c r="Y433" i="17"/>
  <c r="Y432" i="17"/>
  <c r="Y431" i="17"/>
  <c r="Y430" i="17"/>
  <c r="Y429" i="17"/>
  <c r="Y428" i="17"/>
  <c r="Y427" i="17"/>
  <c r="Y426" i="17"/>
  <c r="Y425" i="17"/>
  <c r="Y424" i="17"/>
  <c r="Y423" i="17"/>
  <c r="Y422" i="17"/>
  <c r="Y421" i="17"/>
  <c r="Y420" i="17"/>
  <c r="Y419" i="17"/>
  <c r="Y418" i="17"/>
  <c r="Y417" i="17"/>
  <c r="Y416" i="17"/>
  <c r="Y415" i="17"/>
  <c r="Y414" i="17"/>
  <c r="Y413" i="17"/>
  <c r="Y412" i="17"/>
  <c r="Y411" i="17"/>
  <c r="Y410" i="17"/>
  <c r="Y409" i="17"/>
  <c r="Y408" i="17"/>
  <c r="Y407" i="17"/>
  <c r="Y406" i="17"/>
  <c r="Y405" i="17"/>
  <c r="Y404" i="17"/>
  <c r="Y403" i="17"/>
  <c r="Y402" i="17"/>
  <c r="Y401" i="17"/>
  <c r="Y400" i="17"/>
  <c r="AC399" i="17"/>
  <c r="AC24" i="17" s="1"/>
  <c r="AB399" i="17"/>
  <c r="AB24" i="17" s="1"/>
  <c r="AA399" i="17"/>
  <c r="AA24" i="17" s="1"/>
  <c r="Z399" i="17"/>
  <c r="Z24" i="17" s="1"/>
  <c r="Y398" i="17"/>
  <c r="Y397" i="17"/>
  <c r="Y396" i="17"/>
  <c r="Y395" i="17"/>
  <c r="Y394" i="17"/>
  <c r="Y393" i="17"/>
  <c r="AC392" i="17"/>
  <c r="AC390" i="17" s="1"/>
  <c r="AB392" i="17"/>
  <c r="AB390" i="17" s="1"/>
  <c r="AA392" i="17"/>
  <c r="AA390" i="17" s="1"/>
  <c r="Y391" i="17"/>
  <c r="Y389" i="17"/>
  <c r="Y388" i="17"/>
  <c r="Y387" i="17"/>
  <c r="Y386" i="17"/>
  <c r="Y385" i="17"/>
  <c r="Y384" i="17"/>
  <c r="Y383" i="17"/>
  <c r="Y382" i="17"/>
  <c r="Y381" i="17"/>
  <c r="Y380" i="17"/>
  <c r="Y369" i="17"/>
  <c r="Y367" i="17"/>
  <c r="Y366" i="17"/>
  <c r="Y365" i="17"/>
  <c r="Y364" i="17"/>
  <c r="Y363" i="17"/>
  <c r="Y362" i="17"/>
  <c r="Y361" i="17"/>
  <c r="Y360" i="17"/>
  <c r="Y359" i="17"/>
  <c r="Y358" i="17"/>
  <c r="Y357" i="17"/>
  <c r="Y356" i="17"/>
  <c r="Y355" i="17"/>
  <c r="Y354" i="17"/>
  <c r="Y353" i="17"/>
  <c r="Y352" i="17"/>
  <c r="Y351" i="17"/>
  <c r="Y350" i="17"/>
  <c r="Y349" i="17"/>
  <c r="Y348" i="17"/>
  <c r="Y347" i="17"/>
  <c r="Y346" i="17"/>
  <c r="Y345" i="17"/>
  <c r="Y344" i="17"/>
  <c r="Y343" i="17"/>
  <c r="Y342" i="17"/>
  <c r="Y341" i="17"/>
  <c r="Y340" i="17"/>
  <c r="Y339" i="17"/>
  <c r="Y338" i="17"/>
  <c r="Y337" i="17"/>
  <c r="Y336" i="17"/>
  <c r="Y335" i="17"/>
  <c r="Y334" i="17"/>
  <c r="Y333" i="17"/>
  <c r="Y332" i="17"/>
  <c r="Y331" i="17"/>
  <c r="Y330" i="17"/>
  <c r="Y329" i="17"/>
  <c r="Y328" i="17"/>
  <c r="Y313" i="17"/>
  <c r="Y312" i="17"/>
  <c r="Y311" i="17"/>
  <c r="Y310" i="17"/>
  <c r="Y309" i="17"/>
  <c r="Y308" i="17"/>
  <c r="Y307" i="17"/>
  <c r="Y306" i="17"/>
  <c r="Y305" i="17"/>
  <c r="Y304" i="17"/>
  <c r="Y303" i="17"/>
  <c r="Y302" i="17"/>
  <c r="Y301" i="17"/>
  <c r="Y300" i="17"/>
  <c r="Y299" i="17"/>
  <c r="Y298" i="17"/>
  <c r="Y297" i="17"/>
  <c r="Y296" i="17"/>
  <c r="Y295" i="17"/>
  <c r="Y294" i="17"/>
  <c r="Y293" i="17"/>
  <c r="Y292" i="17"/>
  <c r="Y291" i="17"/>
  <c r="Y290" i="17"/>
  <c r="Y289" i="17"/>
  <c r="Y288" i="17"/>
  <c r="Y287" i="17"/>
  <c r="Y286" i="17"/>
  <c r="Y285" i="17"/>
  <c r="Y284" i="17"/>
  <c r="Y283" i="17"/>
  <c r="Y282" i="17"/>
  <c r="Y281" i="17"/>
  <c r="Y280" i="17"/>
  <c r="Y279" i="17"/>
  <c r="Y278" i="17"/>
  <c r="Y277" i="17"/>
  <c r="Y276" i="17"/>
  <c r="Y267" i="17"/>
  <c r="Y266" i="17"/>
  <c r="Y265" i="17"/>
  <c r="Y264" i="17"/>
  <c r="Y263" i="17"/>
  <c r="Y262" i="17"/>
  <c r="Y261" i="17"/>
  <c r="Y260" i="17"/>
  <c r="Y237" i="17"/>
  <c r="Y236" i="17"/>
  <c r="Y235" i="17"/>
  <c r="Y234" i="17"/>
  <c r="Y233" i="17"/>
  <c r="Y232" i="17"/>
  <c r="Y231" i="17"/>
  <c r="Y230" i="17"/>
  <c r="Y229" i="17"/>
  <c r="Y228" i="17"/>
  <c r="Y227" i="17"/>
  <c r="Y226" i="17"/>
  <c r="Y225" i="17"/>
  <c r="Y224" i="17"/>
  <c r="Y223" i="17"/>
  <c r="Y222" i="17"/>
  <c r="Y221" i="17"/>
  <c r="Y220" i="17"/>
  <c r="Y214" i="17"/>
  <c r="Y213" i="17"/>
  <c r="Y212" i="17"/>
  <c r="Y211" i="17"/>
  <c r="Y206" i="17"/>
  <c r="Y205" i="17"/>
  <c r="Y204" i="17"/>
  <c r="Y203" i="17"/>
  <c r="Y202" i="17"/>
  <c r="Y201" i="17"/>
  <c r="Y200" i="17"/>
  <c r="Y199" i="17"/>
  <c r="Y198" i="17"/>
  <c r="Y197" i="17"/>
  <c r="Y196" i="17"/>
  <c r="Y195" i="17"/>
  <c r="Y194" i="17"/>
  <c r="Y193" i="17"/>
  <c r="Y190" i="17"/>
  <c r="Y189" i="17"/>
  <c r="Y188" i="17"/>
  <c r="Y187" i="17"/>
  <c r="Y186" i="17"/>
  <c r="Y185" i="17"/>
  <c r="Y184" i="17"/>
  <c r="Y183" i="17"/>
  <c r="Y182" i="17"/>
  <c r="Y181" i="17"/>
  <c r="Y180" i="17"/>
  <c r="Y179" i="17"/>
  <c r="Y178" i="17"/>
  <c r="Y177" i="17"/>
  <c r="Y176" i="17"/>
  <c r="Y175" i="17"/>
  <c r="Y174" i="17"/>
  <c r="Y173" i="17"/>
  <c r="Y172" i="17"/>
  <c r="Y171" i="17"/>
  <c r="Y170" i="17"/>
  <c r="Y169" i="17"/>
  <c r="Y168" i="17"/>
  <c r="Y167" i="17"/>
  <c r="Y166" i="17"/>
  <c r="Y165" i="17"/>
  <c r="Y164" i="17"/>
  <c r="Y163" i="17"/>
  <c r="Y162" i="17"/>
  <c r="Y161" i="17"/>
  <c r="Y160" i="17"/>
  <c r="Y159" i="17"/>
  <c r="Y158" i="17"/>
  <c r="Y157" i="17"/>
  <c r="Y156" i="17"/>
  <c r="Y155" i="17"/>
  <c r="Y154" i="17"/>
  <c r="Y153" i="17"/>
  <c r="Y152" i="17"/>
  <c r="Y151" i="17"/>
  <c r="Y150" i="17"/>
  <c r="Y149" i="17"/>
  <c r="Y148" i="17"/>
  <c r="Y147" i="17"/>
  <c r="Y146" i="17"/>
  <c r="Y145" i="17"/>
  <c r="Y144" i="17"/>
  <c r="Y139" i="17"/>
  <c r="Y138" i="17"/>
  <c r="Y137" i="17"/>
  <c r="Y136" i="17"/>
  <c r="Y135" i="17"/>
  <c r="Y134" i="17"/>
  <c r="Y133" i="17"/>
  <c r="Y132" i="17"/>
  <c r="Y131" i="17"/>
  <c r="Y130" i="17"/>
  <c r="Y129" i="17"/>
  <c r="Y128" i="17"/>
  <c r="Y120" i="17"/>
  <c r="Y119" i="17"/>
  <c r="Y118" i="17"/>
  <c r="Y117" i="17"/>
  <c r="Y116" i="17"/>
  <c r="Y115" i="17"/>
  <c r="Y114" i="17"/>
  <c r="Y113" i="17"/>
  <c r="Y112" i="17"/>
  <c r="Y111" i="17"/>
  <c r="Y110" i="17"/>
  <c r="Y109" i="17"/>
  <c r="Y108" i="17"/>
  <c r="Y107" i="17"/>
  <c r="Y106" i="17"/>
  <c r="AC104" i="17"/>
  <c r="AB104" i="17"/>
  <c r="AA104" i="17"/>
  <c r="Z104" i="17"/>
  <c r="Y103" i="17"/>
  <c r="Y102" i="17"/>
  <c r="Y101" i="17"/>
  <c r="Y100" i="17"/>
  <c r="Y99" i="17"/>
  <c r="Y98" i="17"/>
  <c r="Y97" i="17"/>
  <c r="Y96" i="17"/>
  <c r="Y95" i="17"/>
  <c r="Y94" i="17"/>
  <c r="Y93" i="17"/>
  <c r="Y92" i="17"/>
  <c r="Y37" i="17"/>
  <c r="Y36" i="17"/>
  <c r="Y35" i="17"/>
  <c r="Y34" i="17"/>
  <c r="Y33" i="17"/>
  <c r="Y32" i="17"/>
  <c r="AC31" i="17"/>
  <c r="AC29" i="17" s="1"/>
  <c r="AB31" i="17"/>
  <c r="AB29" i="17" s="1"/>
  <c r="AA31" i="17"/>
  <c r="AA29" i="17" s="1"/>
  <c r="Z31" i="17"/>
  <c r="Z29" i="17" s="1"/>
  <c r="Y27" i="17"/>
  <c r="AC25" i="17"/>
  <c r="Y25" i="17" s="1"/>
  <c r="AC23" i="17"/>
  <c r="Y23" i="17" s="1"/>
  <c r="Y275" i="17" l="1"/>
  <c r="AE39" i="17"/>
  <c r="AY31" i="17"/>
  <c r="AY105" i="17"/>
  <c r="AY104" i="17" s="1"/>
  <c r="AY399" i="17"/>
  <c r="AY392" i="17"/>
  <c r="AY444" i="17"/>
  <c r="BA20" i="17"/>
  <c r="AY45" i="17"/>
  <c r="AY127" i="17"/>
  <c r="BC125" i="17"/>
  <c r="BC22" i="17" s="1"/>
  <c r="BC20" i="17" s="1"/>
  <c r="BB125" i="17"/>
  <c r="BB22" i="17" s="1"/>
  <c r="BB20" i="17" s="1"/>
  <c r="AZ20" i="17"/>
  <c r="AY275" i="17"/>
  <c r="AY273" i="17"/>
  <c r="AY143" i="17" s="1"/>
  <c r="Y105" i="17"/>
  <c r="Y104" i="17" s="1"/>
  <c r="Y274" i="17"/>
  <c r="Y127" i="17"/>
  <c r="Y143" i="17"/>
  <c r="Z126" i="17"/>
  <c r="AC28" i="17"/>
  <c r="AC21" i="17" s="1"/>
  <c r="AC126" i="17"/>
  <c r="Y444" i="17"/>
  <c r="Y26" i="17"/>
  <c r="Y399" i="17"/>
  <c r="Y24" i="17" s="1"/>
  <c r="Y392" i="17"/>
  <c r="Y390" i="17" s="1"/>
  <c r="AB126" i="17"/>
  <c r="AA126" i="17"/>
  <c r="Y31" i="17"/>
  <c r="AA28" i="17"/>
  <c r="AA21" i="17" s="1"/>
  <c r="AB28" i="17"/>
  <c r="AB21" i="17" s="1"/>
  <c r="Z28" i="17"/>
  <c r="Z21" i="17" s="1"/>
  <c r="Y45" i="17"/>
  <c r="Z392" i="17"/>
  <c r="Z390" i="17" s="1"/>
  <c r="AM26" i="17"/>
  <c r="AL26" i="17"/>
  <c r="AK26" i="17"/>
  <c r="AN25" i="17"/>
  <c r="AM24" i="17"/>
  <c r="AL24" i="17"/>
  <c r="AK24" i="17"/>
  <c r="AN23" i="17"/>
  <c r="AK23" i="17" l="1"/>
  <c r="AK25" i="17"/>
  <c r="AY274" i="17"/>
  <c r="AY390" i="17"/>
  <c r="AY24" i="17"/>
  <c r="AY26" i="17"/>
  <c r="AY126" i="17"/>
  <c r="AY29" i="17"/>
  <c r="Z125" i="17"/>
  <c r="Z22" i="17" s="1"/>
  <c r="Z20" i="17" s="1"/>
  <c r="AC125" i="17"/>
  <c r="AC22" i="17" s="1"/>
  <c r="AC20" i="17" s="1"/>
  <c r="AA125" i="17"/>
  <c r="AA22" i="17" s="1"/>
  <c r="AA20" i="17" s="1"/>
  <c r="AB125" i="17"/>
  <c r="AB22" i="17" s="1"/>
  <c r="AB20" i="17" s="1"/>
  <c r="Y29" i="17"/>
  <c r="Y28" i="17" s="1"/>
  <c r="Y21" i="17" s="1"/>
  <c r="Y126" i="17"/>
  <c r="AY28" i="17" l="1"/>
  <c r="AY125" i="17"/>
  <c r="Y125" i="17"/>
  <c r="Y22" i="17" s="1"/>
  <c r="Y20" i="17" s="1"/>
  <c r="T56" i="17"/>
  <c r="T61" i="17"/>
  <c r="T62" i="17"/>
  <c r="T63" i="17"/>
  <c r="T64" i="17"/>
  <c r="T65" i="17"/>
  <c r="T66" i="17"/>
  <c r="T67" i="17"/>
  <c r="T68" i="17"/>
  <c r="T69" i="17"/>
  <c r="E46" i="17"/>
  <c r="W82" i="17"/>
  <c r="H82" i="17" s="1"/>
  <c r="V82" i="17"/>
  <c r="G82" i="17" s="1"/>
  <c r="U81" i="17"/>
  <c r="F81" i="17" s="1"/>
  <c r="U80" i="17"/>
  <c r="F80" i="17" s="1"/>
  <c r="W79" i="17"/>
  <c r="H79" i="17" s="1"/>
  <c r="V79" i="17"/>
  <c r="G79" i="17" s="1"/>
  <c r="U79" i="17"/>
  <c r="F79" i="17" s="1"/>
  <c r="W78" i="17"/>
  <c r="H78" i="17" s="1"/>
  <c r="V78" i="17"/>
  <c r="G78" i="17" s="1"/>
  <c r="U77" i="17"/>
  <c r="F77" i="17" s="1"/>
  <c r="U76" i="17"/>
  <c r="F76" i="17" s="1"/>
  <c r="U75" i="17"/>
  <c r="F75" i="17" s="1"/>
  <c r="W74" i="17"/>
  <c r="H74" i="17" s="1"/>
  <c r="V74" i="17"/>
  <c r="G74" i="17" s="1"/>
  <c r="U73" i="17"/>
  <c r="F73" i="17" s="1"/>
  <c r="V72" i="17"/>
  <c r="G72" i="17" s="1"/>
  <c r="W71" i="17"/>
  <c r="V71" i="17"/>
  <c r="U70" i="17"/>
  <c r="F70" i="17" s="1"/>
  <c r="U51" i="17"/>
  <c r="AW82" i="17"/>
  <c r="AH82" i="17" s="1"/>
  <c r="AV82" i="17"/>
  <c r="AG82" i="17" s="1"/>
  <c r="AU82" i="17"/>
  <c r="AF82" i="17" s="1"/>
  <c r="AW79" i="17"/>
  <c r="AH79" i="17" s="1"/>
  <c r="AV79" i="17"/>
  <c r="AG79" i="17" s="1"/>
  <c r="AU79" i="17"/>
  <c r="AF79" i="17" s="1"/>
  <c r="AT78" i="17"/>
  <c r="AE78" i="17" s="1"/>
  <c r="AW74" i="17"/>
  <c r="AH74" i="17" s="1"/>
  <c r="AV74" i="17"/>
  <c r="AG74" i="17" s="1"/>
  <c r="AU74" i="17"/>
  <c r="AF74" i="17" s="1"/>
  <c r="AW71" i="17"/>
  <c r="AV71" i="17"/>
  <c r="AU71" i="17"/>
  <c r="W45" i="17" l="1"/>
  <c r="W29" i="17" s="1"/>
  <c r="W28" i="17" s="1"/>
  <c r="W21" i="17" s="1"/>
  <c r="U45" i="17"/>
  <c r="U29" i="17" s="1"/>
  <c r="U28" i="17" s="1"/>
  <c r="U21" i="17" s="1"/>
  <c r="V45" i="17"/>
  <c r="V29" i="17" s="1"/>
  <c r="V28" i="17" s="1"/>
  <c r="V21" i="17" s="1"/>
  <c r="T51" i="17"/>
  <c r="G71" i="17"/>
  <c r="H71" i="17"/>
  <c r="AU45" i="17"/>
  <c r="AU29" i="17" s="1"/>
  <c r="AF71" i="17"/>
  <c r="AV45" i="17"/>
  <c r="AV29" i="17" s="1"/>
  <c r="AG71" i="17"/>
  <c r="AW45" i="17"/>
  <c r="AW29" i="17" s="1"/>
  <c r="AH71" i="17"/>
  <c r="AY21" i="17"/>
  <c r="AY22" i="17"/>
  <c r="T77" i="17"/>
  <c r="E77" i="17" s="1"/>
  <c r="T78" i="17"/>
  <c r="E78" i="17" s="1"/>
  <c r="T72" i="17"/>
  <c r="E72" i="17" s="1"/>
  <c r="T75" i="17"/>
  <c r="E75" i="17" s="1"/>
  <c r="T80" i="17"/>
  <c r="E80" i="17" s="1"/>
  <c r="T70" i="17"/>
  <c r="E70" i="17" s="1"/>
  <c r="T73" i="17"/>
  <c r="E73" i="17" s="1"/>
  <c r="T76" i="17"/>
  <c r="E76" i="17" s="1"/>
  <c r="T81" i="17"/>
  <c r="E81" i="17" s="1"/>
  <c r="AT74" i="17"/>
  <c r="AE74" i="17" s="1"/>
  <c r="AT79" i="17"/>
  <c r="AE79" i="17" s="1"/>
  <c r="T79" i="17"/>
  <c r="E79" i="17" s="1"/>
  <c r="AT82" i="17"/>
  <c r="AE82" i="17" s="1"/>
  <c r="T71" i="17"/>
  <c r="E71" i="17" s="1"/>
  <c r="T74" i="17"/>
  <c r="E74" i="17" s="1"/>
  <c r="T82" i="17"/>
  <c r="E82" i="17" s="1"/>
  <c r="AT71" i="17"/>
  <c r="AE71" i="17" s="1"/>
  <c r="AD437" i="17"/>
  <c r="AD119" i="17"/>
  <c r="U395" i="17"/>
  <c r="F395" i="17" s="1"/>
  <c r="U393" i="17"/>
  <c r="AW120" i="17"/>
  <c r="AT437" i="17"/>
  <c r="AE437" i="17" s="1"/>
  <c r="AT438" i="17"/>
  <c r="AE438" i="17" s="1"/>
  <c r="AT442" i="17"/>
  <c r="AU410" i="17"/>
  <c r="AF410" i="17" s="1"/>
  <c r="AU409" i="17"/>
  <c r="AF409" i="17" s="1"/>
  <c r="AU408" i="17"/>
  <c r="AJ119" i="17"/>
  <c r="AJ120" i="17"/>
  <c r="AT139" i="17"/>
  <c r="AE139" i="17" s="1"/>
  <c r="AT264" i="17"/>
  <c r="AE264" i="17" s="1"/>
  <c r="AT265" i="17"/>
  <c r="AE265" i="17" s="1"/>
  <c r="AT266" i="17"/>
  <c r="AE266" i="17" s="1"/>
  <c r="AT267" i="17"/>
  <c r="AE267" i="17" s="1"/>
  <c r="AT235" i="17"/>
  <c r="AE235" i="17" s="1"/>
  <c r="AT236" i="17"/>
  <c r="AE236" i="17" s="1"/>
  <c r="AT237" i="17"/>
  <c r="AE237" i="17" s="1"/>
  <c r="AT214" i="17"/>
  <c r="AE214" i="17" s="1"/>
  <c r="AT203" i="17"/>
  <c r="AE203" i="17" s="1"/>
  <c r="AT204" i="17"/>
  <c r="AE204" i="17" s="1"/>
  <c r="AT205" i="17"/>
  <c r="AE205" i="17" s="1"/>
  <c r="AT206" i="17"/>
  <c r="AE206" i="17" s="1"/>
  <c r="AT367" i="17"/>
  <c r="AE367" i="17" s="1"/>
  <c r="AT368" i="17"/>
  <c r="AE368" i="17" s="1"/>
  <c r="AT369" i="17"/>
  <c r="AE369" i="17" s="1"/>
  <c r="AT119" i="17"/>
  <c r="AT311" i="17"/>
  <c r="AE311" i="17" s="1"/>
  <c r="AT312" i="17"/>
  <c r="AE312" i="17" s="1"/>
  <c r="AT313" i="17"/>
  <c r="AE313" i="17" s="1"/>
  <c r="P399" i="17"/>
  <c r="Q399" i="17"/>
  <c r="R399" i="17"/>
  <c r="S399" i="17"/>
  <c r="D399" i="17"/>
  <c r="D275" i="17"/>
  <c r="P143" i="17"/>
  <c r="P126" i="17" s="1"/>
  <c r="Q143" i="17"/>
  <c r="Q126" i="17" s="1"/>
  <c r="R143" i="17"/>
  <c r="R126" i="17" s="1"/>
  <c r="S143" i="17"/>
  <c r="D143" i="17"/>
  <c r="D126" i="17" s="1"/>
  <c r="F127" i="17"/>
  <c r="G127" i="17"/>
  <c r="H127" i="17"/>
  <c r="S127" i="17"/>
  <c r="I127" i="17" s="1"/>
  <c r="S105" i="17"/>
  <c r="F393" i="17" l="1"/>
  <c r="U392" i="17"/>
  <c r="T45" i="17"/>
  <c r="AW105" i="17"/>
  <c r="AH120" i="17"/>
  <c r="AE119" i="17"/>
  <c r="AU399" i="17"/>
  <c r="AF408" i="17"/>
  <c r="F399" i="17"/>
  <c r="G143" i="17"/>
  <c r="H399" i="17"/>
  <c r="H105" i="17"/>
  <c r="I143" i="17"/>
  <c r="F105" i="17"/>
  <c r="I105" i="17"/>
  <c r="F143" i="17"/>
  <c r="G105" i="17"/>
  <c r="H143" i="17"/>
  <c r="I399" i="17"/>
  <c r="AY20" i="17"/>
  <c r="AT120" i="17"/>
  <c r="AE120" i="17" s="1"/>
  <c r="T438" i="17"/>
  <c r="E438" i="17" s="1"/>
  <c r="T442" i="17"/>
  <c r="E442" i="17" s="1"/>
  <c r="AW104" i="17" l="1"/>
  <c r="AH104" i="17" s="1"/>
  <c r="AH105" i="17"/>
  <c r="T437" i="17"/>
  <c r="E437" i="17" s="1"/>
  <c r="T139" i="17"/>
  <c r="E139" i="17" s="1"/>
  <c r="T264" i="17"/>
  <c r="E264" i="17" s="1"/>
  <c r="T265" i="17"/>
  <c r="E265" i="17" s="1"/>
  <c r="T266" i="17"/>
  <c r="E266" i="17" s="1"/>
  <c r="T267" i="17"/>
  <c r="E267" i="17" s="1"/>
  <c r="T235" i="17"/>
  <c r="E235" i="17" s="1"/>
  <c r="T236" i="17"/>
  <c r="E236" i="17" s="1"/>
  <c r="T237" i="17"/>
  <c r="E237" i="17" s="1"/>
  <c r="T214" i="17"/>
  <c r="E214" i="17" s="1"/>
  <c r="T203" i="17"/>
  <c r="E203" i="17" s="1"/>
  <c r="T204" i="17"/>
  <c r="E204" i="17" s="1"/>
  <c r="T205" i="17"/>
  <c r="E205" i="17" s="1"/>
  <c r="T206" i="17"/>
  <c r="E206" i="17" s="1"/>
  <c r="T367" i="17"/>
  <c r="E367" i="17" s="1"/>
  <c r="T368" i="17"/>
  <c r="E368" i="17" s="1"/>
  <c r="T369" i="17"/>
  <c r="E369" i="17" s="1"/>
  <c r="T119" i="17"/>
  <c r="E119" i="17" s="1"/>
  <c r="T120" i="17"/>
  <c r="E120" i="17" s="1"/>
  <c r="T311" i="17"/>
  <c r="E311" i="17" s="1"/>
  <c r="T312" i="17"/>
  <c r="E312" i="17" s="1"/>
  <c r="T313" i="17"/>
  <c r="E313" i="17" s="1"/>
  <c r="AD446" i="17" l="1"/>
  <c r="AT213" i="17" l="1"/>
  <c r="AO213" i="17"/>
  <c r="AJ213" i="17"/>
  <c r="T213" i="17"/>
  <c r="O213" i="17"/>
  <c r="AT212" i="17"/>
  <c r="AO212" i="17"/>
  <c r="AJ212" i="17"/>
  <c r="T212" i="17"/>
  <c r="O212" i="17"/>
  <c r="AE213" i="17" l="1"/>
  <c r="E212" i="17"/>
  <c r="E213" i="17"/>
  <c r="AE212" i="17"/>
  <c r="AT449" i="17"/>
  <c r="AT448" i="17"/>
  <c r="AT447" i="17"/>
  <c r="AT446" i="17"/>
  <c r="AT445" i="17"/>
  <c r="AX26" i="17"/>
  <c r="AW26" i="17"/>
  <c r="AV26" i="17"/>
  <c r="AU26" i="17"/>
  <c r="AT443" i="17"/>
  <c r="AT436" i="17"/>
  <c r="AT435" i="17"/>
  <c r="AT434" i="17"/>
  <c r="AT433" i="17"/>
  <c r="AT432" i="17"/>
  <c r="AT431" i="17"/>
  <c r="AT430" i="17"/>
  <c r="AT429" i="17"/>
  <c r="AT428" i="17"/>
  <c r="AT427" i="17"/>
  <c r="AT426" i="17"/>
  <c r="AT425" i="17"/>
  <c r="AT424" i="17"/>
  <c r="AT423" i="17"/>
  <c r="AT422" i="17"/>
  <c r="AT421" i="17"/>
  <c r="AT420" i="17"/>
  <c r="AT419" i="17"/>
  <c r="AT418" i="17"/>
  <c r="AT417" i="17"/>
  <c r="AT416" i="17"/>
  <c r="AT415" i="17"/>
  <c r="AT414" i="17"/>
  <c r="AT413" i="17"/>
  <c r="AT412" i="17"/>
  <c r="AT411" i="17"/>
  <c r="AT410" i="17"/>
  <c r="AT409" i="17"/>
  <c r="AT408" i="17"/>
  <c r="AT407" i="17"/>
  <c r="AT406" i="17"/>
  <c r="AT405" i="17"/>
  <c r="AT404" i="17"/>
  <c r="AT403" i="17"/>
  <c r="AT402" i="17"/>
  <c r="AT401" i="17"/>
  <c r="AT400" i="17"/>
  <c r="AX24" i="17"/>
  <c r="AV24" i="17"/>
  <c r="AU24" i="17"/>
  <c r="AT398" i="17"/>
  <c r="AT397" i="17"/>
  <c r="AT396" i="17"/>
  <c r="AT395" i="17"/>
  <c r="AT394" i="17"/>
  <c r="AT393" i="17"/>
  <c r="AT391" i="17"/>
  <c r="AT389" i="17"/>
  <c r="AT388" i="17"/>
  <c r="AT387" i="17"/>
  <c r="AT386" i="17"/>
  <c r="AT385" i="17"/>
  <c r="AT384" i="17"/>
  <c r="AT383" i="17"/>
  <c r="AT382" i="17"/>
  <c r="AT381" i="17"/>
  <c r="AT380" i="17"/>
  <c r="AT366" i="17"/>
  <c r="AT365" i="17"/>
  <c r="AT364" i="17"/>
  <c r="AT363" i="17"/>
  <c r="AT362" i="17"/>
  <c r="AT361" i="17"/>
  <c r="AT360" i="17"/>
  <c r="AT359" i="17"/>
  <c r="AT358" i="17"/>
  <c r="AT357" i="17"/>
  <c r="AT356" i="17"/>
  <c r="AT355" i="17"/>
  <c r="AT354" i="17"/>
  <c r="AT353" i="17"/>
  <c r="AT352" i="17"/>
  <c r="AT351" i="17"/>
  <c r="AT350" i="17"/>
  <c r="AT349" i="17"/>
  <c r="AT348" i="17"/>
  <c r="AT347" i="17"/>
  <c r="AT346" i="17"/>
  <c r="AT345" i="17"/>
  <c r="AT344" i="17"/>
  <c r="AT343" i="17"/>
  <c r="AT342" i="17"/>
  <c r="AT341" i="17"/>
  <c r="AT340" i="17"/>
  <c r="AT339" i="17"/>
  <c r="AT338" i="17"/>
  <c r="AT337" i="17"/>
  <c r="AT336" i="17"/>
  <c r="AT335" i="17"/>
  <c r="AT334" i="17"/>
  <c r="AT333" i="17"/>
  <c r="AT332" i="17"/>
  <c r="AT331" i="17"/>
  <c r="AT330" i="17"/>
  <c r="AT329" i="17"/>
  <c r="AT328" i="17"/>
  <c r="AT310" i="17"/>
  <c r="AT309" i="17"/>
  <c r="AT308" i="17"/>
  <c r="AT307" i="17"/>
  <c r="AT306" i="17"/>
  <c r="AT305" i="17"/>
  <c r="AT304" i="17"/>
  <c r="AT303" i="17"/>
  <c r="AT302" i="17"/>
  <c r="AT301" i="17"/>
  <c r="AT300" i="17"/>
  <c r="AT299" i="17"/>
  <c r="AT298" i="17"/>
  <c r="AT297" i="17"/>
  <c r="AT296" i="17"/>
  <c r="AT295" i="17"/>
  <c r="AT294" i="17"/>
  <c r="AT293" i="17"/>
  <c r="AT292" i="17"/>
  <c r="AT291" i="17"/>
  <c r="AT290" i="17"/>
  <c r="AT289" i="17"/>
  <c r="AT288" i="17"/>
  <c r="AT287" i="17"/>
  <c r="AT286" i="17"/>
  <c r="AT285" i="17"/>
  <c r="AT284" i="17"/>
  <c r="AT283" i="17"/>
  <c r="AT282" i="17"/>
  <c r="AT281" i="17"/>
  <c r="AT280" i="17"/>
  <c r="AT279" i="17"/>
  <c r="AT278" i="17"/>
  <c r="AT277" i="17"/>
  <c r="AT276" i="17"/>
  <c r="AX143" i="17"/>
  <c r="AX126" i="17" s="1"/>
  <c r="AW143" i="17"/>
  <c r="AW126" i="17" s="1"/>
  <c r="AW125" i="17" s="1"/>
  <c r="AV143" i="17"/>
  <c r="AV126" i="17" s="1"/>
  <c r="AU143" i="17"/>
  <c r="AT263" i="17"/>
  <c r="AE263" i="17" s="1"/>
  <c r="AT262" i="17"/>
  <c r="AE262" i="17" s="1"/>
  <c r="AT261" i="17"/>
  <c r="AE261" i="17" s="1"/>
  <c r="AT260" i="17"/>
  <c r="AE260" i="17" s="1"/>
  <c r="AT234" i="17"/>
  <c r="AE234" i="17" s="1"/>
  <c r="AT233" i="17"/>
  <c r="AE233" i="17" s="1"/>
  <c r="AT232" i="17"/>
  <c r="AE232" i="17" s="1"/>
  <c r="AT231" i="17"/>
  <c r="AE231" i="17" s="1"/>
  <c r="AT230" i="17"/>
  <c r="AE230" i="17" s="1"/>
  <c r="AT229" i="17"/>
  <c r="AE229" i="17" s="1"/>
  <c r="AT228" i="17"/>
  <c r="AE228" i="17" s="1"/>
  <c r="AT227" i="17"/>
  <c r="AE227" i="17" s="1"/>
  <c r="AT226" i="17"/>
  <c r="AE226" i="17" s="1"/>
  <c r="AT225" i="17"/>
  <c r="AE225" i="17" s="1"/>
  <c r="AT224" i="17"/>
  <c r="AE224" i="17" s="1"/>
  <c r="AT223" i="17"/>
  <c r="AE223" i="17" s="1"/>
  <c r="AT222" i="17"/>
  <c r="AE222" i="17" s="1"/>
  <c r="AT221" i="17"/>
  <c r="AE221" i="17" s="1"/>
  <c r="AT220" i="17"/>
  <c r="AE220" i="17" s="1"/>
  <c r="AT211" i="17"/>
  <c r="AT202" i="17"/>
  <c r="AT201" i="17"/>
  <c r="AT200" i="17"/>
  <c r="AT199" i="17"/>
  <c r="AT198" i="17"/>
  <c r="AT197" i="17"/>
  <c r="AT196" i="17"/>
  <c r="AT195" i="17"/>
  <c r="AT194" i="17"/>
  <c r="AT193" i="17"/>
  <c r="AT192" i="17"/>
  <c r="AT191" i="17"/>
  <c r="AT190" i="17"/>
  <c r="AT189" i="17"/>
  <c r="AT188" i="17"/>
  <c r="AT187" i="17"/>
  <c r="AT186" i="17"/>
  <c r="AT185" i="17"/>
  <c r="AT184" i="17"/>
  <c r="AT183" i="17"/>
  <c r="AT182" i="17"/>
  <c r="AT181" i="17"/>
  <c r="AT180" i="17"/>
  <c r="AT179" i="17"/>
  <c r="AT178" i="17"/>
  <c r="AT177" i="17"/>
  <c r="AT176" i="17"/>
  <c r="AT175" i="17"/>
  <c r="AT174" i="17"/>
  <c r="AT173" i="17"/>
  <c r="AT172" i="17"/>
  <c r="AT171" i="17"/>
  <c r="AT170" i="17"/>
  <c r="AT169" i="17"/>
  <c r="AT168" i="17"/>
  <c r="AT167" i="17"/>
  <c r="AT166" i="17"/>
  <c r="AT165" i="17"/>
  <c r="AT164" i="17"/>
  <c r="AT163" i="17"/>
  <c r="AT162" i="17"/>
  <c r="AT161" i="17"/>
  <c r="AT160" i="17"/>
  <c r="AT159" i="17"/>
  <c r="AT158" i="17"/>
  <c r="AT157" i="17"/>
  <c r="AT156" i="17"/>
  <c r="AT155" i="17"/>
  <c r="AT154" i="17"/>
  <c r="AT153" i="17"/>
  <c r="AT152" i="17"/>
  <c r="AT151" i="17"/>
  <c r="AT150" i="17"/>
  <c r="AT149" i="17"/>
  <c r="AT148" i="17"/>
  <c r="AT147" i="17"/>
  <c r="AT146" i="17"/>
  <c r="AT145" i="17"/>
  <c r="AT144" i="17"/>
  <c r="AT138" i="17"/>
  <c r="AT137" i="17"/>
  <c r="AT136" i="17"/>
  <c r="AT135" i="17"/>
  <c r="AT134" i="17"/>
  <c r="AT133" i="17"/>
  <c r="AT132" i="17"/>
  <c r="AT131" i="17"/>
  <c r="AT130" i="17"/>
  <c r="AT129" i="17"/>
  <c r="AT128" i="17"/>
  <c r="AT118" i="17"/>
  <c r="AT117" i="17"/>
  <c r="AT116" i="17"/>
  <c r="AT115" i="17"/>
  <c r="AT114" i="17"/>
  <c r="AT113" i="17"/>
  <c r="AT112" i="17"/>
  <c r="AT111" i="17"/>
  <c r="AT110" i="17"/>
  <c r="AT109" i="17"/>
  <c r="AT108" i="17"/>
  <c r="AT107" i="17"/>
  <c r="AT106" i="17"/>
  <c r="AT103" i="17"/>
  <c r="AT102" i="17"/>
  <c r="AT101" i="17"/>
  <c r="AT100" i="17"/>
  <c r="AT99" i="17"/>
  <c r="AT98" i="17"/>
  <c r="AT97" i="17"/>
  <c r="AT96" i="17"/>
  <c r="AT95" i="17"/>
  <c r="AT94" i="17"/>
  <c r="AT93" i="17"/>
  <c r="AT92" i="17"/>
  <c r="AT69" i="17"/>
  <c r="AT68" i="17"/>
  <c r="AT67" i="17"/>
  <c r="AT66" i="17"/>
  <c r="AT65" i="17"/>
  <c r="AT64" i="17"/>
  <c r="AT63" i="17"/>
  <c r="AT62" i="17"/>
  <c r="AT61" i="17"/>
  <c r="AT56" i="17"/>
  <c r="AT54" i="17"/>
  <c r="AT53" i="17"/>
  <c r="AT52" i="17"/>
  <c r="AT51" i="17"/>
  <c r="AT50" i="17"/>
  <c r="AT49" i="17"/>
  <c r="AT48" i="17"/>
  <c r="AT47" i="17"/>
  <c r="AT37" i="17"/>
  <c r="AE37" i="17" s="1"/>
  <c r="AT36" i="17"/>
  <c r="AE36" i="17" s="1"/>
  <c r="AT35" i="17"/>
  <c r="AE35" i="17" s="1"/>
  <c r="AT34" i="17"/>
  <c r="AE34" i="17" s="1"/>
  <c r="AT33" i="17"/>
  <c r="AE33" i="17" s="1"/>
  <c r="AT32" i="17"/>
  <c r="AT27" i="17"/>
  <c r="AE27" i="17" s="1"/>
  <c r="AX25" i="17"/>
  <c r="AT25" i="17" s="1"/>
  <c r="AE25" i="17" s="1"/>
  <c r="AW24" i="17"/>
  <c r="AX23" i="17"/>
  <c r="AT23" i="17" s="1"/>
  <c r="AE23" i="17" s="1"/>
  <c r="AE32" i="17" l="1"/>
  <c r="AT31" i="17"/>
  <c r="AT45" i="17"/>
  <c r="AT275" i="17"/>
  <c r="AT274" i="17" s="1"/>
  <c r="AT444" i="17"/>
  <c r="AT105" i="17"/>
  <c r="AT104" i="17" s="1"/>
  <c r="AT127" i="17"/>
  <c r="AT392" i="17"/>
  <c r="AT399" i="17"/>
  <c r="AU126" i="17"/>
  <c r="AV390" i="17"/>
  <c r="AV125" i="17" s="1"/>
  <c r="AX390" i="17"/>
  <c r="AX125" i="17" s="1"/>
  <c r="AU390" i="17"/>
  <c r="AT143" i="17"/>
  <c r="AU28" i="17"/>
  <c r="AW22" i="17"/>
  <c r="AT26" i="17"/>
  <c r="AW28" i="17"/>
  <c r="AV28" i="17"/>
  <c r="AT29" i="17" l="1"/>
  <c r="AT126" i="17"/>
  <c r="AU125" i="17"/>
  <c r="AU22" i="17" s="1"/>
  <c r="AX22" i="17"/>
  <c r="AT24" i="17"/>
  <c r="AV22" i="17"/>
  <c r="AV21" i="17"/>
  <c r="AW21" i="17"/>
  <c r="AU21" i="17"/>
  <c r="AX28" i="17"/>
  <c r="AT390" i="17"/>
  <c r="T144" i="17"/>
  <c r="T145" i="17"/>
  <c r="T146" i="17"/>
  <c r="T147" i="17"/>
  <c r="T148" i="17"/>
  <c r="T149" i="17"/>
  <c r="T150" i="17"/>
  <c r="T151" i="17"/>
  <c r="T152" i="17"/>
  <c r="T153" i="17"/>
  <c r="T154" i="17"/>
  <c r="T155" i="17"/>
  <c r="T156" i="17"/>
  <c r="T157" i="17"/>
  <c r="T158" i="17"/>
  <c r="T159" i="17"/>
  <c r="T160" i="17"/>
  <c r="T161" i="17"/>
  <c r="T162" i="17"/>
  <c r="T163" i="17"/>
  <c r="T164" i="17"/>
  <c r="T165" i="17"/>
  <c r="T166" i="17"/>
  <c r="T167" i="17"/>
  <c r="T168" i="17"/>
  <c r="T169" i="17"/>
  <c r="T170" i="17"/>
  <c r="T171" i="17"/>
  <c r="T172" i="17"/>
  <c r="T173" i="17"/>
  <c r="T174" i="17"/>
  <c r="T175" i="17"/>
  <c r="T176" i="17"/>
  <c r="T177" i="17"/>
  <c r="T178" i="17"/>
  <c r="T179" i="17"/>
  <c r="T180" i="17"/>
  <c r="T181" i="17"/>
  <c r="T182" i="17"/>
  <c r="T183" i="17"/>
  <c r="T184" i="17"/>
  <c r="T185" i="17"/>
  <c r="T186" i="17"/>
  <c r="T187" i="17"/>
  <c r="T188" i="17"/>
  <c r="T189" i="17"/>
  <c r="T190" i="17"/>
  <c r="T191" i="17"/>
  <c r="T192" i="17"/>
  <c r="T193" i="17"/>
  <c r="T194" i="17"/>
  <c r="T195" i="17"/>
  <c r="T196" i="17"/>
  <c r="T197" i="17"/>
  <c r="T198" i="17"/>
  <c r="T199" i="17"/>
  <c r="T200" i="17"/>
  <c r="T201" i="17"/>
  <c r="T202" i="17"/>
  <c r="T211" i="17"/>
  <c r="T220" i="17"/>
  <c r="E220" i="17" s="1"/>
  <c r="T221" i="17"/>
  <c r="E221" i="17" s="1"/>
  <c r="T222" i="17"/>
  <c r="E222" i="17" s="1"/>
  <c r="T223" i="17"/>
  <c r="E223" i="17" s="1"/>
  <c r="T224" i="17"/>
  <c r="E224" i="17" s="1"/>
  <c r="T225" i="17"/>
  <c r="E225" i="17" s="1"/>
  <c r="T226" i="17"/>
  <c r="E226" i="17" s="1"/>
  <c r="T227" i="17"/>
  <c r="E227" i="17" s="1"/>
  <c r="T228" i="17"/>
  <c r="E228" i="17" s="1"/>
  <c r="T229" i="17"/>
  <c r="E229" i="17" s="1"/>
  <c r="T230" i="17"/>
  <c r="E230" i="17" s="1"/>
  <c r="T231" i="17"/>
  <c r="E231" i="17" s="1"/>
  <c r="T232" i="17"/>
  <c r="E232" i="17" s="1"/>
  <c r="T233" i="17"/>
  <c r="E233" i="17" s="1"/>
  <c r="T234" i="17"/>
  <c r="E234" i="17" s="1"/>
  <c r="T260" i="17"/>
  <c r="E260" i="17" s="1"/>
  <c r="T261" i="17"/>
  <c r="E261" i="17" s="1"/>
  <c r="T262" i="17"/>
  <c r="E262" i="17" s="1"/>
  <c r="T263" i="17"/>
  <c r="E263" i="17" s="1"/>
  <c r="S47" i="17"/>
  <c r="I47" i="17" s="1"/>
  <c r="T33" i="17"/>
  <c r="E33" i="17" s="1"/>
  <c r="T34" i="17"/>
  <c r="E34" i="17" s="1"/>
  <c r="T35" i="17"/>
  <c r="E35" i="17" s="1"/>
  <c r="T36" i="17"/>
  <c r="E36" i="17" s="1"/>
  <c r="T37" i="17"/>
  <c r="T32" i="17"/>
  <c r="T449" i="17"/>
  <c r="T448" i="17"/>
  <c r="T447" i="17"/>
  <c r="T446" i="17"/>
  <c r="T445" i="17"/>
  <c r="T443" i="17"/>
  <c r="T436" i="17"/>
  <c r="T435" i="17"/>
  <c r="T434" i="17"/>
  <c r="T433" i="17"/>
  <c r="T432" i="17"/>
  <c r="T431" i="17"/>
  <c r="T430" i="17"/>
  <c r="T429" i="17"/>
  <c r="T428" i="17"/>
  <c r="T427" i="17"/>
  <c r="T426" i="17"/>
  <c r="T425" i="17"/>
  <c r="T424" i="17"/>
  <c r="T423" i="17"/>
  <c r="T422" i="17"/>
  <c r="T421" i="17"/>
  <c r="T420" i="17"/>
  <c r="T419" i="17"/>
  <c r="T418" i="17"/>
  <c r="T417" i="17"/>
  <c r="T416" i="17"/>
  <c r="T415" i="17"/>
  <c r="T414" i="17"/>
  <c r="T413" i="17"/>
  <c r="T412" i="17"/>
  <c r="T411" i="17"/>
  <c r="T410" i="17"/>
  <c r="T409" i="17"/>
  <c r="T408" i="17"/>
  <c r="T407" i="17"/>
  <c r="T406" i="17"/>
  <c r="T405" i="17"/>
  <c r="T404" i="17"/>
  <c r="T403" i="17"/>
  <c r="T402" i="17"/>
  <c r="T401" i="17"/>
  <c r="T400" i="17"/>
  <c r="T398" i="17"/>
  <c r="T397" i="17"/>
  <c r="T396" i="17"/>
  <c r="T395" i="17"/>
  <c r="T394" i="17"/>
  <c r="T393" i="17"/>
  <c r="X390" i="17"/>
  <c r="X125" i="17" s="1"/>
  <c r="X22" i="17" s="1"/>
  <c r="X20" i="17" s="1"/>
  <c r="W390" i="17"/>
  <c r="W125" i="17" s="1"/>
  <c r="W22" i="17" s="1"/>
  <c r="W20" i="17" s="1"/>
  <c r="V390" i="17"/>
  <c r="V125" i="17" s="1"/>
  <c r="V22" i="17" s="1"/>
  <c r="V20" i="17" s="1"/>
  <c r="U390" i="17"/>
  <c r="U125" i="17" s="1"/>
  <c r="U22" i="17" s="1"/>
  <c r="U20" i="17" s="1"/>
  <c r="T391" i="17"/>
  <c r="T389" i="17"/>
  <c r="T388" i="17"/>
  <c r="T387" i="17"/>
  <c r="T386" i="17"/>
  <c r="T385" i="17"/>
  <c r="T384" i="17"/>
  <c r="T383" i="17"/>
  <c r="T382" i="17"/>
  <c r="T381" i="17"/>
  <c r="T380" i="17"/>
  <c r="T366" i="17"/>
  <c r="T365" i="17"/>
  <c r="T364" i="17"/>
  <c r="T363" i="17"/>
  <c r="T362" i="17"/>
  <c r="T361" i="17"/>
  <c r="T360" i="17"/>
  <c r="T359" i="17"/>
  <c r="T358" i="17"/>
  <c r="T357" i="17"/>
  <c r="T356" i="17"/>
  <c r="T355" i="17"/>
  <c r="T354" i="17"/>
  <c r="T353" i="17"/>
  <c r="T352" i="17"/>
  <c r="T351" i="17"/>
  <c r="T350" i="17"/>
  <c r="T349" i="17"/>
  <c r="T348" i="17"/>
  <c r="T347" i="17"/>
  <c r="T346" i="17"/>
  <c r="T345" i="17"/>
  <c r="T344" i="17"/>
  <c r="T343" i="17"/>
  <c r="T342" i="17"/>
  <c r="T341" i="17"/>
  <c r="T340" i="17"/>
  <c r="T339" i="17"/>
  <c r="T338" i="17"/>
  <c r="T337" i="17"/>
  <c r="T336" i="17"/>
  <c r="T335" i="17"/>
  <c r="T334" i="17"/>
  <c r="T333" i="17"/>
  <c r="T332" i="17"/>
  <c r="T331" i="17"/>
  <c r="T330" i="17"/>
  <c r="T329" i="17"/>
  <c r="T328" i="17"/>
  <c r="T310" i="17"/>
  <c r="T309" i="17"/>
  <c r="T308" i="17"/>
  <c r="T307" i="17"/>
  <c r="T306" i="17"/>
  <c r="T305" i="17"/>
  <c r="T304" i="17"/>
  <c r="T303" i="17"/>
  <c r="T302" i="17"/>
  <c r="T301" i="17"/>
  <c r="T300" i="17"/>
  <c r="T299" i="17"/>
  <c r="T298" i="17"/>
  <c r="T297" i="17"/>
  <c r="E297" i="17" s="1"/>
  <c r="T296" i="17"/>
  <c r="E296" i="17" s="1"/>
  <c r="T295" i="17"/>
  <c r="E295" i="17" s="1"/>
  <c r="T294" i="17"/>
  <c r="T293" i="17"/>
  <c r="T292" i="17"/>
  <c r="T291" i="17"/>
  <c r="T290" i="17"/>
  <c r="T289" i="17"/>
  <c r="T288" i="17"/>
  <c r="T287" i="17"/>
  <c r="E287" i="17" s="1"/>
  <c r="T286" i="17"/>
  <c r="E286" i="17" s="1"/>
  <c r="T285" i="17"/>
  <c r="T284" i="17"/>
  <c r="T283" i="17"/>
  <c r="T282" i="17"/>
  <c r="T281" i="17"/>
  <c r="T280" i="17"/>
  <c r="T279" i="17"/>
  <c r="T278" i="17"/>
  <c r="T277" i="17"/>
  <c r="T276" i="17"/>
  <c r="T138" i="17"/>
  <c r="T137" i="17"/>
  <c r="T136" i="17"/>
  <c r="T135" i="17"/>
  <c r="T134" i="17"/>
  <c r="T133" i="17"/>
  <c r="T132" i="17"/>
  <c r="T131" i="17"/>
  <c r="T130" i="17"/>
  <c r="T129" i="17"/>
  <c r="T128" i="17"/>
  <c r="T118" i="17"/>
  <c r="T117" i="17"/>
  <c r="T116" i="17"/>
  <c r="T115" i="17"/>
  <c r="T114" i="17"/>
  <c r="T113" i="17"/>
  <c r="T112" i="17"/>
  <c r="T111" i="17"/>
  <c r="T110" i="17"/>
  <c r="T109" i="17"/>
  <c r="T108" i="17"/>
  <c r="T107" i="17"/>
  <c r="T106" i="17"/>
  <c r="T103" i="17"/>
  <c r="T102" i="17"/>
  <c r="T101" i="17"/>
  <c r="T100" i="17"/>
  <c r="T99" i="17"/>
  <c r="T98" i="17"/>
  <c r="T97" i="17"/>
  <c r="T96" i="17"/>
  <c r="T95" i="17"/>
  <c r="T94" i="17"/>
  <c r="T93" i="17"/>
  <c r="T92" i="17"/>
  <c r="T27" i="17"/>
  <c r="T275" i="17" l="1"/>
  <c r="T274" i="17" s="1"/>
  <c r="T392" i="17"/>
  <c r="T390" i="17" s="1"/>
  <c r="T105" i="17"/>
  <c r="T104" i="17" s="1"/>
  <c r="T399" i="17"/>
  <c r="T24" i="17" s="1"/>
  <c r="T143" i="17"/>
  <c r="T127" i="17"/>
  <c r="T444" i="17"/>
  <c r="T31" i="17"/>
  <c r="T29" i="17" s="1"/>
  <c r="AT125" i="17"/>
  <c r="E32" i="17"/>
  <c r="AU20" i="17"/>
  <c r="AV20" i="17"/>
  <c r="AW20" i="17"/>
  <c r="AX21" i="17"/>
  <c r="AT28" i="17"/>
  <c r="AD275" i="17"/>
  <c r="AD273" i="17" s="1"/>
  <c r="T28" i="17" l="1"/>
  <c r="T21" i="17" s="1"/>
  <c r="T126" i="17"/>
  <c r="T125" i="17" s="1"/>
  <c r="T22" i="17" s="1"/>
  <c r="AX20" i="17"/>
  <c r="AT22" i="17"/>
  <c r="AT21" i="17"/>
  <c r="AD143" i="17"/>
  <c r="T20" i="17" l="1"/>
  <c r="AT20" i="17"/>
  <c r="K444" i="17" l="1"/>
  <c r="L444" i="17"/>
  <c r="M444" i="17"/>
  <c r="N444" i="17"/>
  <c r="P444" i="17"/>
  <c r="P26" i="17" s="1"/>
  <c r="F26" i="17" s="1"/>
  <c r="Q444" i="17"/>
  <c r="Q26" i="17" s="1"/>
  <c r="G26" i="17" s="1"/>
  <c r="R444" i="17"/>
  <c r="R26" i="17" s="1"/>
  <c r="H26" i="17" s="1"/>
  <c r="S444" i="17"/>
  <c r="S26" i="17" s="1"/>
  <c r="D444" i="17"/>
  <c r="P392" i="17"/>
  <c r="P390" i="17" s="1"/>
  <c r="P125" i="17" s="1"/>
  <c r="Q392" i="17"/>
  <c r="Q390" i="17" s="1"/>
  <c r="Q125" i="17" s="1"/>
  <c r="R392" i="17"/>
  <c r="R390" i="17" s="1"/>
  <c r="R125" i="17" s="1"/>
  <c r="S392" i="17"/>
  <c r="S390" i="17" s="1"/>
  <c r="S45" i="17"/>
  <c r="AK22" i="17"/>
  <c r="AL22" i="17"/>
  <c r="AM22" i="17"/>
  <c r="I444" i="17" l="1"/>
  <c r="N26" i="17"/>
  <c r="I45" i="17"/>
  <c r="S29" i="17"/>
  <c r="H31" i="17"/>
  <c r="H392" i="17"/>
  <c r="G31" i="17"/>
  <c r="G392" i="17"/>
  <c r="H444" i="17"/>
  <c r="F31" i="17"/>
  <c r="G126" i="17"/>
  <c r="F392" i="17"/>
  <c r="G444" i="17"/>
  <c r="I31" i="17"/>
  <c r="E31" i="17"/>
  <c r="N390" i="17"/>
  <c r="N125" i="17" s="1"/>
  <c r="I392" i="17"/>
  <c r="F444" i="17"/>
  <c r="M390" i="17"/>
  <c r="M125" i="17" s="1"/>
  <c r="L390" i="17"/>
  <c r="K390" i="17"/>
  <c r="K125" i="17" s="1"/>
  <c r="S126" i="17"/>
  <c r="S125" i="17" s="1"/>
  <c r="AD27" i="17"/>
  <c r="AD30" i="17"/>
  <c r="AD35" i="17"/>
  <c r="AD36" i="17"/>
  <c r="AD37" i="17"/>
  <c r="AD47" i="17"/>
  <c r="AD48" i="17"/>
  <c r="AD49" i="17"/>
  <c r="AD50" i="17"/>
  <c r="AD51" i="17"/>
  <c r="AD52" i="17"/>
  <c r="AD53" i="17"/>
  <c r="AD54" i="17"/>
  <c r="AD56" i="17"/>
  <c r="AD61" i="17"/>
  <c r="AD62" i="17"/>
  <c r="AD63" i="17"/>
  <c r="AD64" i="17"/>
  <c r="AD65" i="17"/>
  <c r="AD66" i="17"/>
  <c r="AD67" i="17"/>
  <c r="AD68" i="17"/>
  <c r="AD69" i="17"/>
  <c r="AD92" i="17"/>
  <c r="AD93" i="17"/>
  <c r="AD94" i="17"/>
  <c r="AD95" i="17"/>
  <c r="AD96" i="17"/>
  <c r="AD97" i="17"/>
  <c r="AD98" i="17"/>
  <c r="AD99" i="17"/>
  <c r="AD100" i="17"/>
  <c r="AD101" i="17"/>
  <c r="AD102" i="17"/>
  <c r="AD103" i="17"/>
  <c r="AD107" i="17"/>
  <c r="AD108" i="17"/>
  <c r="AD109" i="17"/>
  <c r="AD110" i="17"/>
  <c r="AD111" i="17"/>
  <c r="AD112" i="17"/>
  <c r="AD113" i="17"/>
  <c r="AD114" i="17"/>
  <c r="AD115" i="17"/>
  <c r="AD116" i="17"/>
  <c r="AD117" i="17"/>
  <c r="AD118" i="17"/>
  <c r="AD124" i="17"/>
  <c r="AD138" i="17"/>
  <c r="AD127" i="17" s="1"/>
  <c r="AD126" i="17" s="1"/>
  <c r="AD380" i="17"/>
  <c r="AD381" i="17"/>
  <c r="AD382" i="17"/>
  <c r="AD383" i="17"/>
  <c r="AD384" i="17"/>
  <c r="AD385" i="17"/>
  <c r="AD386" i="17"/>
  <c r="AD387" i="17"/>
  <c r="AD388" i="17"/>
  <c r="AD389" i="17"/>
  <c r="AD391" i="17"/>
  <c r="AD393" i="17"/>
  <c r="AD394" i="17"/>
  <c r="AD395" i="17"/>
  <c r="AD396" i="17"/>
  <c r="AD397" i="17"/>
  <c r="AD398" i="17"/>
  <c r="AD400" i="17"/>
  <c r="AD401" i="17"/>
  <c r="AD402" i="17"/>
  <c r="AD403" i="17"/>
  <c r="AD404" i="17"/>
  <c r="AD405" i="17"/>
  <c r="AD406" i="17"/>
  <c r="AD407" i="17"/>
  <c r="AD408" i="17"/>
  <c r="AD409" i="17"/>
  <c r="AD410" i="17"/>
  <c r="AD411" i="17"/>
  <c r="AD413" i="17"/>
  <c r="AD414" i="17"/>
  <c r="AD415" i="17"/>
  <c r="AD416" i="17"/>
  <c r="AD417" i="17"/>
  <c r="AD418" i="17"/>
  <c r="AD419" i="17"/>
  <c r="AD420" i="17"/>
  <c r="AD421" i="17"/>
  <c r="AD422" i="17"/>
  <c r="AD423" i="17"/>
  <c r="AD424" i="17"/>
  <c r="AD425" i="17"/>
  <c r="AD426" i="17"/>
  <c r="AD427" i="17"/>
  <c r="AD428" i="17"/>
  <c r="AD429" i="17"/>
  <c r="AD430" i="17"/>
  <c r="AD431" i="17"/>
  <c r="AD432" i="17"/>
  <c r="AD433" i="17"/>
  <c r="AD434" i="17"/>
  <c r="AD435" i="17"/>
  <c r="AD436" i="17"/>
  <c r="AD443" i="17"/>
  <c r="AD444" i="17"/>
  <c r="AD26" i="17" s="1"/>
  <c r="AD445" i="17"/>
  <c r="AD447" i="17"/>
  <c r="AD448" i="17"/>
  <c r="AD449" i="17"/>
  <c r="I390" i="17" l="1"/>
  <c r="H390" i="17"/>
  <c r="G390" i="17"/>
  <c r="J26" i="17"/>
  <c r="I26" i="17"/>
  <c r="AD31" i="17"/>
  <c r="F390" i="17"/>
  <c r="I29" i="17"/>
  <c r="F126" i="17"/>
  <c r="H126" i="17"/>
  <c r="I126" i="17"/>
  <c r="AD45" i="17"/>
  <c r="AD105" i="17"/>
  <c r="AD104" i="17" s="1"/>
  <c r="D26" i="17"/>
  <c r="AD29" i="17" l="1"/>
  <c r="AD28" i="17" s="1"/>
  <c r="AD21" i="17" s="1"/>
  <c r="D392" i="17"/>
  <c r="AE31" i="17"/>
  <c r="AF31" i="17"/>
  <c r="AG31" i="17"/>
  <c r="AH31" i="17"/>
  <c r="AI31" i="17"/>
  <c r="D31" i="17"/>
  <c r="D45" i="17"/>
  <c r="D29" i="17" l="1"/>
  <c r="D390" i="17"/>
  <c r="AD392" i="17"/>
  <c r="AD399" i="17"/>
  <c r="AD24" i="17" s="1"/>
  <c r="D24" i="17"/>
  <c r="AD390" i="17" l="1"/>
  <c r="AD125" i="17" s="1"/>
  <c r="AD22" i="17" s="1"/>
  <c r="AD20" i="17" s="1"/>
  <c r="D125" i="17"/>
  <c r="D22" i="17" s="1"/>
  <c r="AR449" i="17"/>
  <c r="AH449" i="17" s="1"/>
  <c r="AR445" i="17"/>
  <c r="AR285" i="17"/>
  <c r="AQ285" i="17"/>
  <c r="AP285" i="17"/>
  <c r="AR435" i="17"/>
  <c r="AH435" i="17" s="1"/>
  <c r="AQ435" i="17"/>
  <c r="AG435" i="17" s="1"/>
  <c r="AR434" i="17"/>
  <c r="AH434" i="17" s="1"/>
  <c r="AQ434" i="17"/>
  <c r="AG434" i="17" s="1"/>
  <c r="AR433" i="17"/>
  <c r="AH433" i="17" s="1"/>
  <c r="AQ433" i="17"/>
  <c r="AG433" i="17" s="1"/>
  <c r="AR432" i="17"/>
  <c r="AH432" i="17" s="1"/>
  <c r="AQ432" i="17"/>
  <c r="AG432" i="17" s="1"/>
  <c r="AR431" i="17"/>
  <c r="AH431" i="17" s="1"/>
  <c r="AQ431" i="17"/>
  <c r="AG431" i="17" s="1"/>
  <c r="AR430" i="17"/>
  <c r="AH430" i="17" s="1"/>
  <c r="AQ430" i="17"/>
  <c r="AG430" i="17" s="1"/>
  <c r="AR429" i="17"/>
  <c r="AH429" i="17" s="1"/>
  <c r="AQ429" i="17"/>
  <c r="AG429" i="17" s="1"/>
  <c r="AR428" i="17"/>
  <c r="AH428" i="17" s="1"/>
  <c r="AQ428" i="17"/>
  <c r="AG428" i="17" s="1"/>
  <c r="AR427" i="17"/>
  <c r="AH427" i="17" s="1"/>
  <c r="AQ427" i="17"/>
  <c r="AG427" i="17" s="1"/>
  <c r="AR426" i="17"/>
  <c r="AH426" i="17" s="1"/>
  <c r="AQ426" i="17"/>
  <c r="AG426" i="17" s="1"/>
  <c r="AR425" i="17"/>
  <c r="AH425" i="17" s="1"/>
  <c r="AQ425" i="17"/>
  <c r="AG425" i="17" s="1"/>
  <c r="AP425" i="17"/>
  <c r="AF425" i="17" s="1"/>
  <c r="AR424" i="17"/>
  <c r="AH424" i="17" s="1"/>
  <c r="AQ424" i="17"/>
  <c r="AG424" i="17" s="1"/>
  <c r="AR423" i="17"/>
  <c r="AH423" i="17" s="1"/>
  <c r="AQ423" i="17"/>
  <c r="AG423" i="17" s="1"/>
  <c r="AR416" i="17"/>
  <c r="AH416" i="17" s="1"/>
  <c r="AQ416" i="17"/>
  <c r="AG416" i="17" s="1"/>
  <c r="AR412" i="17"/>
  <c r="AH412" i="17" s="1"/>
  <c r="AQ412" i="17"/>
  <c r="AG412" i="17" s="1"/>
  <c r="AP412" i="17"/>
  <c r="AR407" i="17"/>
  <c r="AQ407" i="17"/>
  <c r="AP399" i="17" l="1"/>
  <c r="AF399" i="17" s="1"/>
  <c r="AF412" i="17"/>
  <c r="AG285" i="17"/>
  <c r="AQ275" i="17"/>
  <c r="AR399" i="17"/>
  <c r="AH399" i="17" s="1"/>
  <c r="AH407" i="17"/>
  <c r="AR444" i="17"/>
  <c r="AH444" i="17" s="1"/>
  <c r="AH445" i="17"/>
  <c r="AP275" i="17"/>
  <c r="AF285" i="17"/>
  <c r="AG407" i="17"/>
  <c r="AQ399" i="17"/>
  <c r="AG399" i="17" s="1"/>
  <c r="AR275" i="17"/>
  <c r="AH285" i="17"/>
  <c r="AR65" i="17"/>
  <c r="AH65" i="17" s="1"/>
  <c r="AR67" i="17"/>
  <c r="AH67" i="17" s="1"/>
  <c r="AQ67" i="17"/>
  <c r="AG67" i="17" s="1"/>
  <c r="AP67" i="17"/>
  <c r="AQ65" i="17"/>
  <c r="AG65" i="17" s="1"/>
  <c r="AR54" i="17"/>
  <c r="AQ54" i="17"/>
  <c r="P69" i="17"/>
  <c r="F69" i="17" s="1"/>
  <c r="Q68" i="17"/>
  <c r="G68" i="17" s="1"/>
  <c r="P68" i="17"/>
  <c r="F68" i="17" s="1"/>
  <c r="R67" i="17"/>
  <c r="H67" i="17" s="1"/>
  <c r="Q67" i="17"/>
  <c r="G67" i="17" s="1"/>
  <c r="P67" i="17"/>
  <c r="F67" i="17" s="1"/>
  <c r="Q66" i="17"/>
  <c r="G66" i="17" s="1"/>
  <c r="R65" i="17"/>
  <c r="H65" i="17" s="1"/>
  <c r="Q65" i="17"/>
  <c r="G65" i="17" s="1"/>
  <c r="Q64" i="17"/>
  <c r="G64" i="17" s="1"/>
  <c r="Q63" i="17"/>
  <c r="G63" i="17" s="1"/>
  <c r="Q62" i="17"/>
  <c r="G62" i="17" s="1"/>
  <c r="Q61" i="17"/>
  <c r="G61" i="17" s="1"/>
  <c r="P61" i="17"/>
  <c r="F61" i="17" s="1"/>
  <c r="Q56" i="17"/>
  <c r="G56" i="17" s="1"/>
  <c r="P56" i="17"/>
  <c r="F56" i="17" s="1"/>
  <c r="R54" i="17"/>
  <c r="H54" i="17" s="1"/>
  <c r="Q54" i="17"/>
  <c r="G54" i="17" s="1"/>
  <c r="Q51" i="17"/>
  <c r="G51" i="17" s="1"/>
  <c r="P51" i="17"/>
  <c r="R48" i="17"/>
  <c r="Q48" i="17"/>
  <c r="Q45" i="17" l="1"/>
  <c r="G48" i="17"/>
  <c r="R45" i="17"/>
  <c r="H48" i="17"/>
  <c r="AP45" i="17"/>
  <c r="AF67" i="17"/>
  <c r="AR45" i="17"/>
  <c r="AH54" i="17"/>
  <c r="AQ274" i="17"/>
  <c r="AG274" i="17" s="1"/>
  <c r="AG275" i="17"/>
  <c r="P45" i="17"/>
  <c r="F51" i="17"/>
  <c r="AQ45" i="17"/>
  <c r="AG54" i="17"/>
  <c r="AR274" i="17"/>
  <c r="AH274" i="17" s="1"/>
  <c r="AH275" i="17"/>
  <c r="AP274" i="17"/>
  <c r="AF274" i="17" s="1"/>
  <c r="AF275" i="17"/>
  <c r="AO56" i="17"/>
  <c r="AE56" i="17" s="1"/>
  <c r="AO61" i="17"/>
  <c r="AE61" i="17" s="1"/>
  <c r="AO62" i="17"/>
  <c r="AE62" i="17" s="1"/>
  <c r="AO63" i="17"/>
  <c r="AE63" i="17" s="1"/>
  <c r="AO64" i="17"/>
  <c r="AE64" i="17" s="1"/>
  <c r="AO65" i="17"/>
  <c r="AE65" i="17" s="1"/>
  <c r="AO66" i="17"/>
  <c r="AE66" i="17" s="1"/>
  <c r="AO67" i="17"/>
  <c r="AE67" i="17" s="1"/>
  <c r="AO68" i="17"/>
  <c r="AE68" i="17" s="1"/>
  <c r="AO69" i="17"/>
  <c r="AE69" i="17" s="1"/>
  <c r="AO54" i="17"/>
  <c r="AE54" i="17" s="1"/>
  <c r="P29" i="17" l="1"/>
  <c r="F45" i="17"/>
  <c r="AR29" i="17"/>
  <c r="AH45" i="17"/>
  <c r="R29" i="17"/>
  <c r="H45" i="17"/>
  <c r="AQ29" i="17"/>
  <c r="AG45" i="17"/>
  <c r="AP29" i="17"/>
  <c r="AF45" i="17"/>
  <c r="Q29" i="17"/>
  <c r="G45" i="17"/>
  <c r="O69" i="17"/>
  <c r="E69" i="17" s="1"/>
  <c r="O68" i="17"/>
  <c r="E68" i="17" s="1"/>
  <c r="O67" i="17"/>
  <c r="E67" i="17" s="1"/>
  <c r="O62" i="17"/>
  <c r="E62" i="17" s="1"/>
  <c r="O63" i="17"/>
  <c r="E63" i="17" s="1"/>
  <c r="O64" i="17"/>
  <c r="E64" i="17" s="1"/>
  <c r="O65" i="17"/>
  <c r="E65" i="17" s="1"/>
  <c r="O66" i="17"/>
  <c r="E66" i="17" s="1"/>
  <c r="O61" i="17"/>
  <c r="E61" i="17" s="1"/>
  <c r="O56" i="17"/>
  <c r="E56" i="17" s="1"/>
  <c r="O54" i="17"/>
  <c r="E54" i="17" s="1"/>
  <c r="Q28" i="17" l="1"/>
  <c r="G29" i="17"/>
  <c r="R28" i="17"/>
  <c r="H29" i="17"/>
  <c r="P28" i="17"/>
  <c r="F29" i="17"/>
  <c r="K24" i="17"/>
  <c r="M24" i="17"/>
  <c r="N24" i="17"/>
  <c r="I125" i="17"/>
  <c r="K28" i="17"/>
  <c r="L28" i="17"/>
  <c r="M28" i="17"/>
  <c r="L366" i="17"/>
  <c r="L433" i="17"/>
  <c r="L432" i="17"/>
  <c r="L431" i="17"/>
  <c r="L430" i="17"/>
  <c r="L429" i="17"/>
  <c r="L428" i="17"/>
  <c r="L365" i="17"/>
  <c r="L364" i="17"/>
  <c r="L310" i="17"/>
  <c r="L309" i="17"/>
  <c r="L308" i="17"/>
  <c r="G429" i="17" l="1"/>
  <c r="J429" i="17"/>
  <c r="G433" i="17"/>
  <c r="J433" i="17"/>
  <c r="G430" i="17"/>
  <c r="J430" i="17"/>
  <c r="G309" i="17"/>
  <c r="J309" i="17"/>
  <c r="G428" i="17"/>
  <c r="L399" i="17"/>
  <c r="G399" i="17" s="1"/>
  <c r="J428" i="17"/>
  <c r="G432" i="17"/>
  <c r="J432" i="17"/>
  <c r="G310" i="17"/>
  <c r="J310" i="17"/>
  <c r="G364" i="17"/>
  <c r="J364" i="17"/>
  <c r="G366" i="17"/>
  <c r="J366" i="17"/>
  <c r="G308" i="17"/>
  <c r="L275" i="17"/>
  <c r="L274" i="17" s="1"/>
  <c r="J308" i="17"/>
  <c r="G365" i="17"/>
  <c r="J365" i="17"/>
  <c r="G431" i="17"/>
  <c r="J431" i="17"/>
  <c r="F104" i="17"/>
  <c r="H125" i="17"/>
  <c r="F125" i="17"/>
  <c r="AJ449" i="17"/>
  <c r="AJ417" i="17"/>
  <c r="AJ418" i="17"/>
  <c r="AJ419" i="17"/>
  <c r="AJ420" i="17"/>
  <c r="AJ421" i="17"/>
  <c r="AJ422" i="17"/>
  <c r="AJ423" i="17"/>
  <c r="AJ424" i="17"/>
  <c r="AJ425" i="17"/>
  <c r="AJ426" i="17"/>
  <c r="AJ427" i="17"/>
  <c r="AJ428" i="17"/>
  <c r="AJ429" i="17"/>
  <c r="AJ430" i="17"/>
  <c r="AJ431" i="17"/>
  <c r="AJ432" i="17"/>
  <c r="AJ433" i="17"/>
  <c r="AJ434" i="17"/>
  <c r="AJ435" i="17"/>
  <c r="AJ436" i="17"/>
  <c r="AJ355" i="17"/>
  <c r="AJ356" i="17"/>
  <c r="AJ357" i="17"/>
  <c r="AJ358" i="17"/>
  <c r="AJ359" i="17"/>
  <c r="AJ360" i="17"/>
  <c r="AJ361" i="17"/>
  <c r="AJ362" i="17"/>
  <c r="AJ363" i="17"/>
  <c r="AJ364" i="17"/>
  <c r="AJ365" i="17"/>
  <c r="AJ366" i="17"/>
  <c r="AJ294" i="17"/>
  <c r="AJ295" i="17"/>
  <c r="AJ296" i="17"/>
  <c r="AJ297" i="17"/>
  <c r="AJ298" i="17"/>
  <c r="AJ299" i="17"/>
  <c r="AJ300" i="17"/>
  <c r="AJ301" i="17"/>
  <c r="AJ302" i="17"/>
  <c r="AJ303" i="17"/>
  <c r="AJ304" i="17"/>
  <c r="AJ305" i="17"/>
  <c r="AJ306" i="17"/>
  <c r="AJ307" i="17"/>
  <c r="AJ308" i="17"/>
  <c r="AJ309" i="17"/>
  <c r="AJ310" i="17"/>
  <c r="AJ197" i="17"/>
  <c r="AJ198" i="17"/>
  <c r="AJ199" i="17"/>
  <c r="AJ200" i="17"/>
  <c r="AJ201" i="17"/>
  <c r="AJ202" i="17"/>
  <c r="AJ186" i="17"/>
  <c r="AJ157" i="17"/>
  <c r="AJ158" i="17"/>
  <c r="AJ159" i="17"/>
  <c r="AJ160" i="17"/>
  <c r="AJ161" i="17"/>
  <c r="AJ113" i="17"/>
  <c r="AJ114" i="17"/>
  <c r="AJ115" i="17"/>
  <c r="AJ116" i="17"/>
  <c r="AJ117" i="17"/>
  <c r="AJ118" i="17"/>
  <c r="AS26" i="17"/>
  <c r="AR26" i="17"/>
  <c r="AH26" i="17" s="1"/>
  <c r="AQ26" i="17"/>
  <c r="AG26" i="17" s="1"/>
  <c r="AP26" i="17"/>
  <c r="AF26" i="17" s="1"/>
  <c r="AP443" i="17"/>
  <c r="AF443" i="17" s="1"/>
  <c r="AS24" i="17"/>
  <c r="AS390" i="17"/>
  <c r="AI390" i="17" s="1"/>
  <c r="AR390" i="17"/>
  <c r="AH390" i="17" s="1"/>
  <c r="AQ390" i="17"/>
  <c r="AG390" i="17" s="1"/>
  <c r="AP390" i="17"/>
  <c r="AF390" i="17" s="1"/>
  <c r="AO391" i="17"/>
  <c r="AE391" i="17" s="1"/>
  <c r="AO389" i="17"/>
  <c r="AO388" i="17"/>
  <c r="AO387" i="17"/>
  <c r="AO386" i="17"/>
  <c r="AO385" i="17"/>
  <c r="AO384" i="17"/>
  <c r="AO383" i="17"/>
  <c r="AO382" i="17"/>
  <c r="AO381" i="17"/>
  <c r="AO380" i="17"/>
  <c r="AS143" i="17"/>
  <c r="AS126" i="17" s="1"/>
  <c r="AP103" i="17"/>
  <c r="AF103" i="17" s="1"/>
  <c r="AP102" i="17"/>
  <c r="AF102" i="17" s="1"/>
  <c r="AP101" i="17"/>
  <c r="AF101" i="17" s="1"/>
  <c r="AP100" i="17"/>
  <c r="AF100" i="17" s="1"/>
  <c r="AP99" i="17"/>
  <c r="AF99" i="17" s="1"/>
  <c r="AP98" i="17"/>
  <c r="AF98" i="17" s="1"/>
  <c r="AP97" i="17"/>
  <c r="AF97" i="17" s="1"/>
  <c r="AP96" i="17"/>
  <c r="AF96" i="17" s="1"/>
  <c r="AP95" i="17"/>
  <c r="AF95" i="17" s="1"/>
  <c r="AP94" i="17"/>
  <c r="AF94" i="17" s="1"/>
  <c r="AP93" i="17"/>
  <c r="AF93" i="17" s="1"/>
  <c r="AP92" i="17"/>
  <c r="AF92" i="17" s="1"/>
  <c r="AP37" i="17"/>
  <c r="AF37" i="17" s="1"/>
  <c r="AP27" i="17"/>
  <c r="AF27" i="17" s="1"/>
  <c r="AS25" i="17"/>
  <c r="AS23" i="17"/>
  <c r="P443" i="17"/>
  <c r="F443" i="17" s="1"/>
  <c r="S24" i="17"/>
  <c r="I24" i="17" s="1"/>
  <c r="R24" i="17"/>
  <c r="H24" i="17" s="1"/>
  <c r="Q24" i="17"/>
  <c r="P24" i="17"/>
  <c r="F24" i="17" s="1"/>
  <c r="O391" i="17"/>
  <c r="O389" i="17"/>
  <c r="O388" i="17"/>
  <c r="O387" i="17"/>
  <c r="O386" i="17"/>
  <c r="O385" i="17"/>
  <c r="O384" i="17"/>
  <c r="O383" i="17"/>
  <c r="O382" i="17"/>
  <c r="O381" i="17"/>
  <c r="O380" i="17"/>
  <c r="F28" i="17"/>
  <c r="P103" i="17"/>
  <c r="F103" i="17" s="1"/>
  <c r="P102" i="17"/>
  <c r="F102" i="17" s="1"/>
  <c r="P101" i="17"/>
  <c r="F101" i="17" s="1"/>
  <c r="P100" i="17"/>
  <c r="F100" i="17" s="1"/>
  <c r="P99" i="17"/>
  <c r="F99" i="17" s="1"/>
  <c r="P98" i="17"/>
  <c r="F98" i="17" s="1"/>
  <c r="P97" i="17"/>
  <c r="F97" i="17" s="1"/>
  <c r="P96" i="17"/>
  <c r="F96" i="17" s="1"/>
  <c r="P95" i="17"/>
  <c r="F95" i="17" s="1"/>
  <c r="P94" i="17"/>
  <c r="F94" i="17" s="1"/>
  <c r="P93" i="17"/>
  <c r="F93" i="17" s="1"/>
  <c r="P92" i="17"/>
  <c r="F92" i="17" s="1"/>
  <c r="P37" i="17"/>
  <c r="F37" i="17" s="1"/>
  <c r="P27" i="17"/>
  <c r="F27" i="17" s="1"/>
  <c r="S25" i="17"/>
  <c r="P25" i="17" s="1"/>
  <c r="F25" i="17" s="1"/>
  <c r="S23" i="17"/>
  <c r="P23" i="17" s="1"/>
  <c r="F23" i="17" s="1"/>
  <c r="O449" i="17"/>
  <c r="O445" i="17"/>
  <c r="O436" i="17"/>
  <c r="O435" i="17"/>
  <c r="E435" i="17" s="1"/>
  <c r="O434" i="17"/>
  <c r="E434" i="17" s="1"/>
  <c r="O433" i="17"/>
  <c r="O432" i="17"/>
  <c r="E432" i="17" s="1"/>
  <c r="O431" i="17"/>
  <c r="O430" i="17"/>
  <c r="O429" i="17"/>
  <c r="O428" i="17"/>
  <c r="O427" i="17"/>
  <c r="O426" i="17"/>
  <c r="O425" i="17"/>
  <c r="O424" i="17"/>
  <c r="O423" i="17"/>
  <c r="O422" i="17"/>
  <c r="O421" i="17"/>
  <c r="O420" i="17"/>
  <c r="O419" i="17"/>
  <c r="O418" i="17"/>
  <c r="O417" i="17"/>
  <c r="O416" i="17"/>
  <c r="O415" i="17"/>
  <c r="O414" i="17"/>
  <c r="O413" i="17"/>
  <c r="O412" i="17"/>
  <c r="O411" i="17"/>
  <c r="O410" i="17"/>
  <c r="O409" i="17"/>
  <c r="O408" i="17"/>
  <c r="O407" i="17"/>
  <c r="O406" i="17"/>
  <c r="O405" i="17"/>
  <c r="O404" i="17"/>
  <c r="O403" i="17"/>
  <c r="O402" i="17"/>
  <c r="O401" i="17"/>
  <c r="O400" i="17"/>
  <c r="O395" i="17"/>
  <c r="O394" i="17"/>
  <c r="O393" i="17"/>
  <c r="O366" i="17"/>
  <c r="O365" i="17"/>
  <c r="O364" i="17"/>
  <c r="E364" i="17" s="1"/>
  <c r="O363" i="17"/>
  <c r="E363" i="17" s="1"/>
  <c r="O362" i="17"/>
  <c r="E362" i="17" s="1"/>
  <c r="O361" i="17"/>
  <c r="E361" i="17" s="1"/>
  <c r="O360" i="17"/>
  <c r="E360" i="17" s="1"/>
  <c r="O359" i="17"/>
  <c r="E359" i="17" s="1"/>
  <c r="O358" i="17"/>
  <c r="E358" i="17" s="1"/>
  <c r="O357" i="17"/>
  <c r="E357" i="17" s="1"/>
  <c r="O356" i="17"/>
  <c r="E356" i="17" s="1"/>
  <c r="O355" i="17"/>
  <c r="E355" i="17" s="1"/>
  <c r="O354" i="17"/>
  <c r="E354" i="17" s="1"/>
  <c r="O353" i="17"/>
  <c r="E353" i="17" s="1"/>
  <c r="O352" i="17"/>
  <c r="E352" i="17" s="1"/>
  <c r="O351" i="17"/>
  <c r="E351" i="17" s="1"/>
  <c r="O350" i="17"/>
  <c r="E350" i="17" s="1"/>
  <c r="O349" i="17"/>
  <c r="E349" i="17" s="1"/>
  <c r="O348" i="17"/>
  <c r="E348" i="17" s="1"/>
  <c r="O347" i="17"/>
  <c r="E347" i="17" s="1"/>
  <c r="O346" i="17"/>
  <c r="E346" i="17" s="1"/>
  <c r="O345" i="17"/>
  <c r="E345" i="17" s="1"/>
  <c r="O344" i="17"/>
  <c r="E344" i="17" s="1"/>
  <c r="O343" i="17"/>
  <c r="E343" i="17" s="1"/>
  <c r="O342" i="17"/>
  <c r="E342" i="17" s="1"/>
  <c r="O341" i="17"/>
  <c r="E341" i="17" s="1"/>
  <c r="O340" i="17"/>
  <c r="E340" i="17" s="1"/>
  <c r="O339" i="17"/>
  <c r="E339" i="17" s="1"/>
  <c r="O338" i="17"/>
  <c r="E338" i="17" s="1"/>
  <c r="O337" i="17"/>
  <c r="E337" i="17" s="1"/>
  <c r="O336" i="17"/>
  <c r="E336" i="17" s="1"/>
  <c r="O335" i="17"/>
  <c r="E335" i="17" s="1"/>
  <c r="O334" i="17"/>
  <c r="E334" i="17" s="1"/>
  <c r="O333" i="17"/>
  <c r="E333" i="17" s="1"/>
  <c r="O332" i="17"/>
  <c r="E332" i="17" s="1"/>
  <c r="O331" i="17"/>
  <c r="E331" i="17" s="1"/>
  <c r="O330" i="17"/>
  <c r="E330" i="17" s="1"/>
  <c r="O329" i="17"/>
  <c r="E329" i="17" s="1"/>
  <c r="O328" i="17"/>
  <c r="E328" i="17" s="1"/>
  <c r="O310" i="17"/>
  <c r="O309" i="17"/>
  <c r="O308" i="17"/>
  <c r="O307" i="17"/>
  <c r="E307" i="17" s="1"/>
  <c r="O306" i="17"/>
  <c r="E306" i="17" s="1"/>
  <c r="O305" i="17"/>
  <c r="E305" i="17" s="1"/>
  <c r="O304" i="17"/>
  <c r="E304" i="17" s="1"/>
  <c r="O303" i="17"/>
  <c r="E303" i="17" s="1"/>
  <c r="O302" i="17"/>
  <c r="E302" i="17" s="1"/>
  <c r="O301" i="17"/>
  <c r="E301" i="17" s="1"/>
  <c r="O300" i="17"/>
  <c r="E300" i="17" s="1"/>
  <c r="O299" i="17"/>
  <c r="E299" i="17" s="1"/>
  <c r="O298" i="17"/>
  <c r="E298" i="17" s="1"/>
  <c r="O294" i="17"/>
  <c r="E294" i="17" s="1"/>
  <c r="O293" i="17"/>
  <c r="E293" i="17" s="1"/>
  <c r="O292" i="17"/>
  <c r="E292" i="17" s="1"/>
  <c r="O291" i="17"/>
  <c r="E291" i="17" s="1"/>
  <c r="O290" i="17"/>
  <c r="E290" i="17" s="1"/>
  <c r="O289" i="17"/>
  <c r="E289" i="17" s="1"/>
  <c r="O288" i="17"/>
  <c r="E288" i="17" s="1"/>
  <c r="O285" i="17"/>
  <c r="E285" i="17" s="1"/>
  <c r="O284" i="17"/>
  <c r="E284" i="17" s="1"/>
  <c r="O283" i="17"/>
  <c r="E283" i="17" s="1"/>
  <c r="O282" i="17"/>
  <c r="E282" i="17" s="1"/>
  <c r="O281" i="17"/>
  <c r="E281" i="17" s="1"/>
  <c r="O280" i="17"/>
  <c r="E280" i="17" s="1"/>
  <c r="O279" i="17"/>
  <c r="E279" i="17" s="1"/>
  <c r="O278" i="17"/>
  <c r="E278" i="17" s="1"/>
  <c r="O277" i="17"/>
  <c r="E277" i="17" s="1"/>
  <c r="O276" i="17"/>
  <c r="O211" i="17"/>
  <c r="O202" i="17"/>
  <c r="O201" i="17"/>
  <c r="O200" i="17"/>
  <c r="O199" i="17"/>
  <c r="O198" i="17"/>
  <c r="O197" i="17"/>
  <c r="O196" i="17"/>
  <c r="O195" i="17"/>
  <c r="O194" i="17"/>
  <c r="O193" i="17"/>
  <c r="O192" i="17"/>
  <c r="O191" i="17"/>
  <c r="O190" i="17"/>
  <c r="O189" i="17"/>
  <c r="O188" i="17"/>
  <c r="O187" i="17"/>
  <c r="O186" i="17"/>
  <c r="O185" i="17"/>
  <c r="O184" i="17"/>
  <c r="O183" i="17"/>
  <c r="O182" i="17"/>
  <c r="O181" i="17"/>
  <c r="O180" i="17"/>
  <c r="O179" i="17"/>
  <c r="O178" i="17"/>
  <c r="O177" i="17"/>
  <c r="O176" i="17"/>
  <c r="O175" i="17"/>
  <c r="O174" i="17"/>
  <c r="O173" i="17"/>
  <c r="O172" i="17"/>
  <c r="O171" i="17"/>
  <c r="O170" i="17"/>
  <c r="O169" i="17"/>
  <c r="O168" i="17"/>
  <c r="O167" i="17"/>
  <c r="O166" i="17"/>
  <c r="O165" i="17"/>
  <c r="O164" i="17"/>
  <c r="O163" i="17"/>
  <c r="O162" i="17"/>
  <c r="O161" i="17"/>
  <c r="O160" i="17"/>
  <c r="O159" i="17"/>
  <c r="O158" i="17"/>
  <c r="O157" i="17"/>
  <c r="O156" i="17"/>
  <c r="O155" i="17"/>
  <c r="O154" i="17"/>
  <c r="O153" i="17"/>
  <c r="O152" i="17"/>
  <c r="O151" i="17"/>
  <c r="O150" i="17"/>
  <c r="O149" i="17"/>
  <c r="O148" i="17"/>
  <c r="O147" i="17"/>
  <c r="O146" i="17"/>
  <c r="O145" i="17"/>
  <c r="O144" i="17"/>
  <c r="O138" i="17"/>
  <c r="O137" i="17"/>
  <c r="O136" i="17"/>
  <c r="O135" i="17"/>
  <c r="O134" i="17"/>
  <c r="O133" i="17"/>
  <c r="O132" i="17"/>
  <c r="O131" i="17"/>
  <c r="O130" i="17"/>
  <c r="O129" i="17"/>
  <c r="O128" i="17"/>
  <c r="O118" i="17"/>
  <c r="O117" i="17"/>
  <c r="O116" i="17"/>
  <c r="O115" i="17"/>
  <c r="O114" i="17"/>
  <c r="O113" i="17"/>
  <c r="O112" i="17"/>
  <c r="O111" i="17"/>
  <c r="O110" i="17"/>
  <c r="O109" i="17"/>
  <c r="O108" i="17"/>
  <c r="O107" i="17"/>
  <c r="O106" i="17"/>
  <c r="O53" i="17"/>
  <c r="O52" i="17"/>
  <c r="O51" i="17"/>
  <c r="O50" i="17"/>
  <c r="O49" i="17"/>
  <c r="O48" i="17"/>
  <c r="O47" i="17"/>
  <c r="E310" i="17" l="1"/>
  <c r="G275" i="17"/>
  <c r="E308" i="17"/>
  <c r="E365" i="17"/>
  <c r="J275" i="17"/>
  <c r="J274" i="17" s="1"/>
  <c r="J399" i="17"/>
  <c r="E309" i="17"/>
  <c r="E366" i="17"/>
  <c r="G274" i="17"/>
  <c r="L125" i="17"/>
  <c r="O275" i="17"/>
  <c r="O274" i="17" s="1"/>
  <c r="E276" i="17"/>
  <c r="AS125" i="17"/>
  <c r="AS22" i="17" s="1"/>
  <c r="O105" i="17"/>
  <c r="O104" i="17" s="1"/>
  <c r="O127" i="17"/>
  <c r="E428" i="17"/>
  <c r="E431" i="17"/>
  <c r="O45" i="17"/>
  <c r="O29" i="17" s="1"/>
  <c r="E429" i="17"/>
  <c r="E433" i="17"/>
  <c r="E430" i="17"/>
  <c r="AP25" i="17"/>
  <c r="AF25" i="17" s="1"/>
  <c r="AI25" i="17"/>
  <c r="AP23" i="17"/>
  <c r="AF23" i="17" s="1"/>
  <c r="AI23" i="17"/>
  <c r="G104" i="17"/>
  <c r="H104" i="17"/>
  <c r="G28" i="17"/>
  <c r="H28" i="17"/>
  <c r="AP24" i="17"/>
  <c r="AF24" i="17" s="1"/>
  <c r="AQ24" i="17"/>
  <c r="AG24" i="17" s="1"/>
  <c r="AR24" i="17"/>
  <c r="AH24" i="17" s="1"/>
  <c r="K21" i="17"/>
  <c r="K22" i="17"/>
  <c r="L24" i="17"/>
  <c r="G24" i="17" s="1"/>
  <c r="L21" i="17"/>
  <c r="M22" i="17"/>
  <c r="M21" i="17"/>
  <c r="O399" i="17"/>
  <c r="O24" i="17" s="1"/>
  <c r="O143" i="17"/>
  <c r="O392" i="17"/>
  <c r="O390" i="17" s="1"/>
  <c r="O444" i="17"/>
  <c r="O26" i="17" s="1"/>
  <c r="AP28" i="17"/>
  <c r="AP21" i="17" s="1"/>
  <c r="R22" i="17"/>
  <c r="Q21" i="17"/>
  <c r="S22" i="17"/>
  <c r="S104" i="17"/>
  <c r="S28" i="17" s="1"/>
  <c r="R21" i="17"/>
  <c r="Q22" i="17"/>
  <c r="P22" i="17"/>
  <c r="P21" i="17"/>
  <c r="E274" i="17" l="1"/>
  <c r="E275" i="17"/>
  <c r="O126" i="17"/>
  <c r="O125" i="17" s="1"/>
  <c r="AR143" i="17"/>
  <c r="AH273" i="17"/>
  <c r="AG273" i="17"/>
  <c r="AQ143" i="17"/>
  <c r="AP143" i="17"/>
  <c r="AF273" i="17"/>
  <c r="F22" i="17"/>
  <c r="H22" i="17"/>
  <c r="H21" i="17"/>
  <c r="G21" i="17"/>
  <c r="F21" i="17"/>
  <c r="M20" i="17"/>
  <c r="K20" i="17"/>
  <c r="AR28" i="17"/>
  <c r="AR21" i="17" s="1"/>
  <c r="AS28" i="17"/>
  <c r="AS21" i="17" s="1"/>
  <c r="AS20" i="17" s="1"/>
  <c r="AQ28" i="17"/>
  <c r="AQ21" i="17" s="1"/>
  <c r="S21" i="17"/>
  <c r="S20" i="17" s="1"/>
  <c r="R20" i="17"/>
  <c r="Q20" i="17"/>
  <c r="P20" i="17"/>
  <c r="AG143" i="17" l="1"/>
  <c r="AQ126" i="17"/>
  <c r="AP126" i="17"/>
  <c r="AF143" i="17"/>
  <c r="AH143" i="17"/>
  <c r="AR126" i="17"/>
  <c r="H20" i="17"/>
  <c r="F20" i="17"/>
  <c r="L22" i="17"/>
  <c r="G22" i="17" s="1"/>
  <c r="G125" i="17"/>
  <c r="O28" i="17"/>
  <c r="O21" i="17" s="1"/>
  <c r="E186" i="17"/>
  <c r="J449" i="17"/>
  <c r="E449" i="17" s="1"/>
  <c r="J445" i="17"/>
  <c r="E445" i="17" s="1"/>
  <c r="E418" i="17"/>
  <c r="E419" i="17"/>
  <c r="E420" i="17"/>
  <c r="E421" i="17"/>
  <c r="E422" i="17"/>
  <c r="E423" i="17"/>
  <c r="E424" i="17"/>
  <c r="E425" i="17"/>
  <c r="E426" i="17"/>
  <c r="E427" i="17"/>
  <c r="E436" i="17"/>
  <c r="E417" i="17"/>
  <c r="E198" i="17"/>
  <c r="E199" i="17"/>
  <c r="E200" i="17"/>
  <c r="E201" i="17"/>
  <c r="E202" i="17"/>
  <c r="E197" i="17"/>
  <c r="E158" i="17"/>
  <c r="E159" i="17"/>
  <c r="E160" i="17"/>
  <c r="E161" i="17"/>
  <c r="E157" i="17"/>
  <c r="J113" i="17"/>
  <c r="E113" i="17" s="1"/>
  <c r="J114" i="17"/>
  <c r="E114" i="17" s="1"/>
  <c r="J115" i="17"/>
  <c r="E115" i="17" s="1"/>
  <c r="J116" i="17"/>
  <c r="E116" i="17" s="1"/>
  <c r="J117" i="17"/>
  <c r="E117" i="17" s="1"/>
  <c r="J118" i="17"/>
  <c r="E118" i="17" s="1"/>
  <c r="AO401" i="17"/>
  <c r="AO402" i="17"/>
  <c r="AO403" i="17"/>
  <c r="AO404" i="17"/>
  <c r="AO405" i="17"/>
  <c r="AO406" i="17"/>
  <c r="AO407" i="17"/>
  <c r="AO408" i="17"/>
  <c r="AO409" i="17"/>
  <c r="AO410" i="17"/>
  <c r="AO411" i="17"/>
  <c r="AO412" i="17"/>
  <c r="AO413" i="17"/>
  <c r="AO414" i="17"/>
  <c r="AO415" i="17"/>
  <c r="AO416" i="17"/>
  <c r="AO417" i="17"/>
  <c r="AE417" i="17" s="1"/>
  <c r="AO418" i="17"/>
  <c r="AE418" i="17" s="1"/>
  <c r="AO419" i="17"/>
  <c r="AE419" i="17" s="1"/>
  <c r="AO420" i="17"/>
  <c r="AE420" i="17" s="1"/>
  <c r="AO421" i="17"/>
  <c r="AE421" i="17" s="1"/>
  <c r="AO422" i="17"/>
  <c r="AE422" i="17" s="1"/>
  <c r="AO423" i="17"/>
  <c r="AE423" i="17" s="1"/>
  <c r="AO424" i="17"/>
  <c r="AE424" i="17" s="1"/>
  <c r="AO425" i="17"/>
  <c r="AE425" i="17" s="1"/>
  <c r="AO426" i="17"/>
  <c r="AE426" i="17" s="1"/>
  <c r="AO427" i="17"/>
  <c r="AE427" i="17" s="1"/>
  <c r="AO428" i="17"/>
  <c r="AE428" i="17" s="1"/>
  <c r="AO429" i="17"/>
  <c r="AE429" i="17" s="1"/>
  <c r="AO430" i="17"/>
  <c r="AE430" i="17" s="1"/>
  <c r="AO431" i="17"/>
  <c r="AE431" i="17" s="1"/>
  <c r="AO432" i="17"/>
  <c r="AE432" i="17" s="1"/>
  <c r="AO433" i="17"/>
  <c r="AE433" i="17" s="1"/>
  <c r="AO434" i="17"/>
  <c r="AE434" i="17" s="1"/>
  <c r="AO435" i="17"/>
  <c r="AE435" i="17" s="1"/>
  <c r="AO436" i="17"/>
  <c r="AE436" i="17" s="1"/>
  <c r="AO400" i="17"/>
  <c r="AO394" i="17"/>
  <c r="AO395" i="17"/>
  <c r="AO393" i="17"/>
  <c r="AO144" i="17"/>
  <c r="AO145" i="17"/>
  <c r="AO146" i="17"/>
  <c r="AO147" i="17"/>
  <c r="AO148" i="17"/>
  <c r="AO149" i="17"/>
  <c r="AO150" i="17"/>
  <c r="AO151" i="17"/>
  <c r="AO152" i="17"/>
  <c r="AO153" i="17"/>
  <c r="AO154" i="17"/>
  <c r="AO155" i="17"/>
  <c r="AO156" i="17"/>
  <c r="AO157" i="17"/>
  <c r="AE157" i="17" s="1"/>
  <c r="AO158" i="17"/>
  <c r="AE158" i="17" s="1"/>
  <c r="AO159" i="17"/>
  <c r="AE159" i="17" s="1"/>
  <c r="AO160" i="17"/>
  <c r="AE160" i="17" s="1"/>
  <c r="AO161" i="17"/>
  <c r="AE161" i="17" s="1"/>
  <c r="AO162" i="17"/>
  <c r="AO163" i="17"/>
  <c r="AO164" i="17"/>
  <c r="AO165" i="17"/>
  <c r="AO166" i="17"/>
  <c r="AO167" i="17"/>
  <c r="AO168" i="17"/>
  <c r="AO169" i="17"/>
  <c r="AO170" i="17"/>
  <c r="AO171" i="17"/>
  <c r="AO172" i="17"/>
  <c r="AO173" i="17"/>
  <c r="AO174" i="17"/>
  <c r="AO175" i="17"/>
  <c r="AO176" i="17"/>
  <c r="AO177" i="17"/>
  <c r="AO178" i="17"/>
  <c r="AO179" i="17"/>
  <c r="AO180" i="17"/>
  <c r="AO181" i="17"/>
  <c r="AO182" i="17"/>
  <c r="AO183" i="17"/>
  <c r="AO184" i="17"/>
  <c r="AO185" i="17"/>
  <c r="AO186" i="17"/>
  <c r="AE186" i="17" s="1"/>
  <c r="AO187" i="17"/>
  <c r="AO188" i="17"/>
  <c r="AO189" i="17"/>
  <c r="AO190" i="17"/>
  <c r="AO191" i="17"/>
  <c r="AO192" i="17"/>
  <c r="AO193" i="17"/>
  <c r="AO194" i="17"/>
  <c r="AO195" i="17"/>
  <c r="AO196" i="17"/>
  <c r="AO197" i="17"/>
  <c r="AE197" i="17" s="1"/>
  <c r="AO198" i="17"/>
  <c r="AE198" i="17" s="1"/>
  <c r="AO199" i="17"/>
  <c r="AE199" i="17" s="1"/>
  <c r="AO200" i="17"/>
  <c r="AE200" i="17" s="1"/>
  <c r="AO201" i="17"/>
  <c r="AE201" i="17" s="1"/>
  <c r="AO202" i="17"/>
  <c r="AE202" i="17" s="1"/>
  <c r="AO211" i="17"/>
  <c r="AO129" i="17"/>
  <c r="AO130" i="17"/>
  <c r="AO131" i="17"/>
  <c r="AO132" i="17"/>
  <c r="AO133" i="17"/>
  <c r="AO134" i="17"/>
  <c r="AO135" i="17"/>
  <c r="AO136" i="17"/>
  <c r="AO137" i="17"/>
  <c r="AO138" i="17"/>
  <c r="AO128" i="17"/>
  <c r="AO107" i="17"/>
  <c r="AO108" i="17"/>
  <c r="AO109" i="17"/>
  <c r="AO110" i="17"/>
  <c r="AO111" i="17"/>
  <c r="AO112" i="17"/>
  <c r="AO106" i="17"/>
  <c r="AO446" i="17"/>
  <c r="AO447" i="17"/>
  <c r="AO448" i="17"/>
  <c r="AO449" i="17"/>
  <c r="AE449" i="17" s="1"/>
  <c r="AO445" i="17"/>
  <c r="AO285" i="17"/>
  <c r="AO115" i="17"/>
  <c r="AE115" i="17" s="1"/>
  <c r="AO116" i="17"/>
  <c r="AE116" i="17" s="1"/>
  <c r="AO117" i="17"/>
  <c r="AE117" i="17" s="1"/>
  <c r="AO118" i="17"/>
  <c r="AE118" i="17" s="1"/>
  <c r="AO114" i="17"/>
  <c r="AE114" i="17" s="1"/>
  <c r="AO113" i="17"/>
  <c r="AE113" i="17" s="1"/>
  <c r="AO277" i="17"/>
  <c r="AO278" i="17"/>
  <c r="AO279" i="17"/>
  <c r="AO280" i="17"/>
  <c r="AO281" i="17"/>
  <c r="AO282" i="17"/>
  <c r="AO283" i="17"/>
  <c r="AO284" i="17"/>
  <c r="AO288" i="17"/>
  <c r="AO289" i="17"/>
  <c r="AO290" i="17"/>
  <c r="AO291" i="17"/>
  <c r="AO292" i="17"/>
  <c r="AO293" i="17"/>
  <c r="AO294" i="17"/>
  <c r="AE294" i="17" s="1"/>
  <c r="AO295" i="17"/>
  <c r="AE295" i="17" s="1"/>
  <c r="AO296" i="17"/>
  <c r="AE296" i="17" s="1"/>
  <c r="AO297" i="17"/>
  <c r="AE297" i="17" s="1"/>
  <c r="AO298" i="17"/>
  <c r="AE298" i="17" s="1"/>
  <c r="AO299" i="17"/>
  <c r="AE299" i="17" s="1"/>
  <c r="AO300" i="17"/>
  <c r="AE300" i="17" s="1"/>
  <c r="AO301" i="17"/>
  <c r="AE301" i="17" s="1"/>
  <c r="AO302" i="17"/>
  <c r="AE302" i="17" s="1"/>
  <c r="AO303" i="17"/>
  <c r="AE303" i="17" s="1"/>
  <c r="AO304" i="17"/>
  <c r="AE304" i="17" s="1"/>
  <c r="AO305" i="17"/>
  <c r="AE305" i="17" s="1"/>
  <c r="AO306" i="17"/>
  <c r="AE306" i="17" s="1"/>
  <c r="AO307" i="17"/>
  <c r="AE307" i="17" s="1"/>
  <c r="AO308" i="17"/>
  <c r="AE308" i="17" s="1"/>
  <c r="AO309" i="17"/>
  <c r="AE309" i="17" s="1"/>
  <c r="AO310" i="17"/>
  <c r="AE310" i="17" s="1"/>
  <c r="AO328" i="17"/>
  <c r="AO329" i="17"/>
  <c r="AO330" i="17"/>
  <c r="AO331" i="17"/>
  <c r="AO332" i="17"/>
  <c r="AO333" i="17"/>
  <c r="AO334" i="17"/>
  <c r="AO335" i="17"/>
  <c r="AO336" i="17"/>
  <c r="AO337" i="17"/>
  <c r="AO338" i="17"/>
  <c r="AO339" i="17"/>
  <c r="AO340" i="17"/>
  <c r="AO341" i="17"/>
  <c r="AO342" i="17"/>
  <c r="AO343" i="17"/>
  <c r="AO344" i="17"/>
  <c r="AO345" i="17"/>
  <c r="AO346" i="17"/>
  <c r="AO347" i="17"/>
  <c r="AO348" i="17"/>
  <c r="AO349" i="17"/>
  <c r="AO350" i="17"/>
  <c r="AO351" i="17"/>
  <c r="AO352" i="17"/>
  <c r="AO353" i="17"/>
  <c r="AO354" i="17"/>
  <c r="AO355" i="17"/>
  <c r="AE355" i="17" s="1"/>
  <c r="AO356" i="17"/>
  <c r="AE356" i="17" s="1"/>
  <c r="AO357" i="17"/>
  <c r="AE357" i="17" s="1"/>
  <c r="AO358" i="17"/>
  <c r="AE358" i="17" s="1"/>
  <c r="AO359" i="17"/>
  <c r="AE359" i="17" s="1"/>
  <c r="AO360" i="17"/>
  <c r="AE360" i="17" s="1"/>
  <c r="AO361" i="17"/>
  <c r="AE361" i="17" s="1"/>
  <c r="AO362" i="17"/>
  <c r="AE362" i="17" s="1"/>
  <c r="AO363" i="17"/>
  <c r="AE363" i="17" s="1"/>
  <c r="AO364" i="17"/>
  <c r="AE364" i="17" s="1"/>
  <c r="AO365" i="17"/>
  <c r="AE365" i="17" s="1"/>
  <c r="AO366" i="17"/>
  <c r="AE366" i="17" s="1"/>
  <c r="AO276" i="17"/>
  <c r="AO53" i="17"/>
  <c r="AO52" i="17"/>
  <c r="AO51" i="17"/>
  <c r="AO50" i="17"/>
  <c r="AO49" i="17"/>
  <c r="AO48" i="17"/>
  <c r="AO47" i="17"/>
  <c r="AO127" i="17" l="1"/>
  <c r="AO45" i="17"/>
  <c r="AO29" i="17" s="1"/>
  <c r="AO444" i="17"/>
  <c r="AO26" i="17" s="1"/>
  <c r="AO399" i="17"/>
  <c r="AO24" i="17" s="1"/>
  <c r="AO275" i="17"/>
  <c r="AO274" i="17" s="1"/>
  <c r="AO105" i="17"/>
  <c r="AO104" i="17" s="1"/>
  <c r="AO392" i="17"/>
  <c r="AO390" i="17" s="1"/>
  <c r="AP125" i="17"/>
  <c r="AF126" i="17"/>
  <c r="AR125" i="17"/>
  <c r="AH126" i="17"/>
  <c r="AQ125" i="17"/>
  <c r="AG126" i="17"/>
  <c r="L20" i="17"/>
  <c r="O22" i="17"/>
  <c r="O20" i="17" s="1"/>
  <c r="AI29" i="17"/>
  <c r="AH29" i="17"/>
  <c r="AG29" i="17"/>
  <c r="AF29" i="17"/>
  <c r="AO143" i="17" l="1"/>
  <c r="AO126" i="17" s="1"/>
  <c r="AO125" i="17" s="1"/>
  <c r="AO22" i="17" s="1"/>
  <c r="AH125" i="17"/>
  <c r="AR22" i="17"/>
  <c r="AG125" i="17"/>
  <c r="AQ22" i="17"/>
  <c r="AF125" i="17"/>
  <c r="AP22" i="17"/>
  <c r="G20" i="17"/>
  <c r="AF28" i="17"/>
  <c r="AH28" i="17"/>
  <c r="AG28" i="17"/>
  <c r="AF22" i="17" l="1"/>
  <c r="AP20" i="17"/>
  <c r="AH22" i="17"/>
  <c r="AR20" i="17"/>
  <c r="AG22" i="17"/>
  <c r="AQ20" i="17"/>
  <c r="AK21" i="17"/>
  <c r="AF21" i="17" s="1"/>
  <c r="AL21" i="17"/>
  <c r="AG21" i="17" s="1"/>
  <c r="AM21" i="17"/>
  <c r="AH21" i="17" s="1"/>
  <c r="AO28" i="17"/>
  <c r="AO21" i="17" s="1"/>
  <c r="AO20" i="17" s="1"/>
  <c r="AM20" i="17" l="1"/>
  <c r="AH20" i="17" s="1"/>
  <c r="AL20" i="17"/>
  <c r="AG20" i="17" s="1"/>
  <c r="AK20" i="17"/>
  <c r="AF20" i="17" s="1"/>
  <c r="N28" i="17"/>
  <c r="I28" i="17" l="1"/>
  <c r="I104" i="17"/>
  <c r="D28" i="17"/>
  <c r="D21" i="17" s="1"/>
  <c r="D20" i="17" s="1"/>
  <c r="AJ448" i="17" l="1"/>
  <c r="AE448" i="17" s="1"/>
  <c r="AJ447" i="17"/>
  <c r="AE447" i="17" s="1"/>
  <c r="AJ446" i="17"/>
  <c r="AE446" i="17" s="1"/>
  <c r="AJ445" i="17"/>
  <c r="AJ443" i="17"/>
  <c r="AE443" i="17" s="1"/>
  <c r="AJ416" i="17"/>
  <c r="AE416" i="17" s="1"/>
  <c r="AJ415" i="17"/>
  <c r="AE415" i="17" s="1"/>
  <c r="AJ414" i="17"/>
  <c r="AE414" i="17" s="1"/>
  <c r="AJ413" i="17"/>
  <c r="AE413" i="17" s="1"/>
  <c r="AJ412" i="17"/>
  <c r="AE412" i="17" s="1"/>
  <c r="AJ411" i="17"/>
  <c r="AE411" i="17" s="1"/>
  <c r="AJ410" i="17"/>
  <c r="AE410" i="17" s="1"/>
  <c r="AJ409" i="17"/>
  <c r="AE409" i="17" s="1"/>
  <c r="AJ408" i="17"/>
  <c r="AE408" i="17" s="1"/>
  <c r="AJ407" i="17"/>
  <c r="AE407" i="17" s="1"/>
  <c r="AJ406" i="17"/>
  <c r="AE406" i="17" s="1"/>
  <c r="AJ405" i="17"/>
  <c r="AE405" i="17" s="1"/>
  <c r="AJ404" i="17"/>
  <c r="AE404" i="17" s="1"/>
  <c r="AJ403" i="17"/>
  <c r="AE403" i="17" s="1"/>
  <c r="AJ402" i="17"/>
  <c r="AE402" i="17" s="1"/>
  <c r="AJ401" i="17"/>
  <c r="AE401" i="17" s="1"/>
  <c r="AJ400" i="17"/>
  <c r="AJ398" i="17"/>
  <c r="AE398" i="17" s="1"/>
  <c r="AJ397" i="17"/>
  <c r="AE397" i="17" s="1"/>
  <c r="AJ396" i="17"/>
  <c r="AE396" i="17" s="1"/>
  <c r="AJ395" i="17"/>
  <c r="AE395" i="17" s="1"/>
  <c r="AJ394" i="17"/>
  <c r="AE394" i="17" s="1"/>
  <c r="AJ393" i="17"/>
  <c r="AJ389" i="17"/>
  <c r="AE389" i="17" s="1"/>
  <c r="AJ388" i="17"/>
  <c r="AE388" i="17" s="1"/>
  <c r="AJ387" i="17"/>
  <c r="AE387" i="17" s="1"/>
  <c r="AJ386" i="17"/>
  <c r="AE386" i="17" s="1"/>
  <c r="AJ385" i="17"/>
  <c r="AE385" i="17" s="1"/>
  <c r="AJ384" i="17"/>
  <c r="AE384" i="17" s="1"/>
  <c r="AJ383" i="17"/>
  <c r="AE383" i="17" s="1"/>
  <c r="AJ382" i="17"/>
  <c r="AE382" i="17" s="1"/>
  <c r="AJ381" i="17"/>
  <c r="AE381" i="17" s="1"/>
  <c r="AJ380" i="17"/>
  <c r="AE380" i="17" s="1"/>
  <c r="AJ354" i="17"/>
  <c r="AE354" i="17" s="1"/>
  <c r="AJ353" i="17"/>
  <c r="AE353" i="17" s="1"/>
  <c r="AJ352" i="17"/>
  <c r="AE352" i="17" s="1"/>
  <c r="AJ351" i="17"/>
  <c r="AE351" i="17" s="1"/>
  <c r="AJ350" i="17"/>
  <c r="AE350" i="17" s="1"/>
  <c r="AJ349" i="17"/>
  <c r="AE349" i="17" s="1"/>
  <c r="AJ348" i="17"/>
  <c r="AE348" i="17" s="1"/>
  <c r="AJ347" i="17"/>
  <c r="AE347" i="17" s="1"/>
  <c r="AJ346" i="17"/>
  <c r="AE346" i="17" s="1"/>
  <c r="AJ345" i="17"/>
  <c r="AE345" i="17" s="1"/>
  <c r="AJ344" i="17"/>
  <c r="AE344" i="17" s="1"/>
  <c r="AJ343" i="17"/>
  <c r="AE343" i="17" s="1"/>
  <c r="AJ342" i="17"/>
  <c r="AE342" i="17" s="1"/>
  <c r="AJ341" i="17"/>
  <c r="AE341" i="17" s="1"/>
  <c r="AJ340" i="17"/>
  <c r="AE340" i="17" s="1"/>
  <c r="AJ339" i="17"/>
  <c r="AE339" i="17" s="1"/>
  <c r="AJ338" i="17"/>
  <c r="AE338" i="17" s="1"/>
  <c r="AJ337" i="17"/>
  <c r="AE337" i="17" s="1"/>
  <c r="AJ336" i="17"/>
  <c r="AE336" i="17" s="1"/>
  <c r="AJ335" i="17"/>
  <c r="AE335" i="17" s="1"/>
  <c r="AJ334" i="17"/>
  <c r="AE334" i="17" s="1"/>
  <c r="AJ333" i="17"/>
  <c r="AE333" i="17" s="1"/>
  <c r="AJ332" i="17"/>
  <c r="AE332" i="17" s="1"/>
  <c r="AJ331" i="17"/>
  <c r="AE331" i="17" s="1"/>
  <c r="AJ330" i="17"/>
  <c r="AE330" i="17" s="1"/>
  <c r="AJ329" i="17"/>
  <c r="AE329" i="17" s="1"/>
  <c r="AJ328" i="17"/>
  <c r="AE328" i="17" s="1"/>
  <c r="AJ293" i="17"/>
  <c r="AE293" i="17" s="1"/>
  <c r="AJ292" i="17"/>
  <c r="AE292" i="17" s="1"/>
  <c r="AJ291" i="17"/>
  <c r="AE291" i="17" s="1"/>
  <c r="AJ290" i="17"/>
  <c r="AE290" i="17" s="1"/>
  <c r="AJ289" i="17"/>
  <c r="AE289" i="17" s="1"/>
  <c r="AJ288" i="17"/>
  <c r="AE288" i="17" s="1"/>
  <c r="AJ287" i="17"/>
  <c r="AE287" i="17" s="1"/>
  <c r="AJ286" i="17"/>
  <c r="AE286" i="17" s="1"/>
  <c r="AJ285" i="17"/>
  <c r="AE285" i="17" s="1"/>
  <c r="AJ284" i="17"/>
  <c r="AE284" i="17" s="1"/>
  <c r="AJ283" i="17"/>
  <c r="AE283" i="17" s="1"/>
  <c r="AJ282" i="17"/>
  <c r="AE282" i="17" s="1"/>
  <c r="AJ281" i="17"/>
  <c r="AE281" i="17" s="1"/>
  <c r="AJ280" i="17"/>
  <c r="AE280" i="17" s="1"/>
  <c r="AJ279" i="17"/>
  <c r="AE279" i="17" s="1"/>
  <c r="AJ278" i="17"/>
  <c r="AE278" i="17" s="1"/>
  <c r="AJ277" i="17"/>
  <c r="AE277" i="17" s="1"/>
  <c r="AJ276" i="17"/>
  <c r="AJ211" i="17"/>
  <c r="AE211" i="17" s="1"/>
  <c r="AJ196" i="17"/>
  <c r="AE196" i="17" s="1"/>
  <c r="AJ195" i="17"/>
  <c r="AE195" i="17" s="1"/>
  <c r="AJ194" i="17"/>
  <c r="AE194" i="17" s="1"/>
  <c r="AJ193" i="17"/>
  <c r="AE193" i="17" s="1"/>
  <c r="AJ192" i="17"/>
  <c r="AE192" i="17" s="1"/>
  <c r="AJ191" i="17"/>
  <c r="AE191" i="17" s="1"/>
  <c r="AJ190" i="17"/>
  <c r="AE190" i="17" s="1"/>
  <c r="AJ189" i="17"/>
  <c r="AE189" i="17" s="1"/>
  <c r="AJ188" i="17"/>
  <c r="AE188" i="17" s="1"/>
  <c r="AJ187" i="17"/>
  <c r="AE187" i="17" s="1"/>
  <c r="AJ185" i="17"/>
  <c r="AE185" i="17" s="1"/>
  <c r="AJ184" i="17"/>
  <c r="AE184" i="17" s="1"/>
  <c r="AJ183" i="17"/>
  <c r="AE183" i="17" s="1"/>
  <c r="AJ182" i="17"/>
  <c r="AE182" i="17" s="1"/>
  <c r="AJ181" i="17"/>
  <c r="AE181" i="17" s="1"/>
  <c r="AJ180" i="17"/>
  <c r="AE180" i="17" s="1"/>
  <c r="AJ179" i="17"/>
  <c r="AE179" i="17" s="1"/>
  <c r="AJ178" i="17"/>
  <c r="AE178" i="17" s="1"/>
  <c r="AJ177" i="17"/>
  <c r="AE177" i="17" s="1"/>
  <c r="AJ176" i="17"/>
  <c r="AE176" i="17" s="1"/>
  <c r="AJ175" i="17"/>
  <c r="AE175" i="17" s="1"/>
  <c r="AJ174" i="17"/>
  <c r="AE174" i="17" s="1"/>
  <c r="AJ173" i="17"/>
  <c r="AE173" i="17" s="1"/>
  <c r="AJ172" i="17"/>
  <c r="AE172" i="17" s="1"/>
  <c r="AJ171" i="17"/>
  <c r="AE171" i="17" s="1"/>
  <c r="AJ170" i="17"/>
  <c r="AE170" i="17" s="1"/>
  <c r="AJ169" i="17"/>
  <c r="AE169" i="17" s="1"/>
  <c r="AJ168" i="17"/>
  <c r="AE168" i="17" s="1"/>
  <c r="AJ167" i="17"/>
  <c r="AE167" i="17" s="1"/>
  <c r="AJ166" i="17"/>
  <c r="AE166" i="17" s="1"/>
  <c r="AJ165" i="17"/>
  <c r="AE165" i="17" s="1"/>
  <c r="AJ164" i="17"/>
  <c r="AE164" i="17" s="1"/>
  <c r="AJ163" i="17"/>
  <c r="AE163" i="17" s="1"/>
  <c r="AJ162" i="17"/>
  <c r="AE162" i="17" s="1"/>
  <c r="AJ156" i="17"/>
  <c r="AE156" i="17" s="1"/>
  <c r="AJ155" i="17"/>
  <c r="AE155" i="17" s="1"/>
  <c r="AJ154" i="17"/>
  <c r="AE154" i="17" s="1"/>
  <c r="AJ153" i="17"/>
  <c r="AE153" i="17" s="1"/>
  <c r="AJ152" i="17"/>
  <c r="AE152" i="17" s="1"/>
  <c r="AJ151" i="17"/>
  <c r="AE151" i="17" s="1"/>
  <c r="AJ150" i="17"/>
  <c r="AE150" i="17" s="1"/>
  <c r="AJ149" i="17"/>
  <c r="AE149" i="17" s="1"/>
  <c r="AJ148" i="17"/>
  <c r="AE148" i="17" s="1"/>
  <c r="AJ147" i="17"/>
  <c r="AE147" i="17" s="1"/>
  <c r="AJ146" i="17"/>
  <c r="AE146" i="17" s="1"/>
  <c r="AJ145" i="17"/>
  <c r="AE145" i="17" s="1"/>
  <c r="AJ144" i="17"/>
  <c r="AE144" i="17" s="1"/>
  <c r="AJ138" i="17"/>
  <c r="AE138" i="17" s="1"/>
  <c r="AJ137" i="17"/>
  <c r="AE137" i="17" s="1"/>
  <c r="AJ136" i="17"/>
  <c r="AE136" i="17" s="1"/>
  <c r="AJ135" i="17"/>
  <c r="AE135" i="17" s="1"/>
  <c r="AJ134" i="17"/>
  <c r="AE134" i="17" s="1"/>
  <c r="AJ133" i="17"/>
  <c r="AE133" i="17" s="1"/>
  <c r="AJ132" i="17"/>
  <c r="AE132" i="17" s="1"/>
  <c r="AJ131" i="17"/>
  <c r="AE131" i="17" s="1"/>
  <c r="AJ130" i="17"/>
  <c r="AE130" i="17" s="1"/>
  <c r="AJ129" i="17"/>
  <c r="AE129" i="17" s="1"/>
  <c r="AJ128" i="17"/>
  <c r="AJ112" i="17"/>
  <c r="AE112" i="17" s="1"/>
  <c r="AJ111" i="17"/>
  <c r="AE111" i="17" s="1"/>
  <c r="AJ110" i="17"/>
  <c r="AE110" i="17" s="1"/>
  <c r="AJ109" i="17"/>
  <c r="AE109" i="17" s="1"/>
  <c r="AJ108" i="17"/>
  <c r="AE108" i="17" s="1"/>
  <c r="AJ107" i="17"/>
  <c r="AE107" i="17" s="1"/>
  <c r="AJ106" i="17"/>
  <c r="AJ103" i="17"/>
  <c r="AE103" i="17" s="1"/>
  <c r="AJ102" i="17"/>
  <c r="AE102" i="17" s="1"/>
  <c r="AJ101" i="17"/>
  <c r="AE101" i="17" s="1"/>
  <c r="AJ100" i="17"/>
  <c r="AE100" i="17" s="1"/>
  <c r="AJ99" i="17"/>
  <c r="AE99" i="17" s="1"/>
  <c r="AJ98" i="17"/>
  <c r="AE98" i="17" s="1"/>
  <c r="AJ97" i="17"/>
  <c r="AE97" i="17" s="1"/>
  <c r="AJ96" i="17"/>
  <c r="AE96" i="17" s="1"/>
  <c r="AJ95" i="17"/>
  <c r="AE95" i="17" s="1"/>
  <c r="AJ94" i="17"/>
  <c r="AE94" i="17" s="1"/>
  <c r="AJ93" i="17"/>
  <c r="AE93" i="17" s="1"/>
  <c r="AJ92" i="17"/>
  <c r="AE92" i="17" s="1"/>
  <c r="AJ53" i="17"/>
  <c r="AE53" i="17" s="1"/>
  <c r="AJ52" i="17"/>
  <c r="AE52" i="17" s="1"/>
  <c r="AJ51" i="17"/>
  <c r="AE51" i="17" s="1"/>
  <c r="AJ50" i="17"/>
  <c r="AE50" i="17" s="1"/>
  <c r="AJ49" i="17"/>
  <c r="AE49" i="17" s="1"/>
  <c r="AJ48" i="17"/>
  <c r="AE48" i="17" s="1"/>
  <c r="AJ47" i="17"/>
  <c r="J27" i="17"/>
  <c r="E27" i="17" s="1"/>
  <c r="J37" i="17"/>
  <c r="E37" i="17" s="1"/>
  <c r="J47" i="17"/>
  <c r="J48" i="17"/>
  <c r="E48" i="17" s="1"/>
  <c r="J49" i="17"/>
  <c r="E49" i="17" s="1"/>
  <c r="J50" i="17"/>
  <c r="E50" i="17" s="1"/>
  <c r="J51" i="17"/>
  <c r="E51" i="17" s="1"/>
  <c r="J52" i="17"/>
  <c r="E52" i="17" s="1"/>
  <c r="J53" i="17"/>
  <c r="E53" i="17" s="1"/>
  <c r="J92" i="17"/>
  <c r="E92" i="17" s="1"/>
  <c r="J93" i="17"/>
  <c r="E93" i="17" s="1"/>
  <c r="J94" i="17"/>
  <c r="E94" i="17" s="1"/>
  <c r="J95" i="17"/>
  <c r="E95" i="17" s="1"/>
  <c r="J96" i="17"/>
  <c r="E96" i="17" s="1"/>
  <c r="J97" i="17"/>
  <c r="E97" i="17" s="1"/>
  <c r="J98" i="17"/>
  <c r="E98" i="17" s="1"/>
  <c r="J99" i="17"/>
  <c r="E99" i="17" s="1"/>
  <c r="J100" i="17"/>
  <c r="E100" i="17" s="1"/>
  <c r="J101" i="17"/>
  <c r="E101" i="17" s="1"/>
  <c r="J102" i="17"/>
  <c r="E102" i="17" s="1"/>
  <c r="J103" i="17"/>
  <c r="E103" i="17" s="1"/>
  <c r="J106" i="17"/>
  <c r="J107" i="17"/>
  <c r="E107" i="17" s="1"/>
  <c r="J108" i="17"/>
  <c r="E108" i="17" s="1"/>
  <c r="J109" i="17"/>
  <c r="E109" i="17" s="1"/>
  <c r="J110" i="17"/>
  <c r="E110" i="17" s="1"/>
  <c r="J111" i="17"/>
  <c r="E111" i="17" s="1"/>
  <c r="J112" i="17"/>
  <c r="E112" i="17" s="1"/>
  <c r="E129" i="17"/>
  <c r="E130" i="17"/>
  <c r="E131" i="17"/>
  <c r="E132" i="17"/>
  <c r="E133" i="17"/>
  <c r="E134" i="17"/>
  <c r="E135" i="17"/>
  <c r="E136" i="17"/>
  <c r="E137" i="17"/>
  <c r="E138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62" i="17"/>
  <c r="E163" i="17"/>
  <c r="E164" i="17"/>
  <c r="E165" i="17"/>
  <c r="E166" i="17"/>
  <c r="E167" i="17"/>
  <c r="E168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7" i="17"/>
  <c r="E188" i="17"/>
  <c r="E189" i="17"/>
  <c r="E190" i="17"/>
  <c r="E191" i="17"/>
  <c r="E192" i="17"/>
  <c r="E193" i="17"/>
  <c r="E194" i="17"/>
  <c r="E195" i="17"/>
  <c r="E196" i="17"/>
  <c r="E211" i="17"/>
  <c r="J380" i="17"/>
  <c r="E380" i="17" s="1"/>
  <c r="J381" i="17"/>
  <c r="E381" i="17" s="1"/>
  <c r="J382" i="17"/>
  <c r="E382" i="17" s="1"/>
  <c r="J383" i="17"/>
  <c r="E383" i="17" s="1"/>
  <c r="J384" i="17"/>
  <c r="E384" i="17" s="1"/>
  <c r="J385" i="17"/>
  <c r="E385" i="17" s="1"/>
  <c r="J386" i="17"/>
  <c r="E386" i="17" s="1"/>
  <c r="J387" i="17"/>
  <c r="E387" i="17" s="1"/>
  <c r="J388" i="17"/>
  <c r="E388" i="17" s="1"/>
  <c r="J389" i="17"/>
  <c r="E389" i="17" s="1"/>
  <c r="J391" i="17"/>
  <c r="E391" i="17" s="1"/>
  <c r="J393" i="17"/>
  <c r="J394" i="17"/>
  <c r="E394" i="17" s="1"/>
  <c r="J395" i="17"/>
  <c r="E395" i="17" s="1"/>
  <c r="J396" i="17"/>
  <c r="E396" i="17" s="1"/>
  <c r="J397" i="17"/>
  <c r="E397" i="17" s="1"/>
  <c r="J398" i="17"/>
  <c r="E398" i="17" s="1"/>
  <c r="E400" i="17"/>
  <c r="E401" i="17"/>
  <c r="E402" i="17"/>
  <c r="E403" i="17"/>
  <c r="E404" i="17"/>
  <c r="E405" i="17"/>
  <c r="E406" i="17"/>
  <c r="E407" i="17"/>
  <c r="E408" i="17"/>
  <c r="E409" i="17"/>
  <c r="E410" i="17"/>
  <c r="E411" i="17"/>
  <c r="E412" i="17"/>
  <c r="E413" i="17"/>
  <c r="E414" i="17"/>
  <c r="E415" i="17"/>
  <c r="E416" i="17"/>
  <c r="J443" i="17"/>
  <c r="E443" i="17" s="1"/>
  <c r="J446" i="17"/>
  <c r="E446" i="17" s="1"/>
  <c r="J447" i="17"/>
  <c r="E447" i="17" s="1"/>
  <c r="J448" i="17"/>
  <c r="E448" i="17" s="1"/>
  <c r="N25" i="17"/>
  <c r="I25" i="17" s="1"/>
  <c r="N23" i="17"/>
  <c r="I23" i="17" s="1"/>
  <c r="J45" i="17" l="1"/>
  <c r="E393" i="17"/>
  <c r="J392" i="17"/>
  <c r="E392" i="17" s="1"/>
  <c r="J105" i="17"/>
  <c r="J104" i="17" s="1"/>
  <c r="AJ392" i="17"/>
  <c r="AE393" i="17"/>
  <c r="AJ444" i="17"/>
  <c r="AE444" i="17" s="1"/>
  <c r="AE445" i="17"/>
  <c r="E127" i="17"/>
  <c r="E128" i="17"/>
  <c r="AJ45" i="17"/>
  <c r="AE47" i="17"/>
  <c r="AJ275" i="17"/>
  <c r="AE276" i="17"/>
  <c r="E47" i="17"/>
  <c r="AJ127" i="17"/>
  <c r="AE127" i="17" s="1"/>
  <c r="AE128" i="17"/>
  <c r="AJ399" i="17"/>
  <c r="AE399" i="17" s="1"/>
  <c r="AE400" i="17"/>
  <c r="AJ105" i="17"/>
  <c r="AE106" i="17"/>
  <c r="E106" i="17"/>
  <c r="AN26" i="17"/>
  <c r="AI26" i="17" s="1"/>
  <c r="AN24" i="17"/>
  <c r="AI24" i="17" s="1"/>
  <c r="E399" i="17"/>
  <c r="J444" i="17"/>
  <c r="E444" i="17" s="1"/>
  <c r="AN143" i="17"/>
  <c r="AN126" i="17" s="1"/>
  <c r="AN125" i="17" s="1"/>
  <c r="J23" i="17"/>
  <c r="E23" i="17" s="1"/>
  <c r="J25" i="17"/>
  <c r="E25" i="17" s="1"/>
  <c r="N22" i="17"/>
  <c r="I22" i="17" s="1"/>
  <c r="J29" i="17" l="1"/>
  <c r="E29" i="17" s="1"/>
  <c r="E45" i="17"/>
  <c r="AE45" i="17"/>
  <c r="AJ29" i="17"/>
  <c r="E105" i="17"/>
  <c r="AJ104" i="17"/>
  <c r="AE104" i="17" s="1"/>
  <c r="AE105" i="17"/>
  <c r="AJ274" i="17"/>
  <c r="AE274" i="17" s="1"/>
  <c r="AE275" i="17"/>
  <c r="AJ390" i="17"/>
  <c r="AE390" i="17" s="1"/>
  <c r="AE392" i="17"/>
  <c r="AI273" i="17"/>
  <c r="E143" i="17"/>
  <c r="AJ26" i="17"/>
  <c r="AE26" i="17" s="1"/>
  <c r="AJ24" i="17"/>
  <c r="AE24" i="17" s="1"/>
  <c r="J24" i="17"/>
  <c r="E24" i="17" s="1"/>
  <c r="J390" i="17"/>
  <c r="E104" i="17"/>
  <c r="E26" i="17"/>
  <c r="AJ143" i="17"/>
  <c r="AJ126" i="17" s="1"/>
  <c r="AI28" i="17"/>
  <c r="N21" i="17"/>
  <c r="E390" i="17" l="1"/>
  <c r="J125" i="17"/>
  <c r="E125" i="17" s="1"/>
  <c r="AJ28" i="17"/>
  <c r="AE28" i="17" s="1"/>
  <c r="AJ125" i="17"/>
  <c r="AE29" i="17"/>
  <c r="AE273" i="17"/>
  <c r="AI143" i="17"/>
  <c r="E126" i="17"/>
  <c r="N20" i="17"/>
  <c r="I21" i="17"/>
  <c r="J28" i="17"/>
  <c r="E28" i="17" s="1"/>
  <c r="AN21" i="17"/>
  <c r="AI126" i="17" l="1"/>
  <c r="AE143" i="17"/>
  <c r="AI21" i="17"/>
  <c r="I20" i="17"/>
  <c r="AJ21" i="17"/>
  <c r="J22" i="17"/>
  <c r="E22" i="17" s="1"/>
  <c r="J21" i="17"/>
  <c r="E21" i="17" s="1"/>
  <c r="AE126" i="17" l="1"/>
  <c r="AI125" i="17"/>
  <c r="AN22" i="17"/>
  <c r="AE21" i="17"/>
  <c r="J20" i="17"/>
  <c r="E20" i="17" s="1"/>
  <c r="C19" i="17"/>
  <c r="AE125" i="17" l="1"/>
  <c r="AJ22" i="17"/>
  <c r="AI22" i="17"/>
  <c r="AN20" i="17"/>
  <c r="AI20" i="17" s="1"/>
  <c r="AE22" i="17" l="1"/>
  <c r="AJ20" i="17"/>
  <c r="AE20" i="17" s="1"/>
</calcChain>
</file>

<file path=xl/sharedStrings.xml><?xml version="1.0" encoding="utf-8"?>
<sst xmlns="http://schemas.openxmlformats.org/spreadsheetml/2006/main" count="1421" uniqueCount="909">
  <si>
    <t>к приказу Минэнерго России</t>
  </si>
  <si>
    <t>Идентификатор инвестиционного проекта</t>
  </si>
  <si>
    <t>План</t>
  </si>
  <si>
    <t>Факт</t>
  </si>
  <si>
    <t>Всего</t>
  </si>
  <si>
    <t xml:space="preserve"> Наименование инвестиционного проекта (группы инвестиционных проектов)</t>
  </si>
  <si>
    <t>оборудование и материалы</t>
  </si>
  <si>
    <t>Номер группы инвестиционных проектов</t>
  </si>
  <si>
    <t>I квартал</t>
  </si>
  <si>
    <t>II квартал</t>
  </si>
  <si>
    <t>IV квартал</t>
  </si>
  <si>
    <t xml:space="preserve">III квартал </t>
  </si>
  <si>
    <t>5.1.</t>
  </si>
  <si>
    <t>5.2.</t>
  </si>
  <si>
    <t>5.3.</t>
  </si>
  <si>
    <t>5.4.</t>
  </si>
  <si>
    <t>5.5.</t>
  </si>
  <si>
    <t>5.1.1.</t>
  </si>
  <si>
    <t>5.1.2.</t>
  </si>
  <si>
    <t>5.1.3.</t>
  </si>
  <si>
    <t>5.1.4.</t>
  </si>
  <si>
    <t>5.1.5.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</si>
  <si>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</si>
  <si>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</si>
  <si>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</si>
  <si>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</si>
  <si>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</si>
  <si>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</si>
  <si>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</si>
  <si>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</si>
  <si>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</si>
  <si>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</si>
  <si>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</si>
  <si>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</si>
  <si>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</si>
  <si>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</si>
  <si>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</si>
  <si>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 xml:space="preserve">                    полное наименование субъекта электроэнергетики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</si>
  <si>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</si>
  <si>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</si>
  <si>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</si>
  <si>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</si>
  <si>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</si>
  <si>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</si>
  <si>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</si>
  <si>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</si>
  <si>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</si>
  <si>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</si>
  <si>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</si>
  <si>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</si>
  <si>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</si>
  <si>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</si>
  <si>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</si>
  <si>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</si>
  <si>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</si>
  <si>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</si>
  <si>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</si>
  <si>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</si>
  <si>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</si>
  <si>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</si>
  <si>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</si>
  <si>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</si>
  <si>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</si>
  <si>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</si>
  <si>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</si>
  <si>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</si>
  <si>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</si>
  <si>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7.5.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</si>
  <si>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</si>
  <si>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</si>
  <si>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</si>
  <si>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</si>
  <si>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</si>
  <si>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</si>
  <si>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</si>
  <si>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</si>
  <si>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</si>
  <si>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</si>
  <si>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</si>
  <si>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</si>
  <si>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</si>
  <si>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</si>
  <si>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</si>
  <si>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</si>
  <si>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</si>
  <si>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</si>
  <si>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</si>
  <si>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</si>
  <si>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1.5</t>
  </si>
  <si>
    <t>1.6</t>
  </si>
  <si>
    <t>1.1.2.1</t>
  </si>
  <si>
    <t>1.1.2.2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</si>
  <si>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</si>
  <si>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</si>
  <si>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от « 25 » апреля 2018 г. № 320</t>
  </si>
  <si>
    <t>Всего, в том числе:</t>
  </si>
  <si>
    <t>Отчет о реализации инвестиционной программы акционерного общества "Воронежская горэлектросеть"</t>
  </si>
  <si>
    <t>Год раскрытия информации: 2019 год</t>
  </si>
  <si>
    <t>Финансирование капитальных вложений 2019 года, млн. рублей (с НДС)</t>
  </si>
  <si>
    <t>Освоение капитальных вложений 2019 года, млн. рублей (без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</si>
  <si>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</si>
  <si>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</si>
  <si>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</si>
  <si>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</si>
  <si>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</si>
  <si>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</si>
  <si>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</si>
  <si>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</si>
  <si>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</si>
  <si>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</si>
  <si>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</si>
  <si>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</si>
  <si>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</si>
  <si>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</si>
  <si>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</si>
  <si>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</si>
  <si>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</si>
  <si>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</si>
  <si>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</si>
  <si>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</si>
  <si>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</si>
  <si>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</si>
  <si>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</si>
  <si>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</si>
  <si>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</si>
  <si>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</si>
  <si>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</si>
  <si>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</si>
  <si>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</si>
  <si>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</si>
  <si>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</si>
  <si>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</si>
  <si>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</si>
  <si>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</si>
  <si>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</si>
  <si>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</si>
  <si>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</si>
  <si>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</si>
  <si>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</si>
  <si>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</si>
  <si>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</si>
  <si>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</si>
  <si>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</si>
  <si>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</si>
  <si>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</si>
  <si>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</si>
  <si>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</si>
  <si>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</si>
  <si>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</si>
  <si>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</si>
  <si>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</si>
  <si>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</si>
  <si>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</si>
  <si>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</si>
  <si>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</si>
  <si>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</si>
  <si>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</si>
  <si>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</si>
  <si>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</si>
  <si>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</si>
  <si>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</si>
  <si>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</si>
  <si>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</si>
  <si>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</si>
  <si>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</si>
  <si>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</si>
  <si>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</si>
  <si>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</si>
  <si>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</si>
  <si>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</si>
  <si>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</si>
  <si>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</si>
  <si>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</si>
  <si>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</si>
  <si>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</si>
  <si>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</si>
  <si>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</si>
  <si>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</si>
  <si>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</si>
  <si>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</si>
  <si>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</si>
  <si>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</si>
  <si>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</si>
  <si>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</si>
  <si>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</si>
  <si>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</si>
  <si>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</si>
  <si>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</si>
  <si>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</si>
  <si>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</si>
  <si>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</si>
  <si>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</si>
  <si>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</si>
  <si>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</si>
  <si>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</si>
  <si>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</si>
  <si>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</si>
  <si>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</si>
  <si>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</si>
  <si>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</si>
  <si>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</si>
  <si>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</si>
  <si>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</si>
  <si>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</si>
  <si>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</si>
  <si>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</si>
  <si>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</si>
  <si>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</si>
  <si>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</si>
  <si>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</si>
  <si>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</si>
  <si>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</si>
  <si>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</si>
  <si>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</si>
  <si>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</si>
  <si>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</si>
  <si>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</si>
  <si>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</si>
  <si>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</si>
  <si>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</si>
  <si>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</si>
  <si>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</si>
  <si>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</si>
  <si>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</si>
  <si>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</si>
  <si>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</si>
  <si>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</si>
  <si>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</si>
  <si>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</si>
  <si>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</si>
  <si>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</si>
  <si>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</si>
  <si>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</si>
  <si>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</si>
  <si>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</si>
  <si>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</si>
  <si>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</si>
  <si>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</si>
  <si>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</si>
  <si>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</si>
  <si>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</si>
  <si>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</si>
  <si>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</si>
  <si>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</si>
  <si>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</si>
  <si>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</si>
  <si>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</si>
  <si>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</si>
  <si>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</si>
  <si>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</si>
  <si>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</si>
  <si>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</si>
  <si>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</si>
  <si>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</si>
  <si>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</si>
  <si>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</si>
  <si>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</si>
  <si>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</si>
  <si>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</si>
  <si>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</si>
  <si>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</si>
  <si>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</si>
  <si>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</si>
  <si>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</si>
  <si>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</si>
  <si>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</si>
  <si>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</si>
  <si>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</si>
  <si>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</si>
  <si>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</si>
  <si>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</si>
  <si>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</si>
  <si>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</si>
  <si>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</si>
  <si>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</si>
  <si>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</si>
  <si>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</si>
  <si>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</si>
  <si>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</si>
  <si>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</si>
  <si>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</si>
  <si>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</si>
  <si>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</si>
  <si>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</si>
  <si>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</si>
  <si>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</si>
  <si>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</si>
  <si>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</si>
  <si>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</si>
  <si>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</si>
  <si>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</si>
  <si>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</si>
  <si>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</si>
  <si>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</si>
  <si>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</si>
  <si>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</si>
  <si>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</si>
  <si>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</si>
  <si>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</si>
  <si>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</si>
  <si>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</si>
  <si>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</si>
  <si>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</si>
  <si>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</si>
  <si>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</si>
  <si>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</si>
  <si>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</si>
  <si>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</si>
  <si>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</si>
  <si>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</si>
  <si>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</si>
  <si>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</si>
  <si>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</si>
  <si>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</si>
  <si>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</si>
  <si>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</si>
  <si>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</si>
  <si>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</si>
  <si>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</si>
  <si>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</si>
  <si>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</si>
  <si>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</si>
  <si>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</si>
  <si>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</si>
  <si>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</si>
  <si>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</si>
  <si>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</si>
  <si>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</si>
  <si>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</si>
  <si>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</si>
  <si>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</si>
  <si>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</si>
  <si>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</si>
  <si>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</si>
  <si>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</si>
  <si>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</si>
  <si>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</si>
  <si>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</si>
  <si>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</si>
  <si>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</si>
  <si>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</si>
  <si>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</si>
  <si>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</si>
  <si>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</si>
  <si>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</si>
  <si>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</si>
  <si>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</si>
  <si>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</si>
  <si>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</si>
  <si>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</si>
  <si>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</si>
  <si>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</si>
  <si>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</si>
  <si>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</si>
  <si>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</si>
  <si>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</si>
  <si>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</si>
  <si>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</si>
  <si>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</si>
  <si>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</si>
  <si>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</si>
  <si>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</si>
  <si>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</si>
  <si>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E_19/1.3.12.1</t>
  </si>
  <si>
    <t>E_19/1.3.12.2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</si>
  <si>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</si>
  <si>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</si>
  <si>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</si>
  <si>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</si>
  <si>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</si>
  <si>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</si>
  <si>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 xml:space="preserve">РП-39, пр-т Патриотов, 45/б </t>
  </si>
  <si>
    <t>ТП-607, ул. Г. Сибиряков, 12/е</t>
  </si>
  <si>
    <t>ТП-548, ул. Рязанская, д. 117</t>
  </si>
  <si>
    <t>Платонова 9,11 вынос КЛ-6кВ и КЛ-0,4кВ (ООО "Комплекс ТехСтрой")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</si>
  <si>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</si>
  <si>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</si>
  <si>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</si>
  <si>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</si>
  <si>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</si>
  <si>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</si>
  <si>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</si>
  <si>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</si>
  <si>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</si>
  <si>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</si>
  <si>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</si>
  <si>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</si>
  <si>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</si>
  <si>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</si>
  <si>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</si>
  <si>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</si>
  <si>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</si>
  <si>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</si>
  <si>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</si>
  <si>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</si>
  <si>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</si>
  <si>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</si>
  <si>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</si>
  <si>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</si>
  <si>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</si>
  <si>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</si>
  <si>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</si>
  <si>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</si>
  <si>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</si>
  <si>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</si>
  <si>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</si>
  <si>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</si>
  <si>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</si>
  <si>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</si>
  <si>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</si>
  <si>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</si>
  <si>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</si>
  <si>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</si>
  <si>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</si>
  <si>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</si>
  <si>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</si>
  <si>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</si>
  <si>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</si>
  <si>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</si>
  <si>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</si>
  <si>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</si>
  <si>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</si>
  <si>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</si>
  <si>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</si>
  <si>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</si>
  <si>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</si>
  <si>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</si>
  <si>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</si>
  <si>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</si>
  <si>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</si>
  <si>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</si>
  <si>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</si>
  <si>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</si>
  <si>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</si>
  <si>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</si>
  <si>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</si>
  <si>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</si>
  <si>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</si>
  <si>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</si>
  <si>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</si>
  <si>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</si>
  <si>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</si>
  <si>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</si>
  <si>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</si>
  <si>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</si>
  <si>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</si>
  <si>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</si>
  <si>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</si>
  <si>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</si>
  <si>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</si>
  <si>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</si>
  <si>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</si>
  <si>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</si>
  <si>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</si>
  <si>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</si>
  <si>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</si>
  <si>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</si>
  <si>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</si>
  <si>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</si>
  <si>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</si>
  <si>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</si>
  <si>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</si>
  <si>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</si>
  <si>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</si>
  <si>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</si>
  <si>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</si>
  <si>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</si>
  <si>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</si>
  <si>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</si>
  <si>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</si>
  <si>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</si>
  <si>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</si>
  <si>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</si>
  <si>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</si>
  <si>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</si>
  <si>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</si>
  <si>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</si>
  <si>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</si>
  <si>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Реконструкция ВЛ-0,4кВ для технологического присоединения от ТП-728 (протяженность по трассе 0,159 км)</t>
  </si>
  <si>
    <t>Реконструкция ВЛ-0,4кВ для технологического присоединения от ТП-19 (протяженность по трассе 0,120км)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</si>
  <si>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</si>
  <si>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</si>
  <si>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</si>
  <si>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</si>
  <si>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</si>
  <si>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</si>
  <si>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</si>
  <si>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</si>
  <si>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</si>
  <si>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</si>
  <si>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</si>
  <si>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</si>
  <si>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</si>
  <si>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</si>
  <si>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</si>
  <si>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</si>
  <si>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</si>
  <si>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</si>
  <si>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</si>
  <si>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</si>
  <si>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</si>
  <si>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</si>
  <si>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</si>
  <si>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</si>
  <si>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</si>
  <si>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</si>
  <si>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трансформатора 1х400) ТП-281(б/у)</t>
  </si>
  <si>
    <t>Реконструкция высоковольтного оборудования (замена трансформаторов 2х250) ТП-1644 (б/у)</t>
  </si>
  <si>
    <t>Реконструкция высоковольтного оборудования (замена трансформатора 1х250) ТП-1721(б/у)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</si>
  <si>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</si>
  <si>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</si>
  <si>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</si>
  <si>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</si>
  <si>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</si>
  <si>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</si>
  <si>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</si>
  <si>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E_19/1.1.2.13</t>
  </si>
  <si>
    <t>E_19/1.1.2.14</t>
  </si>
  <si>
    <t>E_19/1.1.2.15</t>
  </si>
  <si>
    <t>E_19/1.1.2.16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</si>
  <si>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</si>
  <si>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</si>
  <si>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</si>
  <si>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</si>
  <si>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</si>
  <si>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</si>
  <si>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</si>
  <si>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</si>
  <si>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</si>
  <si>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</si>
  <si>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</si>
  <si>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</si>
  <si>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ТП-460 - до ж/д 36 ул.Пирогова (протяженностью 0,265км)</t>
  </si>
  <si>
    <t>E_19/1.1.2.20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</si>
  <si>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</si>
  <si>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</si>
  <si>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</si>
  <si>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</si>
  <si>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</si>
  <si>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</si>
  <si>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</si>
  <si>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</si>
  <si>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</si>
  <si>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</si>
  <si>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</si>
  <si>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</si>
  <si>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</si>
  <si>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</si>
  <si>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</si>
  <si>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</si>
  <si>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</si>
  <si>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</si>
  <si>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</si>
  <si>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</si>
  <si>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</si>
  <si>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</si>
  <si>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</si>
  <si>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</si>
  <si>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</si>
  <si>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</si>
  <si>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</si>
  <si>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</si>
  <si>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</si>
  <si>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</si>
  <si>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</si>
  <si>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</si>
  <si>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</si>
  <si>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Прокладка КЛ-10 кВ сеч.3х120 ТП-480 до БКТП-34Н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</si>
  <si>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</si>
  <si>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</si>
  <si>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</si>
  <si>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</si>
  <si>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</si>
  <si>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</si>
  <si>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</si>
  <si>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</si>
  <si>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</si>
  <si>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Вынос КЛ-0,4кВ ТП-1823 -до опоры №23 в ст.  ж/д 5 пер.Старинный (протяженностью 0,070км)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</si>
  <si>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</si>
  <si>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</si>
  <si>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</si>
  <si>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Вынос КЛ-6кВ ТП-1823 до М-7 в ТП-1451(протяженностью 0,0932км)</t>
  </si>
  <si>
    <t>Производственные службы (вне плана)</t>
  </si>
  <si>
    <t>E_19/1.3.12.4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</si>
  <si>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</si>
  <si>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</si>
  <si>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</si>
  <si>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</si>
  <si>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</si>
  <si>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</si>
  <si>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</si>
  <si>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</si>
  <si>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</si>
  <si>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</si>
  <si>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</si>
  <si>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</si>
  <si>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</si>
  <si>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</si>
  <si>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</si>
  <si>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</si>
  <si>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</si>
  <si>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</si>
  <si>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J_19/00020</t>
  </si>
  <si>
    <t xml:space="preserve"> Строительство 4КЛ-10 кВ протяженностью 4х0,52 км. по договору Т.П. (свыше 670 кВт) №2641 от 24.12.2014</t>
  </si>
  <si>
    <t>G_16/00044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</si>
  <si>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</si>
  <si>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J_19/00021</t>
  </si>
  <si>
    <t>Строительство ВЛ-0,4 кВ для технологического присоединения. Новое строительство (протяженность 19,39 км)</t>
  </si>
  <si>
    <t>Строительство КЛ-0,4 кВ для технологического присоединения. Новое строительство (протяженность 0,72 км)</t>
  </si>
  <si>
    <t>Строительство КЛ-6,10 кВ для технологического присоединения. Новое строительство (протяженность 1,18 км)</t>
  </si>
  <si>
    <t xml:space="preserve">Строительство ТП  для технологического присоединения. Новое строительство 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</si>
  <si>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</si>
  <si>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</si>
  <si>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</si>
  <si>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</si>
  <si>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</si>
  <si>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</si>
  <si>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Строительство ТП для технологического присоединения. Новое строительство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</si>
  <si>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</si>
  <si>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</si>
  <si>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</si>
  <si>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</si>
  <si>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Реконструкция ВЛ-0,4кВ для технологического присоединения от ТП-201А (протяженность по трассе 0,020км)</t>
  </si>
  <si>
    <t>Реконструкция ВЛ-0,4кВ для технологического присоединения от ТП-1103 (протяженность по трассе 0,207км)</t>
  </si>
  <si>
    <t>Реконструкция ВЛ-0,4кВ для технологического присоединения от ТП-207 (протяженность по трассе 0,360км)</t>
  </si>
  <si>
    <t>ТП-65, ул.Краснознаменная 90 (ООО Дизайн)</t>
  </si>
  <si>
    <t>Монтаж устройств охранной сигнализации в ТП-995 по адресу: пр. Патриотов, 7/1Т</t>
  </si>
  <si>
    <t>E_19/1.3.23</t>
  </si>
  <si>
    <t>Реконструкция высоковольтного оборудования (замена трансформаторов 1х400) ТП-285</t>
  </si>
  <si>
    <t>Реконструкция высоковольтного оборудования (замена трансформаторов 1х400) ТП-576</t>
  </si>
  <si>
    <t>Реконструкция высоковольтного оборудования (замена трансформаторов 2х400) ТП-983</t>
  </si>
  <si>
    <t>E_19/1.3.5.9.А</t>
  </si>
  <si>
    <t>Реконструкция высоковольтного оборудования (замена трансформаторов 2х400) РП-30</t>
  </si>
  <si>
    <t>E_19/1.3.5.10.А</t>
  </si>
  <si>
    <t>Реконструкция высоковольтного оборудования (замена трансформаторов 2х630) ТП-1164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</si>
  <si>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</si>
  <si>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</si>
  <si>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</si>
  <si>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</si>
  <si>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</si>
  <si>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</si>
  <si>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</si>
  <si>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</si>
  <si>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</si>
  <si>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</si>
  <si>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</si>
  <si>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</si>
  <si>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</si>
  <si>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</si>
  <si>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Строительство КЛ-0,4кВ ТП-807- до оп.№5 ул.9 Января (протяженностью 0,306км)</t>
  </si>
  <si>
    <t>E_19/1.1.2.26</t>
  </si>
  <si>
    <t>Реконструкция КЛ-0,4кВ ТП-812 до ж/д 286 ул. 9 Января  (протяженностью 1,192км)</t>
  </si>
  <si>
    <t>E_19/1.1.2.27</t>
  </si>
  <si>
    <t>Вынос ЛЭП ВЛ-0,4кВ ТП-81 по адресу: пр.Московский</t>
  </si>
  <si>
    <t>E_19/1.1.2.28</t>
  </si>
  <si>
    <t>Вынос ТП-460- ТП-251 (протяженность 0,193км)</t>
  </si>
  <si>
    <t>Вынос КЛ-6кВ БКТП-1882 ТП-305 от муфты М-1 до М-2 (протяженность по трассе 0,116км)</t>
  </si>
  <si>
    <t>Вынос КЛ-6кВ РП-28-ТП-896 из зоны строительства ул.Хользунова 9 (протяженность по трассе 0,167км)</t>
  </si>
  <si>
    <t>E_19/1.1.3.44</t>
  </si>
  <si>
    <t>Вынос КЛ-6кВ РП-21 ТП-751 (от муфты М-1 до М-2) (протяженность по трассе 0,044км)</t>
  </si>
  <si>
    <t>E_19/1.1.3.45</t>
  </si>
  <si>
    <t>Вынос КЛ-6кВ БКТП-1882 ТП-339 от муфты М-1 до М-2 (протяженность по трассе 0,116км)</t>
  </si>
  <si>
    <t>E_19/1.1.3.46</t>
  </si>
  <si>
    <t>Строительство КЛ-0,4кВ ТП-19- до оп.№20 в сторону ул.Ремесленная гора,13 (протяженность по трассе  0,023км)</t>
  </si>
  <si>
    <t>Строительство КЛ-0,4кВ ТП-457- до оп.№1 ул.Варейкиса (протяженность по трассе  0,068км)</t>
  </si>
  <si>
    <t>ТП-396, ул. Брусилова, 4/Е (ООО Фрегат)</t>
  </si>
  <si>
    <t>Реконструкция ВЛ-0,4кВ для технологического присоединения отТП-1188, ул. Минская, 43/3</t>
  </si>
  <si>
    <t>Реконструкция ВЛ-0,4кВ для технологического присоединения отТП-218А ул.Шишкова 65</t>
  </si>
  <si>
    <t xml:space="preserve">Реконструкция ВЛ-0,4кВ для технологического присоединения отТП-65, ул.Краснознаменная 90 </t>
  </si>
  <si>
    <t xml:space="preserve">Строительство ТП-1757 КЛ-1кВ ул.Корольковой 11в </t>
  </si>
  <si>
    <t>Прокладка КЛ от ТП-1256 до места соед. С КЛ в сторону ТП-676 (протяженность по трассе 1,10км)</t>
  </si>
  <si>
    <t>H_17/2.1.3.1</t>
  </si>
  <si>
    <t xml:space="preserve"> Строительство 2КЛ-1 кВ от ТП-1181, ТП-1183 протяженностью 2х0,26 км. по договору Т.П. (от 150 до 670 кВт)  №602 от 30.05.2019</t>
  </si>
  <si>
    <t>J_19/00022</t>
  </si>
  <si>
    <t>J_19/00023</t>
  </si>
  <si>
    <t xml:space="preserve"> Строительство 6КЛ-1 кВ от ТП-376 протяженностью 6х0,38 км. по договору Т.П. (от 150 до 670 кВт)  №372 от 07.06.2018</t>
  </si>
  <si>
    <t xml:space="preserve"> Строительство КЛ-1 кВ от ТП-937 протяженностью 0,098 км. по договору Т.П. (от 150 до 670 кВт)  №372 от 07.06.2019</t>
  </si>
  <si>
    <t>J_19/00024</t>
  </si>
  <si>
    <t>J_19/00025</t>
  </si>
  <si>
    <t>J_19/00026</t>
  </si>
  <si>
    <t>J_19/00027</t>
  </si>
  <si>
    <t>J_19/00028</t>
  </si>
  <si>
    <t>J_19/00029</t>
  </si>
  <si>
    <t>J_19/00030</t>
  </si>
  <si>
    <t xml:space="preserve"> Строительство 2КЛ-10 кВ от РП-92 протяженностью 2х0,42 км. по договору Т.П. (от 150 до 670 кВт)  №425 от 13.06.2018</t>
  </si>
  <si>
    <t xml:space="preserve"> Строительство 2КЛ-10 кВ от ТП-945 протяженностью 2х0,345 км. по договору Т.П. (от 150 до 670 кВт)  №531 от 28.06.2016</t>
  </si>
  <si>
    <t xml:space="preserve"> Строительство 2КЛ-10 кВ от ТП-1026 протяженностью 2х0,305 км. по договору Т.П. (от 150 до 670 кВт)  №63 от 22.03.2017</t>
  </si>
  <si>
    <t xml:space="preserve"> Строительство 2КЛ-10 кВ от ТП-1103 протяженностью 2х0,27 км. по договору Т.П. (от 150 до 670 кВт)  №64 от 22.03.2018</t>
  </si>
  <si>
    <t xml:space="preserve"> Строительство 2КЛ-10 кВ от ТП-475, ТП-500 протяженностью 0,93 км. по договору Т.П. (от 150 до 670 кВт)  №616 от 03.06.2019</t>
  </si>
  <si>
    <t xml:space="preserve"> Строительство ТП с двумя трасформаторами 1 МВА. , КЛ-10 кВ протяженностью 0,936 км. , КЛ-1 кВ протяженностью 1,556 км по договору Т.П. (свыше 670 кВт) №232 от 06.06.2019</t>
  </si>
  <si>
    <t xml:space="preserve"> Строительство 2КЛ-10 кВ протяженностью 2х0,54 км. по договору Т.П. (свыше 670 кВт) №1217 от 16.01.2014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</si>
  <si>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03.09.2019 г. № 155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</si>
  <si>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</si>
  <si>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Е_19/0001.2.4</t>
  </si>
  <si>
    <t>E_19/1.1.4.1</t>
  </si>
  <si>
    <t>E_19/1.1.4.2</t>
  </si>
  <si>
    <t>E_19/1.1.4.3</t>
  </si>
  <si>
    <t>E_19/1.1.4.4</t>
  </si>
  <si>
    <t>E_19/1.1.4.5</t>
  </si>
  <si>
    <t>E_19/1.1.4.6</t>
  </si>
  <si>
    <t>E_19/1.1.4.14</t>
  </si>
  <si>
    <t>E_19/1.1.4.15</t>
  </si>
  <si>
    <t>E_19/1.1.4.16</t>
  </si>
  <si>
    <t>E_19/1.1.4.17</t>
  </si>
  <si>
    <t>E_19/1.1.4.18</t>
  </si>
  <si>
    <t>E_19/1.1.4.19</t>
  </si>
  <si>
    <t>E_19/1.1.4.20</t>
  </si>
  <si>
    <t>E_19/1.1.4.21</t>
  </si>
  <si>
    <t>E_19/1.1.4.22</t>
  </si>
  <si>
    <t>E_19/1.1.4.23</t>
  </si>
  <si>
    <t>Реконструкция ВЛ-0,4кВ для технологического присоединения от ТП-79 (протяженность по трассе 0,295км)</t>
  </si>
  <si>
    <t>Реконструкция ВЛ-0,4кВ для технологического присоединения от ТП-190 (протяженность по трассе 0,049 км)</t>
  </si>
  <si>
    <t>ТП-344 ул.Плехановская,49т</t>
  </si>
  <si>
    <t>E_19/1.3.24</t>
  </si>
  <si>
    <t>ТП-297 ул.Плехановская,59т</t>
  </si>
  <si>
    <t>E_19/1.3.25</t>
  </si>
  <si>
    <t>Реконструкция высоковольтного оборудования (замена трансформаторов 1х400) ТП-321</t>
  </si>
  <si>
    <t>E_19/1.3.5.14.А</t>
  </si>
  <si>
    <t>Реконструкция высоковольтного оборудования ( установка трансформатора 1х400) ТП-1080</t>
  </si>
  <si>
    <t>E_19/1.3.5.15.А</t>
  </si>
  <si>
    <t>Реконструкция высоковольтного оборудования ( установка трансформатора 1х400) ТП-841</t>
  </si>
  <si>
    <t>E_19/1.3.5.16.А</t>
  </si>
  <si>
    <t>Реконструкция высоковольтного оборудования ( установка трансформатора 1х250) ТП-481</t>
  </si>
  <si>
    <t>E_19/1.3.5.19.А</t>
  </si>
  <si>
    <t>Реконструкция высоковольтного оборудования (замена трансформаторов 2х630) ТП-815</t>
  </si>
  <si>
    <t>E_19/1.3.5.2.4.А</t>
  </si>
  <si>
    <t>Реконструкция высоковольтного оборудования (замена трансформаторов 2х630) ТП-892</t>
  </si>
  <si>
    <t>E_19/1.3.5.2.5.А</t>
  </si>
  <si>
    <t>Реконструкция высоковольтного оборудования (замена трансформаторов 2х630) ТП-922</t>
  </si>
  <si>
    <t>E_19/1.3.5.2.6.А</t>
  </si>
  <si>
    <t>Реконструкция высоковольтного оборудования ( установка трансформатора 1х630) ТП-1895</t>
  </si>
  <si>
    <t>E_19/1.3.5.2.7.А</t>
  </si>
  <si>
    <t>Реконструкция высоковольтного оборудования ( установка трансформатора 1х630) ТП-799</t>
  </si>
  <si>
    <t>E_19/1.3.5.2.8.А</t>
  </si>
  <si>
    <t>Реконструкция  низковольтного  оборудованияв ТП-1083</t>
  </si>
  <si>
    <t>E_19/1.3.6.19.А</t>
  </si>
  <si>
    <t>Реконструкция  низковольтного  оборудования в ТП-1235</t>
  </si>
  <si>
    <t>E_19/1.3.6.20.А</t>
  </si>
  <si>
    <t>Реконструкция низковольтного  оборудования в ТП-475</t>
  </si>
  <si>
    <t>E_19/1.3.6.21.А</t>
  </si>
  <si>
    <t>Реконструкция  низковольтного  оборудованияв ТП-49</t>
  </si>
  <si>
    <t>E_19/1.3.6.22.А</t>
  </si>
  <si>
    <t>Реконструкция низковольтного  оборудования в ТП-760</t>
  </si>
  <si>
    <t>E_19/1.3.6.23.А</t>
  </si>
  <si>
    <t>Реконструкция  низковольтного  оборудованияв ТП-79</t>
  </si>
  <si>
    <t>E_19/1.3.6.24.А</t>
  </si>
  <si>
    <t>Реконструкция  низковольтного  оборудованияв РП-68</t>
  </si>
  <si>
    <t>E_19/1.3.6.25.А</t>
  </si>
  <si>
    <t>Реконструкция  низковольтного  оборудованияв ТП-1041</t>
  </si>
  <si>
    <t>E_19/1.3.6.26.А</t>
  </si>
  <si>
    <t>Реконструкция  низковольтного  оборудованияв ТП-116</t>
  </si>
  <si>
    <t>E_19/1.3.6.27.А</t>
  </si>
  <si>
    <t>Реконструкция  низковольтного  оборудованияв ТП-1358</t>
  </si>
  <si>
    <t>E_19/1.3.6.28.А</t>
  </si>
  <si>
    <t>Реконструкция  низковольтного  оборудованияв ТП-1366</t>
  </si>
  <si>
    <t>E_19/1.3.6.29.А</t>
  </si>
  <si>
    <t>Реконструкция  низковольтного  оборудованияв ТП-46</t>
  </si>
  <si>
    <t>E_19/1.3.6.30.А</t>
  </si>
  <si>
    <t>Реконструкция  низковольтного  оборудованияв ТП-937</t>
  </si>
  <si>
    <t>E_19/1.3.6.31.А</t>
  </si>
  <si>
    <t>Реконструкция  низковольтного  оборудованияв ТП-99</t>
  </si>
  <si>
    <t>E_19/1.3.6.32.А</t>
  </si>
  <si>
    <t>E_19/1.3.6.33.А</t>
  </si>
  <si>
    <t>Реконструкция  низковольтного  оборудованияв ТП-1164</t>
  </si>
  <si>
    <t>E_19/1.3.6.34.А</t>
  </si>
  <si>
    <t>Реконструкция  низковольтного  оборудованияв ТП-145</t>
  </si>
  <si>
    <t>E_19/1.3.6.35.А</t>
  </si>
  <si>
    <t>Реконструкция  низковольтного  оборудованияв ТП-267</t>
  </si>
  <si>
    <t>E_19/1.3.6.36.А</t>
  </si>
  <si>
    <t>Реконструкция  низковольтного  оборудованияв ТП-321</t>
  </si>
  <si>
    <t>E_19/1.3.6.37.А</t>
  </si>
  <si>
    <t>Реконструкция  низковольтного  оборудованияв ТП-396</t>
  </si>
  <si>
    <t>E_19/1.3.6.38.А</t>
  </si>
  <si>
    <t>Реконструкция  низковольтного  оборудованияв ТП-864</t>
  </si>
  <si>
    <t>E_19/1.3.6.39.А</t>
  </si>
  <si>
    <t>E_19/1.3.6.40.А</t>
  </si>
  <si>
    <t>Реконструкция высоковольтного оборудования в ТП-1871</t>
  </si>
  <si>
    <t>E_19/1.3.7.9.А</t>
  </si>
  <si>
    <t>Реконструкция высоковольтного оборудования в ТП-70</t>
  </si>
  <si>
    <t>E_19/1.3.7.10.А</t>
  </si>
  <si>
    <t>Реконструкция высоковольтного оборудования в ТП-767</t>
  </si>
  <si>
    <t>E_19/1.3.7.11.А</t>
  </si>
  <si>
    <t>Реконструкция высоковольтного оборудования в ТП-771</t>
  </si>
  <si>
    <t>E_19/1.3.7.12.А</t>
  </si>
  <si>
    <t>Реконструкция высоковольтного оборудования в РП-41</t>
  </si>
  <si>
    <t>E_19/1.3.7.13.А</t>
  </si>
  <si>
    <t>Реконструкция высоковольтного оборудования в ТП-116</t>
  </si>
  <si>
    <t>E_19/1.3.7.14.А</t>
  </si>
  <si>
    <t xml:space="preserve">Реконструкция КЛ-0,4кВ для технологического присоединения от ТП-282, Московский пр-т. 7 </t>
  </si>
  <si>
    <t>Реконструкция КЛ-0,4кВ для технологического присоединения отТП-1095, ул. Новосибирская, 39</t>
  </si>
  <si>
    <t>Реконструкция КЛ-0,4кВ для технологического присоединения от ТП-222, ул. Мира, 3</t>
  </si>
  <si>
    <t>E_19/1.1.2.17А</t>
  </si>
  <si>
    <t>E_19/1.1.2.32</t>
  </si>
  <si>
    <t>E_19/1.1.1.12</t>
  </si>
  <si>
    <t>КТП-1679</t>
  </si>
  <si>
    <t>E_19/1.1.1.13</t>
  </si>
  <si>
    <t>ТП-7 по адресу: ул.Ф. Энгельса,6 (протяженность по трассе 0,100 км)</t>
  </si>
  <si>
    <t>E_19/1.1.1.14</t>
  </si>
  <si>
    <t>ТП-828 по адресу: ул.Красных Партизан,30- пер.Муравьева,37 (протяженность по трассе 0,212 км)</t>
  </si>
  <si>
    <t>E_19/1.1.1.15</t>
  </si>
  <si>
    <t>ТП-241 по адресу: ул.Театральная,28  (протяженность по трассе 0,035км)</t>
  </si>
  <si>
    <t>E_19/1.1.1.16</t>
  </si>
  <si>
    <t>ТП-820</t>
  </si>
  <si>
    <t>E_19/1.1.1.17</t>
  </si>
  <si>
    <t>Реконструкция КЛ-0,4кВ ТП-1871, пер. Отличников, 2д</t>
  </si>
  <si>
    <t>Реконструкция КЛ-0,4кВ ТП-44, ул. Феоктистов, 2а</t>
  </si>
  <si>
    <t>E_19/1.1.2.29</t>
  </si>
  <si>
    <t>Вынос   КЛ-0,4кВ ТП-116-до радиологического блока ул.Вайцеховского (до муфты),(протяженность по трассе 0,558 км)</t>
  </si>
  <si>
    <t>E_19/1.1.2.30</t>
  </si>
  <si>
    <t>Вынос   КЛ-0,4кВ ТП-327-до ж/д 36 ул.Кольцовская (до муфты),(протяженность по трассе 0,070 км)</t>
  </si>
  <si>
    <t>E_19/1.1.2.31</t>
  </si>
  <si>
    <t>Реконструкция ТП-563, пр. Патриотов, 23е</t>
  </si>
  <si>
    <t>E_19/1.1.2.33</t>
  </si>
  <si>
    <t>Реконструкция ТП-71, ул. 45 Стрелковой Дивизии, 193</t>
  </si>
  <si>
    <t>E_19/1.1.2.34</t>
  </si>
  <si>
    <t>E_19/1.1.3.35</t>
  </si>
  <si>
    <t>E_19/1.1.3.36</t>
  </si>
  <si>
    <t>E_19/1.1.3.37</t>
  </si>
  <si>
    <t>Вынос КЛ-6кВ ГПП-6 -РП-19 ф.108 (протяженность по трассе 0,040км)</t>
  </si>
  <si>
    <t>ПС-16 до РП-20</t>
  </si>
  <si>
    <t>Вынос КЛ-6кв ПС-2- РП-82 ф.302,403 (протяженность по трассе 0,152км)</t>
  </si>
  <si>
    <t>E_19/1.1.3.47</t>
  </si>
  <si>
    <t>КТП-1622 п. Репное</t>
  </si>
  <si>
    <t>E_19/1.1.3.48</t>
  </si>
  <si>
    <t>Вынос ТП-1008- БКТП-1796 (протяженность по трассе 0,195км)</t>
  </si>
  <si>
    <t>E_19/2.1.3.1</t>
  </si>
  <si>
    <t>E_19/2.1.3.2</t>
  </si>
  <si>
    <t>E_19/2.1.3.3</t>
  </si>
  <si>
    <t>E_19/2.1.3.4</t>
  </si>
  <si>
    <t>E_19/2.1.3.5</t>
  </si>
  <si>
    <t>E_19/2.1.3.6</t>
  </si>
  <si>
    <t>E_19/2.1.3.7</t>
  </si>
  <si>
    <t>E_19/2.1.3.8</t>
  </si>
  <si>
    <t>E_19/2.1.3.9</t>
  </si>
  <si>
    <t>E_19/2.1.3.10</t>
  </si>
  <si>
    <t>E_19/2.1.3.11</t>
  </si>
  <si>
    <t>E_19/2.1.3.12</t>
  </si>
  <si>
    <t>E_19/2.1.3.13</t>
  </si>
  <si>
    <t>E_19/2.1.3.14</t>
  </si>
  <si>
    <t>E_19/2.1.3.15</t>
  </si>
  <si>
    <t>E_19/2.1.3.16</t>
  </si>
  <si>
    <t>E_19/2.1.3.17</t>
  </si>
  <si>
    <t>E_19/2.1.3.18</t>
  </si>
  <si>
    <t>E_19/2.1.3.19</t>
  </si>
  <si>
    <t>E_19/2.1.3.20</t>
  </si>
  <si>
    <t>E_19/2.1.3.21</t>
  </si>
  <si>
    <t>E_19/2.1.3.22</t>
  </si>
  <si>
    <t>E_19/2.1.3.23</t>
  </si>
  <si>
    <t>E_19/2.1.3.24</t>
  </si>
  <si>
    <t>Стр-во КТП  взамен КТП-136 по адресу: Ботанический сад ,ВГУ</t>
  </si>
  <si>
    <t>I_18/2.2.6.17</t>
  </si>
  <si>
    <t>Новогодняя декорация</t>
  </si>
  <si>
    <t>E_19/1.4.14</t>
  </si>
  <si>
    <t>E_19/1.3.5.17.А</t>
  </si>
  <si>
    <t>E_19/1.3.5.18.А</t>
  </si>
  <si>
    <t>E_19/1.3.5.11.А</t>
  </si>
  <si>
    <t>E_19/1.3.5.12.А</t>
  </si>
  <si>
    <t>E_19/1.3.5.13.А</t>
  </si>
  <si>
    <t>E_19/1.3.5.2.1.А</t>
  </si>
  <si>
    <t>E_19/1.3.5.2.2.А</t>
  </si>
  <si>
    <t>E_19/1.3.5.2.3.А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</si>
  <si>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</si>
  <si>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</si>
  <si>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</si>
  <si>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</si>
  <si>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</si>
  <si>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</si>
  <si>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</si>
  <si>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</si>
  <si>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</si>
  <si>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</si>
  <si>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</si>
  <si>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</si>
  <si>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</si>
  <si>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</si>
  <si>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</si>
  <si>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</si>
  <si>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</si>
  <si>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</si>
  <si>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</si>
  <si>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</si>
  <si>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>Строительство КЛ-1 кВ  ТП-204 до границы участка заявителя,  протяженностью L=4x0,0275 км  по договору Т.П. (свыше 150 до 670 кВт) №1010 от 16.10.2019 г (заявитель -ФГБОУ ВО "ВГТУ", ул. 20-летия Октября, 79/б)</t>
  </si>
  <si>
    <t>J_19/00033</t>
  </si>
  <si>
    <t>Строительство КЛ-1 кВ  ТП-343 и ТП-244 до границы участка заявителя,  протяженностью 0,14 км по договору Т.П. (свыше 150 до 670 кВт) №1046 от 10.10.2019 г (заявитель -Специализированный застройщик "ДСК-1", ул. Ленинградская, 20а, 20б, 22а, 22б)</t>
  </si>
  <si>
    <t>J_19/00034</t>
  </si>
  <si>
    <t>Строительство 2КЛ-1 кВ  ТП-937 до границы участка заявителя, протяженностью L=2x0,1 км по договору Т.П. (свыше 150 до 670 кВт) №825 от 23.07.2019 г (заявитель -АО "ДСК" Ленинский пр-кт, 201)</t>
  </si>
  <si>
    <t>J_19/00035</t>
  </si>
  <si>
    <t>Строительство КЛ-10 кВ  ТП-645 и ТП-644 до границы участка заявителя  протяженностью 0,85 км по договору Т.П. (свыше 670 кВт) №1047 от 23.09.2019 г (заявитель -ООО "Ремстрой", ул. Остужева, 2/1)</t>
  </si>
  <si>
    <t>J_19/00037</t>
  </si>
  <si>
    <t>Строительство КЛ-10 кВ  ТП-645 и ТП-644 до границы участка заявителя  протяженностью 0,85 км по договору Т.П. (свыше 150 до 670 кВт) №1047 от 23.09.2019 г (заявитель -ООО "Ремстрой", ул. Остужева, 2/1)</t>
  </si>
  <si>
    <t>J_19/00038</t>
  </si>
  <si>
    <t>Установка в резервной ВВ ячейке РУ-6 кВ БКТП-326 ВН (ВНА) по договору Т.П. (свыше 670 кВт) №1353 от 10.01.2020 г (заявитель -Единая дирекция капитального строительства, ул. Вайцеховского, 2/4)</t>
  </si>
  <si>
    <t>К_20/00001</t>
  </si>
  <si>
    <t>Строительство КЛ-10 кВ  ТП-1426 до границы участка заявителя  протяженностью L=1,16 км по договору Т.П. (свыше 150 до 670 кВт) №1259 от 30.10.2019 г (заявитель -Специализированный застройщик "Арт-ДЕКО", ул. Березовая Роща, 1б)</t>
  </si>
  <si>
    <t>J_19/00036</t>
  </si>
  <si>
    <t>1.2.2</t>
  </si>
  <si>
    <t>Реконструкция, модернизация, техническое перевооружение линий электропередачи, всего, в том числе:</t>
  </si>
  <si>
    <t>ТП-1935, ул. Дорожная, 18</t>
  </si>
  <si>
    <t>E_19/1.1.2.35</t>
  </si>
  <si>
    <t>ТП-1085-ТП-1895, ул. Ильюшина, 3л</t>
  </si>
  <si>
    <t>E_19/1.1.2.36</t>
  </si>
  <si>
    <t>ТП-919, пер. Автогенный 9б</t>
  </si>
  <si>
    <t>E_19/1.1.2.37</t>
  </si>
  <si>
    <t xml:space="preserve"> Строительство КЛ-10 кВ  ТП-1026 протяженностью 0,52 км. по договору Т.П. (свыше 670 кВт) №2641 от 24.12.2014</t>
  </si>
  <si>
    <t>J_19/00031</t>
  </si>
  <si>
    <t xml:space="preserve"> Строительство 4КЛ-10 кВ  ТП-1347 протяженностью 0,52 км. по договору Т.П. (свыше 670 кВт) №2641 от 24.12.2014</t>
  </si>
  <si>
    <t>E_19/1.1.3.34</t>
  </si>
  <si>
    <t>I_18/2.2.2.</t>
  </si>
  <si>
    <t>за 4 квартал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</si>
</sst>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#,##0.00000000"/>
  </numFmts>
  <fonts count="43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4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5">
    <xf numFmtId="0" fontId="0" fillId="0" borderId="0" xfId="0"/>
    <xf numFmtId="0" fontId="9" fillId="0" borderId="0" xfId="0" applyFont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32" fillId="0" borderId="0" xfId="54" applyFont="1" applyAlignment="1">
      <alignment vertical="center"/>
    </xf>
    <xf numFmtId="0" fontId="9" fillId="0" borderId="0" xfId="37" applyNumberFormat="1" applyFont="1"/>
    <xf numFmtId="0" fontId="9" fillId="0" borderId="0" xfId="0" applyFont="1" applyFill="1"/>
    <xf numFmtId="0" fontId="29" fillId="0" borderId="0" xfId="54" applyFont="1" applyAlignment="1">
      <alignment vertical="top"/>
    </xf>
    <xf numFmtId="0" fontId="31" fillId="0" borderId="0" xfId="37" applyFont="1" applyFill="1" applyAlignment="1">
      <alignment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9" fillId="0" borderId="0" xfId="37" applyFont="1" applyFill="1" applyAlignment="1">
      <alignment horizontal="center"/>
    </xf>
    <xf numFmtId="167" fontId="36" fillId="0" borderId="0" xfId="37" applyNumberFormat="1" applyFont="1" applyFill="1"/>
    <xf numFmtId="49" fontId="36" fillId="0" borderId="0" xfId="37" applyNumberFormat="1" applyFont="1" applyFill="1"/>
    <xf numFmtId="4" fontId="36" fillId="0" borderId="0" xfId="37" applyNumberFormat="1" applyFont="1" applyFill="1"/>
    <xf numFmtId="49" fontId="36" fillId="0" borderId="0" xfId="37" applyNumberFormat="1" applyFont="1" applyFill="1" applyAlignment="1">
      <alignment horizontal="center" wrapText="1"/>
    </xf>
    <xf numFmtId="4" fontId="36" fillId="0" borderId="0" xfId="37" applyNumberFormat="1" applyFont="1" applyFill="1" applyAlignment="1">
      <alignment horizontal="center" wrapText="1"/>
    </xf>
    <xf numFmtId="167" fontId="36" fillId="0" borderId="0" xfId="37" applyNumberFormat="1" applyFont="1" applyFill="1" applyAlignment="1">
      <alignment horizontal="center" wrapText="1"/>
    </xf>
    <xf numFmtId="4" fontId="36" fillId="0" borderId="0" xfId="0" applyNumberFormat="1" applyFont="1" applyFill="1" applyAlignment="1">
      <alignment horizontal="center"/>
    </xf>
    <xf numFmtId="167" fontId="36" fillId="0" borderId="0" xfId="0" applyNumberFormat="1" applyFont="1" applyFill="1" applyAlignment="1">
      <alignment horizontal="center"/>
    </xf>
    <xf numFmtId="49" fontId="36" fillId="0" borderId="10" xfId="37" applyNumberFormat="1" applyFont="1" applyFill="1" applyBorder="1" applyAlignment="1">
      <alignment horizontal="center" textRotation="90" wrapText="1"/>
    </xf>
    <xf numFmtId="4" fontId="36" fillId="0" borderId="10" xfId="37" applyNumberFormat="1" applyFont="1" applyFill="1" applyBorder="1" applyAlignment="1">
      <alignment horizontal="center" textRotation="90" wrapText="1"/>
    </xf>
    <xf numFmtId="167" fontId="36" fillId="0" borderId="10" xfId="37" applyNumberFormat="1" applyFont="1" applyFill="1" applyBorder="1" applyAlignment="1">
      <alignment horizontal="center" textRotation="90" wrapText="1"/>
    </xf>
    <xf numFmtId="0" fontId="36" fillId="0" borderId="10" xfId="37" applyNumberFormat="1" applyFont="1" applyFill="1" applyBorder="1" applyAlignment="1">
      <alignment horizontal="center" vertical="center" wrapText="1"/>
    </xf>
    <xf numFmtId="0" fontId="36" fillId="0" borderId="10" xfId="37" applyNumberFormat="1" applyFont="1" applyFill="1" applyBorder="1" applyAlignment="1">
      <alignment horizontal="center" vertical="center"/>
    </xf>
    <xf numFmtId="49" fontId="36" fillId="0" borderId="10" xfId="37" applyNumberFormat="1" applyFont="1" applyFill="1" applyBorder="1" applyAlignment="1">
      <alignment horizontal="center" vertical="center"/>
    </xf>
    <xf numFmtId="4" fontId="36" fillId="0" borderId="10" xfId="37" applyNumberFormat="1" applyFont="1" applyFill="1" applyBorder="1" applyAlignment="1">
      <alignment horizontal="center" vertical="center"/>
    </xf>
    <xf numFmtId="167" fontId="36" fillId="0" borderId="10" xfId="37" applyNumberFormat="1" applyFont="1" applyFill="1" applyBorder="1" applyAlignment="1">
      <alignment horizontal="center" vertical="center"/>
    </xf>
    <xf numFmtId="167" fontId="36" fillId="0" borderId="10" xfId="37" applyNumberFormat="1" applyFont="1" applyFill="1" applyBorder="1" applyAlignment="1">
      <alignment horizontal="right" wrapText="1"/>
    </xf>
    <xf numFmtId="167" fontId="36" fillId="0" borderId="10" xfId="37" applyNumberFormat="1" applyFont="1" applyFill="1" applyBorder="1" applyAlignment="1">
      <alignment horizontal="right"/>
    </xf>
    <xf numFmtId="2" fontId="39" fillId="0" borderId="10" xfId="0" quotePrefix="1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vertical="top"/>
    </xf>
    <xf numFmtId="167" fontId="40" fillId="24" borderId="12" xfId="0" applyNumberFormat="1" applyFont="1" applyFill="1" applyBorder="1" applyAlignment="1">
      <alignment horizontal="right" wrapText="1"/>
    </xf>
    <xf numFmtId="167" fontId="36" fillId="24" borderId="10" xfId="37" applyNumberFormat="1" applyFont="1" applyFill="1" applyBorder="1" applyAlignment="1">
      <alignment horizontal="right"/>
    </xf>
    <xf numFmtId="167" fontId="41" fillId="24" borderId="10" xfId="37" applyNumberFormat="1" applyFont="1" applyFill="1" applyBorder="1" applyAlignment="1">
      <alignment horizontal="right" wrapText="1"/>
    </xf>
    <xf numFmtId="167" fontId="36" fillId="24" borderId="10" xfId="37" applyNumberFormat="1" applyFont="1" applyFill="1" applyBorder="1" applyAlignment="1">
      <alignment horizontal="right" wrapText="1"/>
    </xf>
    <xf numFmtId="167" fontId="41" fillId="24" borderId="10" xfId="0" applyNumberFormat="1" applyFont="1" applyFill="1" applyBorder="1" applyAlignment="1">
      <alignment horizontal="right" wrapText="1"/>
    </xf>
    <xf numFmtId="167" fontId="40" fillId="24" borderId="10" xfId="0" applyNumberFormat="1" applyFont="1" applyFill="1" applyBorder="1" applyAlignment="1">
      <alignment horizontal="right" wrapText="1"/>
    </xf>
    <xf numFmtId="167" fontId="39" fillId="24" borderId="12" xfId="0" applyNumberFormat="1" applyFont="1" applyFill="1" applyBorder="1" applyAlignment="1">
      <alignment horizontal="right" wrapText="1"/>
    </xf>
    <xf numFmtId="167" fontId="36" fillId="24" borderId="0" xfId="37" applyNumberFormat="1" applyFont="1" applyFill="1" applyBorder="1" applyAlignment="1">
      <alignment horizontal="right"/>
    </xf>
    <xf numFmtId="0" fontId="29" fillId="24" borderId="0" xfId="54" applyFont="1" applyFill="1" applyAlignment="1">
      <alignment horizontal="center" vertical="top"/>
    </xf>
    <xf numFmtId="0" fontId="31" fillId="24" borderId="0" xfId="0" applyFont="1" applyFill="1" applyAlignment="1">
      <alignment horizontal="center"/>
    </xf>
    <xf numFmtId="167" fontId="41" fillId="24" borderId="15" xfId="37" applyNumberFormat="1" applyFont="1" applyFill="1" applyBorder="1" applyAlignment="1">
      <alignment horizontal="right" wrapText="1"/>
    </xf>
    <xf numFmtId="167" fontId="36" fillId="24" borderId="15" xfId="37" applyNumberFormat="1" applyFont="1" applyFill="1" applyBorder="1" applyAlignment="1">
      <alignment horizontal="right" wrapText="1"/>
    </xf>
    <xf numFmtId="0" fontId="31" fillId="0" borderId="0" xfId="0" applyFont="1" applyFill="1" applyAlignment="1">
      <alignment horizontal="center"/>
    </xf>
    <xf numFmtId="0" fontId="29" fillId="0" borderId="0" xfId="54" applyFont="1" applyFill="1" applyAlignment="1">
      <alignment horizontal="center" vertical="top"/>
    </xf>
    <xf numFmtId="49" fontId="36" fillId="24" borderId="0" xfId="37" applyNumberFormat="1" applyFont="1" applyFill="1"/>
    <xf numFmtId="49" fontId="36" fillId="24" borderId="0" xfId="37" applyNumberFormat="1" applyFont="1" applyFill="1" applyAlignment="1">
      <alignment horizontal="center" wrapText="1"/>
    </xf>
    <xf numFmtId="49" fontId="36" fillId="24" borderId="10" xfId="37" applyNumberFormat="1" applyFont="1" applyFill="1" applyBorder="1" applyAlignment="1">
      <alignment horizontal="center" textRotation="90" wrapText="1"/>
    </xf>
    <xf numFmtId="49" fontId="36" fillId="24" borderId="10" xfId="37" applyNumberFormat="1" applyFont="1" applyFill="1" applyBorder="1" applyAlignment="1">
      <alignment horizontal="center" vertical="center"/>
    </xf>
    <xf numFmtId="167" fontId="36" fillId="0" borderId="0" xfId="37" applyNumberFormat="1" applyFont="1" applyFill="1" applyAlignment="1">
      <alignment horizontal="right" vertical="center"/>
    </xf>
    <xf numFmtId="167" fontId="36" fillId="0" borderId="0" xfId="37" applyNumberFormat="1" applyFont="1" applyFill="1" applyAlignment="1">
      <alignment horizontal="right"/>
    </xf>
    <xf numFmtId="167" fontId="41" fillId="24" borderId="10" xfId="37" applyNumberFormat="1" applyFont="1" applyFill="1" applyBorder="1" applyAlignment="1">
      <alignment horizontal="right"/>
    </xf>
    <xf numFmtId="49" fontId="36" fillId="24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/>
    <xf numFmtId="0" fontId="31" fillId="24" borderId="0" xfId="0" applyFont="1" applyFill="1" applyAlignment="1"/>
    <xf numFmtId="0" fontId="31" fillId="24" borderId="0" xfId="37" applyFont="1" applyFill="1" applyAlignment="1">
      <alignment wrapText="1"/>
    </xf>
    <xf numFmtId="0" fontId="38" fillId="24" borderId="0" xfId="54" applyFont="1" applyFill="1" applyAlignment="1">
      <alignment vertical="center"/>
    </xf>
    <xf numFmtId="0" fontId="29" fillId="24" borderId="0" xfId="54" applyFont="1" applyFill="1" applyAlignment="1">
      <alignment vertical="center"/>
    </xf>
    <xf numFmtId="0" fontId="37" fillId="24" borderId="0" xfId="54" applyFont="1" applyFill="1" applyAlignment="1">
      <alignment vertical="center"/>
    </xf>
    <xf numFmtId="168" fontId="9" fillId="24" borderId="0" xfId="37" applyNumberFormat="1" applyFont="1" applyFill="1"/>
    <xf numFmtId="167" fontId="36" fillId="24" borderId="0" xfId="37" applyNumberFormat="1" applyFont="1" applyFill="1" applyBorder="1" applyAlignment="1">
      <alignment horizontal="right" wrapText="1"/>
    </xf>
    <xf numFmtId="0" fontId="31" fillId="0" borderId="0" xfId="0" applyFont="1" applyFill="1" applyAlignment="1">
      <alignment horizontal="center"/>
    </xf>
    <xf numFmtId="0" fontId="29" fillId="0" borderId="0" xfId="54" applyFont="1" applyFill="1" applyAlignment="1">
      <alignment horizontal="center" vertical="top"/>
    </xf>
    <xf numFmtId="0" fontId="31" fillId="0" borderId="0" xfId="37" applyFont="1" applyFill="1" applyAlignment="1">
      <alignment horizontal="center" wrapText="1"/>
    </xf>
    <xf numFmtId="0" fontId="36" fillId="0" borderId="10" xfId="37" applyFont="1" applyFill="1" applyBorder="1" applyAlignment="1">
      <alignment horizontal="center" vertical="center" wrapText="1"/>
    </xf>
    <xf numFmtId="0" fontId="36" fillId="0" borderId="0" xfId="37" applyFont="1" applyFill="1"/>
    <xf numFmtId="0" fontId="36" fillId="0" borderId="0" xfId="37" applyFont="1" applyFill="1" applyAlignment="1">
      <alignment horizontal="center" wrapText="1"/>
    </xf>
    <xf numFmtId="0" fontId="36" fillId="0" borderId="0" xfId="0" applyFont="1" applyFill="1" applyAlignment="1">
      <alignment horizontal="center"/>
    </xf>
    <xf numFmtId="0" fontId="36" fillId="0" borderId="10" xfId="37" applyFont="1" applyFill="1" applyBorder="1" applyAlignment="1">
      <alignment horizontal="center" textRotation="90" wrapText="1"/>
    </xf>
    <xf numFmtId="2" fontId="40" fillId="0" borderId="10" xfId="0" quotePrefix="1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center" wrapText="1"/>
    </xf>
    <xf numFmtId="1" fontId="40" fillId="0" borderId="10" xfId="0" applyNumberFormat="1" applyFont="1" applyFill="1" applyBorder="1" applyAlignment="1">
      <alignment vertical="center"/>
    </xf>
    <xf numFmtId="167" fontId="41" fillId="0" borderId="10" xfId="0" applyNumberFormat="1" applyFont="1" applyFill="1" applyBorder="1" applyAlignment="1">
      <alignment horizontal="right" wrapText="1"/>
    </xf>
    <xf numFmtId="167" fontId="41" fillId="0" borderId="10" xfId="37" applyNumberFormat="1" applyFont="1" applyFill="1" applyBorder="1" applyAlignment="1">
      <alignment horizontal="right" wrapText="1"/>
    </xf>
    <xf numFmtId="167" fontId="41" fillId="0" borderId="15" xfId="37" applyNumberFormat="1" applyFont="1" applyFill="1" applyBorder="1" applyAlignment="1">
      <alignment horizontal="right" wrapText="1"/>
    </xf>
    <xf numFmtId="167" fontId="40" fillId="0" borderId="10" xfId="54" applyNumberFormat="1" applyFont="1" applyFill="1" applyBorder="1" applyAlignment="1">
      <alignment horizontal="right" wrapText="1"/>
    </xf>
    <xf numFmtId="0" fontId="40" fillId="0" borderId="10" xfId="0" applyFont="1" applyFill="1" applyBorder="1" applyAlignment="1">
      <alignment vertical="top" wrapText="1"/>
    </xf>
    <xf numFmtId="1" fontId="40" fillId="0" borderId="10" xfId="0" applyNumberFormat="1" applyFont="1" applyFill="1" applyBorder="1" applyAlignment="1">
      <alignment vertical="center" wrapText="1"/>
    </xf>
    <xf numFmtId="167" fontId="40" fillId="0" borderId="10" xfId="0" applyNumberFormat="1" applyFont="1" applyFill="1" applyBorder="1" applyAlignment="1">
      <alignment horizontal="right" wrapText="1"/>
    </xf>
    <xf numFmtId="2" fontId="41" fillId="0" borderId="10" xfId="37" quotePrefix="1" applyNumberFormat="1" applyFont="1" applyFill="1" applyBorder="1" applyAlignment="1">
      <alignment horizontal="center" vertical="center" wrapText="1"/>
    </xf>
    <xf numFmtId="1" fontId="41" fillId="0" borderId="10" xfId="37" applyNumberFormat="1" applyFont="1" applyFill="1" applyBorder="1" applyAlignment="1">
      <alignment vertical="center" wrapText="1"/>
    </xf>
    <xf numFmtId="1" fontId="41" fillId="0" borderId="10" xfId="37" applyNumberFormat="1" applyFont="1" applyFill="1" applyBorder="1" applyAlignment="1">
      <alignment vertical="center"/>
    </xf>
    <xf numFmtId="167" fontId="40" fillId="0" borderId="12" xfId="0" applyNumberFormat="1" applyFont="1" applyFill="1" applyBorder="1" applyAlignment="1">
      <alignment horizontal="right" wrapText="1"/>
    </xf>
    <xf numFmtId="2" fontId="36" fillId="0" borderId="10" xfId="37" quotePrefix="1" applyNumberFormat="1" applyFont="1" applyFill="1" applyBorder="1" applyAlignment="1">
      <alignment horizontal="center" vertical="center" wrapText="1"/>
    </xf>
    <xf numFmtId="1" fontId="36" fillId="0" borderId="10" xfId="37" applyNumberFormat="1" applyFont="1" applyFill="1" applyBorder="1" applyAlignment="1">
      <alignment vertical="center" wrapText="1"/>
    </xf>
    <xf numFmtId="1" fontId="36" fillId="0" borderId="10" xfId="37" applyNumberFormat="1" applyFont="1" applyFill="1" applyBorder="1" applyAlignment="1">
      <alignment vertical="center"/>
    </xf>
    <xf numFmtId="167" fontId="39" fillId="0" borderId="12" xfId="0" applyNumberFormat="1" applyFont="1" applyFill="1" applyBorder="1" applyAlignment="1">
      <alignment horizontal="right" wrapText="1"/>
    </xf>
    <xf numFmtId="0" fontId="39" fillId="0" borderId="10" xfId="0" applyFont="1" applyFill="1" applyBorder="1" applyAlignment="1">
      <alignment wrapText="1"/>
    </xf>
    <xf numFmtId="1" fontId="39" fillId="0" borderId="10" xfId="0" applyNumberFormat="1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top" wrapText="1"/>
    </xf>
    <xf numFmtId="0" fontId="36" fillId="0" borderId="10" xfId="0" applyFont="1" applyFill="1" applyBorder="1" applyAlignment="1">
      <alignment vertical="top" wrapText="1"/>
    </xf>
    <xf numFmtId="1" fontId="39" fillId="0" borderId="10" xfId="0" applyNumberFormat="1" applyFont="1" applyFill="1" applyBorder="1" applyAlignment="1">
      <alignment vertical="top"/>
    </xf>
    <xf numFmtId="0" fontId="36" fillId="0" borderId="10" xfId="0" applyFont="1" applyFill="1" applyBorder="1" applyAlignment="1">
      <alignment horizontal="left" vertical="top" wrapText="1"/>
    </xf>
    <xf numFmtId="167" fontId="36" fillId="0" borderId="15" xfId="37" applyNumberFormat="1" applyFont="1" applyFill="1" applyBorder="1" applyAlignment="1">
      <alignment horizontal="right" wrapText="1"/>
    </xf>
    <xf numFmtId="0" fontId="36" fillId="0" borderId="10" xfId="0" applyFont="1" applyFill="1" applyBorder="1" applyAlignment="1">
      <alignment wrapText="1"/>
    </xf>
    <xf numFmtId="1" fontId="39" fillId="0" borderId="10" xfId="0" applyNumberFormat="1" applyFont="1" applyFill="1" applyBorder="1"/>
    <xf numFmtId="2" fontId="36" fillId="0" borderId="10" xfId="0" quotePrefix="1" applyNumberFormat="1" applyFont="1" applyFill="1" applyBorder="1" applyAlignment="1">
      <alignment horizontal="center" vertical="center" wrapText="1"/>
    </xf>
    <xf numFmtId="0" fontId="36" fillId="0" borderId="10" xfId="0" applyFont="1" applyFill="1" applyBorder="1"/>
    <xf numFmtId="2" fontId="36" fillId="0" borderId="11" xfId="0" quotePrefix="1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wrapText="1"/>
    </xf>
    <xf numFmtId="0" fontId="36" fillId="0" borderId="11" xfId="0" applyFont="1" applyFill="1" applyBorder="1"/>
    <xf numFmtId="167" fontId="36" fillId="0" borderId="12" xfId="37" applyNumberFormat="1" applyFont="1" applyFill="1" applyBorder="1" applyAlignment="1">
      <alignment horizontal="right" wrapText="1"/>
    </xf>
    <xf numFmtId="2" fontId="40" fillId="0" borderId="11" xfId="0" quotePrefix="1" applyNumberFormat="1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vertical="top" wrapText="1"/>
    </xf>
    <xf numFmtId="1" fontId="40" fillId="0" borderId="11" xfId="0" applyNumberFormat="1" applyFont="1" applyFill="1" applyBorder="1" applyAlignment="1">
      <alignment vertical="center" wrapText="1"/>
    </xf>
    <xf numFmtId="1" fontId="36" fillId="0" borderId="10" xfId="0" applyNumberFormat="1" applyFont="1" applyFill="1" applyBorder="1"/>
    <xf numFmtId="0" fontId="39" fillId="0" borderId="10" xfId="0" applyFont="1" applyFill="1" applyBorder="1"/>
    <xf numFmtId="0" fontId="39" fillId="0" borderId="10" xfId="0" quotePrefix="1" applyFont="1" applyFill="1" applyBorder="1" applyAlignment="1">
      <alignment horizontal="center"/>
    </xf>
    <xf numFmtId="0" fontId="36" fillId="0" borderId="10" xfId="0" quotePrefix="1" applyFont="1" applyFill="1" applyBorder="1" applyAlignment="1">
      <alignment horizontal="center"/>
    </xf>
    <xf numFmtId="0" fontId="41" fillId="0" borderId="10" xfId="0" quotePrefix="1" applyFont="1" applyFill="1" applyBorder="1" applyAlignment="1">
      <alignment horizontal="center"/>
    </xf>
    <xf numFmtId="0" fontId="41" fillId="0" borderId="10" xfId="0" applyFont="1" applyFill="1" applyBorder="1" applyAlignment="1">
      <alignment wrapText="1"/>
    </xf>
    <xf numFmtId="0" fontId="41" fillId="0" borderId="10" xfId="0" applyFont="1" applyFill="1" applyBorder="1"/>
    <xf numFmtId="0" fontId="36" fillId="0" borderId="10" xfId="0" quotePrefix="1" applyFont="1" applyFill="1" applyBorder="1"/>
    <xf numFmtId="1" fontId="9" fillId="0" borderId="10" xfId="37" quotePrefix="1" applyNumberFormat="1" applyFont="1" applyFill="1" applyBorder="1" applyAlignment="1">
      <alignment horizontal="center" vertical="center"/>
    </xf>
    <xf numFmtId="1" fontId="9" fillId="0" borderId="10" xfId="37" applyNumberFormat="1" applyFont="1" applyFill="1" applyBorder="1" applyAlignment="1">
      <alignment vertical="center"/>
    </xf>
    <xf numFmtId="1" fontId="9" fillId="0" borderId="10" xfId="37" applyNumberFormat="1" applyFont="1" applyFill="1" applyBorder="1" applyAlignment="1">
      <alignment vertical="center" wrapText="1"/>
    </xf>
    <xf numFmtId="167" fontId="41" fillId="0" borderId="10" xfId="37" applyNumberFormat="1" applyFont="1" applyFill="1" applyBorder="1" applyAlignment="1">
      <alignment horizontal="right"/>
    </xf>
    <xf numFmtId="167" fontId="36" fillId="0" borderId="12" xfId="37" applyNumberFormat="1" applyFont="1" applyFill="1" applyBorder="1" applyAlignment="1">
      <alignment horizontal="right"/>
    </xf>
    <xf numFmtId="167" fontId="41" fillId="0" borderId="12" xfId="37" applyNumberFormat="1" applyFont="1" applyFill="1" applyBorder="1" applyAlignment="1">
      <alignment horizontal="right"/>
    </xf>
    <xf numFmtId="0" fontId="31" fillId="0" borderId="0" xfId="0" applyFont="1" applyFill="1" applyAlignment="1">
      <alignment horizontal="center"/>
    </xf>
    <xf numFmtId="0" fontId="32" fillId="0" borderId="0" xfId="54" applyFont="1" applyFill="1" applyAlignment="1">
      <alignment horizontal="center" vertical="center"/>
    </xf>
    <xf numFmtId="0" fontId="29" fillId="0" borderId="0" xfId="54" applyFont="1" applyFill="1" applyAlignment="1">
      <alignment horizontal="center" vertical="top"/>
    </xf>
    <xf numFmtId="167" fontId="42" fillId="0" borderId="10" xfId="45" applyNumberFormat="1" applyFont="1" applyFill="1" applyBorder="1" applyAlignment="1">
      <alignment horizontal="center" vertical="center"/>
    </xf>
    <xf numFmtId="0" fontId="36" fillId="0" borderId="11" xfId="37" applyFont="1" applyFill="1" applyBorder="1" applyAlignment="1">
      <alignment horizontal="center" vertical="center" wrapText="1"/>
    </xf>
    <xf numFmtId="0" fontId="36" fillId="0" borderId="13" xfId="37" applyFont="1" applyFill="1" applyBorder="1" applyAlignment="1">
      <alignment horizontal="center" vertical="center" wrapText="1"/>
    </xf>
    <xf numFmtId="49" fontId="36" fillId="24" borderId="11" xfId="37" applyNumberFormat="1" applyFont="1" applyFill="1" applyBorder="1" applyAlignment="1">
      <alignment horizontal="center" vertical="center" wrapText="1"/>
    </xf>
    <xf numFmtId="49" fontId="36" fillId="24" borderId="13" xfId="37" applyNumberFormat="1" applyFont="1" applyFill="1" applyBorder="1" applyAlignment="1">
      <alignment horizontal="center" vertical="center" wrapText="1"/>
    </xf>
    <xf numFmtId="0" fontId="42" fillId="0" borderId="10" xfId="45" applyFont="1" applyFill="1" applyBorder="1" applyAlignment="1">
      <alignment horizontal="center" vertical="center" wrapText="1"/>
    </xf>
    <xf numFmtId="4" fontId="42" fillId="0" borderId="10" xfId="45" applyNumberFormat="1" applyFont="1" applyFill="1" applyBorder="1" applyAlignment="1">
      <alignment horizontal="center" vertical="center" wrapText="1"/>
    </xf>
    <xf numFmtId="49" fontId="42" fillId="0" borderId="10" xfId="45" applyNumberFormat="1" applyFont="1" applyFill="1" applyBorder="1" applyAlignment="1">
      <alignment horizontal="center" vertical="center" wrapText="1"/>
    </xf>
    <xf numFmtId="0" fontId="31" fillId="0" borderId="0" xfId="37" applyFont="1" applyFill="1" applyAlignment="1">
      <alignment horizontal="center" wrapText="1"/>
    </xf>
    <xf numFmtId="0" fontId="36" fillId="0" borderId="10" xfId="37" applyFont="1" applyFill="1" applyBorder="1" applyAlignment="1">
      <alignment horizontal="center" vertical="center" wrapText="1"/>
    </xf>
    <xf numFmtId="0" fontId="9" fillId="0" borderId="0" xfId="37" applyFont="1" applyFill="1" applyAlignment="1">
      <alignment horizontal="center" wrapText="1"/>
    </xf>
    <xf numFmtId="49" fontId="42" fillId="0" borderId="10" xfId="45" applyNumberFormat="1" applyFont="1" applyFill="1" applyBorder="1" applyAlignment="1">
      <alignment horizontal="center" vertical="center"/>
    </xf>
    <xf numFmtId="167" fontId="36" fillId="24" borderId="11" xfId="37" applyNumberFormat="1" applyFont="1" applyFill="1" applyBorder="1" applyAlignment="1">
      <alignment horizontal="right" vertical="center" wrapText="1"/>
    </xf>
    <xf numFmtId="167" fontId="36" fillId="24" borderId="14" xfId="37" applyNumberFormat="1" applyFont="1" applyFill="1" applyBorder="1" applyAlignment="1">
      <alignment horizontal="right" vertical="center" wrapText="1"/>
    </xf>
    <xf numFmtId="167" fontId="36" fillId="24" borderId="13" xfId="37" applyNumberFormat="1" applyFont="1" applyFill="1" applyBorder="1" applyAlignment="1">
      <alignment horizontal="right" vertical="center" wrapText="1"/>
    </xf>
    <xf numFmtId="0" fontId="36" fillId="0" borderId="14" xfId="37" applyFont="1" applyFill="1" applyBorder="1" applyAlignment="1">
      <alignment horizontal="center" vertical="center" wrapText="1"/>
    </xf>
    <xf numFmtId="0" fontId="36" fillId="0" borderId="12" xfId="37" applyFont="1" applyFill="1" applyBorder="1" applyAlignment="1">
      <alignment horizontal="center" vertical="center" wrapText="1"/>
    </xf>
    <xf numFmtId="0" fontId="36" fillId="0" borderId="16" xfId="37" applyFont="1" applyFill="1" applyBorder="1" applyAlignment="1">
      <alignment horizontal="center" vertical="center" wrapText="1"/>
    </xf>
    <xf numFmtId="0" fontId="36" fillId="0" borderId="15" xfId="37" applyFont="1" applyFill="1" applyBorder="1" applyAlignment="1">
      <alignment horizontal="center" vertical="center" wrapText="1"/>
    </xf>
    <xf numFmtId="167" fontId="36" fillId="0" borderId="12" xfId="37" applyNumberFormat="1" applyFont="1" applyFill="1" applyBorder="1" applyAlignment="1">
      <alignment horizontal="center" vertical="center" wrapText="1"/>
    </xf>
    <xf numFmtId="167" fontId="36" fillId="0" borderId="16" xfId="37" applyNumberFormat="1" applyFont="1" applyFill="1" applyBorder="1" applyAlignment="1">
      <alignment horizontal="center" vertical="center" wrapText="1"/>
    </xf>
    <xf numFmtId="167" fontId="36" fillId="0" borderId="15" xfId="37" applyNumberFormat="1" applyFont="1" applyFill="1" applyBorder="1" applyAlignment="1">
      <alignment horizontal="center" vertical="center" wrapText="1"/>
    </xf>
    <xf numFmtId="49" fontId="36" fillId="0" borderId="12" xfId="37" applyNumberFormat="1" applyFont="1" applyFill="1" applyBorder="1" applyAlignment="1">
      <alignment horizontal="center" vertical="center" wrapText="1"/>
    </xf>
    <xf numFmtId="49" fontId="36" fillId="0" borderId="16" xfId="37" applyNumberFormat="1" applyFont="1" applyFill="1" applyBorder="1" applyAlignment="1">
      <alignment horizontal="center" vertical="center" wrapText="1"/>
    </xf>
    <xf numFmtId="49" fontId="36" fillId="0" borderId="15" xfId="37" applyNumberFormat="1" applyFont="1" applyFill="1" applyBorder="1" applyAlignment="1">
      <alignment horizontal="center" vertical="center" wrapText="1"/>
    </xf>
    <xf numFmtId="167" fontId="42" fillId="0" borderId="10" xfId="45" applyNumberFormat="1" applyFont="1" applyFill="1" applyBorder="1" applyAlignment="1">
      <alignment horizontal="center" vertical="center" wrapText="1"/>
    </xf>
    <xf numFmtId="167" fontId="36" fillId="0" borderId="11" xfId="37" applyNumberFormat="1" applyFont="1" applyFill="1" applyBorder="1" applyAlignment="1">
      <alignment horizontal="right" vertical="center" wrapText="1"/>
    </xf>
    <xf numFmtId="167" fontId="36" fillId="0" borderId="14" xfId="37" applyNumberFormat="1" applyFont="1" applyFill="1" applyBorder="1" applyAlignment="1">
      <alignment horizontal="right" vertical="center" wrapText="1"/>
    </xf>
    <xf numFmtId="167" fontId="36" fillId="0" borderId="13" xfId="37" applyNumberFormat="1" applyFont="1" applyFill="1" applyBorder="1" applyAlignment="1">
      <alignment horizontal="right" vertical="center" wrapText="1"/>
    </xf>
    <xf numFmtId="167" fontId="36" fillId="0" borderId="10" xfId="37" applyNumberFormat="1" applyFont="1" applyFill="1" applyBorder="1" applyAlignment="1">
      <alignment horizontal="right" vertical="center" wrapText="1"/>
    </xf>
    <xf numFmtId="0" fontId="29" fillId="0" borderId="0" xfId="54" applyFont="1" applyFill="1" applyAlignment="1">
      <alignment horizontal="center" vertical="center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+%20&#1055;&#1088;&#1080;&#1083;&#1086;&#1078;&#1077;&#1085;&#1080;&#1077;%20&#8470;%2012%20(4%20&#1082;&#1074;&#1072;&#1088;&#1090;&#1072;&#1083;%202019%20&#1075;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квОсв "/>
    </sheetNames>
    <sheetDataSet>
      <sheetData sheetId="0">
        <row r="458">
          <cell r="I458">
            <v>42.871311410000004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449"/>
  <sheetViews>
    <sheetView tabSelected="1" zoomScale="90" zoomScaleNormal="90" zoomScaleSheetLayoutView="80" workbookViewId="0">
      <pane xSplit="29" ySplit="19" topLeftCell="AD20" activePane="bottomRight" state="frozen"/>
      <selection activeCell="A14" sqref="A14"/>
      <selection pane="topRight" activeCell="AE14" sqref="AE14"/>
      <selection pane="bottomLeft" activeCell="A20" sqref="A20"/>
      <selection pane="bottomRight" activeCell="A8" sqref="A8:BC8"/>
    </sheetView>
  </sheetViews>
  <sheetFormatPr defaultRowHeight="15.75" x14ac:dyDescent="0.25"/>
  <cols>
    <col min="1" max="1" width="10.5" style="12" customWidth="1"/>
    <col min="2" max="2" width="52.625" style="3" customWidth="1"/>
    <col min="3" max="3" width="13.375" style="3" customWidth="1"/>
    <col min="4" max="4" width="9.875" style="67" customWidth="1"/>
    <col min="5" max="5" width="10.25" style="67" customWidth="1"/>
    <col min="6" max="7" width="8.25" style="67" customWidth="1"/>
    <col min="8" max="8" width="9.25" style="67" customWidth="1"/>
    <col min="9" max="10" width="8.25" style="67" customWidth="1"/>
    <col min="11" max="14" width="8.25" style="14" customWidth="1"/>
    <col min="15" max="19" width="9.875" style="15" customWidth="1"/>
    <col min="20" max="21" width="9.875" style="14" customWidth="1"/>
    <col min="22" max="29" width="8.125" style="14" customWidth="1"/>
    <col min="30" max="30" width="8.125" style="47" customWidth="1"/>
    <col min="31" max="31" width="9.5" style="47" customWidth="1"/>
    <col min="32" max="32" width="8.125" style="14" customWidth="1"/>
    <col min="33" max="40" width="9" style="14" customWidth="1"/>
    <col min="41" max="45" width="9" style="15" customWidth="1"/>
    <col min="46" max="55" width="10.625" style="13" customWidth="1"/>
    <col min="56" max="56" width="10.625" style="2" customWidth="1"/>
    <col min="57" max="57" width="13.125" style="2" customWidth="1"/>
    <col min="58" max="58" width="13.625" style="2" customWidth="1"/>
    <col min="59" max="95" width="9" style="2" customWidth="1"/>
    <col min="96" max="276" width="9" style="2"/>
    <col min="277" max="277" width="36.875" style="2" bestFit="1" customWidth="1"/>
    <col min="278" max="278" width="7.125" style="2" customWidth="1"/>
    <col min="279" max="279" width="6" style="2" customWidth="1"/>
    <col min="280" max="280" width="5.75" style="2" customWidth="1"/>
    <col min="281" max="281" width="10.5" style="2" customWidth="1"/>
    <col min="282" max="282" width="7.5" style="2" customWidth="1"/>
    <col min="283" max="283" width="6.375" style="2" customWidth="1"/>
    <col min="284" max="284" width="6.5" style="2" customWidth="1"/>
    <col min="285" max="285" width="6.375" style="2" customWidth="1"/>
    <col min="286" max="286" width="7.875" style="2" customWidth="1"/>
    <col min="287" max="287" width="7.75" style="2" customWidth="1"/>
    <col min="288" max="291" width="6.5" style="2" customWidth="1"/>
    <col min="292" max="292" width="6.875" style="2" customWidth="1"/>
    <col min="293" max="293" width="9" style="2"/>
    <col min="294" max="294" width="6.125" style="2" customWidth="1"/>
    <col min="295" max="295" width="7.5" style="2" customWidth="1"/>
    <col min="296" max="296" width="7.625" style="2" customWidth="1"/>
    <col min="297" max="297" width="7.75" style="2" customWidth="1"/>
    <col min="298" max="298" width="10.125" style="2" bestFit="1" customWidth="1"/>
    <col min="299" max="299" width="12" style="2" customWidth="1"/>
    <col min="300" max="300" width="10.25" style="2" bestFit="1" customWidth="1"/>
    <col min="301" max="301" width="8.75" style="2" bestFit="1" customWidth="1"/>
    <col min="302" max="302" width="7.75" style="2" customWidth="1"/>
    <col min="303" max="303" width="9.125" style="2" customWidth="1"/>
    <col min="304" max="304" width="9.875" style="2" customWidth="1"/>
    <col min="305" max="305" width="7.75" style="2" customWidth="1"/>
    <col min="306" max="306" width="9.375" style="2" customWidth="1"/>
    <col min="307" max="307" width="9" style="2"/>
    <col min="308" max="308" width="5.875" style="2" customWidth="1"/>
    <col min="309" max="309" width="7.125" style="2" customWidth="1"/>
    <col min="310" max="310" width="8.125" style="2" customWidth="1"/>
    <col min="311" max="311" width="10.25" style="2" customWidth="1"/>
    <col min="312" max="532" width="9" style="2"/>
    <col min="533" max="533" width="36.875" style="2" bestFit="1" customWidth="1"/>
    <col min="534" max="534" width="7.125" style="2" customWidth="1"/>
    <col min="535" max="535" width="6" style="2" customWidth="1"/>
    <col min="536" max="536" width="5.75" style="2" customWidth="1"/>
    <col min="537" max="537" width="10.5" style="2" customWidth="1"/>
    <col min="538" max="538" width="7.5" style="2" customWidth="1"/>
    <col min="539" max="539" width="6.375" style="2" customWidth="1"/>
    <col min="540" max="540" width="6.5" style="2" customWidth="1"/>
    <col min="541" max="541" width="6.375" style="2" customWidth="1"/>
    <col min="542" max="542" width="7.875" style="2" customWidth="1"/>
    <col min="543" max="543" width="7.75" style="2" customWidth="1"/>
    <col min="544" max="547" width="6.5" style="2" customWidth="1"/>
    <col min="548" max="548" width="6.875" style="2" customWidth="1"/>
    <col min="549" max="549" width="9" style="2"/>
    <col min="550" max="550" width="6.125" style="2" customWidth="1"/>
    <col min="551" max="551" width="7.5" style="2" customWidth="1"/>
    <col min="552" max="552" width="7.625" style="2" customWidth="1"/>
    <col min="553" max="553" width="7.75" style="2" customWidth="1"/>
    <col min="554" max="554" width="10.125" style="2" bestFit="1" customWidth="1"/>
    <col min="555" max="555" width="12" style="2" customWidth="1"/>
    <col min="556" max="556" width="10.25" style="2" bestFit="1" customWidth="1"/>
    <col min="557" max="557" width="8.75" style="2" bestFit="1" customWidth="1"/>
    <col min="558" max="558" width="7.75" style="2" customWidth="1"/>
    <col min="559" max="559" width="9.125" style="2" customWidth="1"/>
    <col min="560" max="560" width="9.875" style="2" customWidth="1"/>
    <col min="561" max="561" width="7.75" style="2" customWidth="1"/>
    <col min="562" max="562" width="9.375" style="2" customWidth="1"/>
    <col min="563" max="563" width="9" style="2"/>
    <col min="564" max="564" width="5.875" style="2" customWidth="1"/>
    <col min="565" max="565" width="7.125" style="2" customWidth="1"/>
    <col min="566" max="566" width="8.125" style="2" customWidth="1"/>
    <col min="567" max="567" width="10.25" style="2" customWidth="1"/>
    <col min="568" max="788" width="9" style="2"/>
    <col min="789" max="789" width="36.875" style="2" bestFit="1" customWidth="1"/>
    <col min="790" max="790" width="7.125" style="2" customWidth="1"/>
    <col min="791" max="791" width="6" style="2" customWidth="1"/>
    <col min="792" max="792" width="5.75" style="2" customWidth="1"/>
    <col min="793" max="793" width="10.5" style="2" customWidth="1"/>
    <col min="794" max="794" width="7.5" style="2" customWidth="1"/>
    <col min="795" max="795" width="6.375" style="2" customWidth="1"/>
    <col min="796" max="796" width="6.5" style="2" customWidth="1"/>
    <col min="797" max="797" width="6.375" style="2" customWidth="1"/>
    <col min="798" max="798" width="7.875" style="2" customWidth="1"/>
    <col min="799" max="799" width="7.75" style="2" customWidth="1"/>
    <col min="800" max="803" width="6.5" style="2" customWidth="1"/>
    <col min="804" max="804" width="6.875" style="2" customWidth="1"/>
    <col min="805" max="805" width="9" style="2"/>
    <col min="806" max="806" width="6.125" style="2" customWidth="1"/>
    <col min="807" max="807" width="7.5" style="2" customWidth="1"/>
    <col min="808" max="808" width="7.625" style="2" customWidth="1"/>
    <col min="809" max="809" width="7.75" style="2" customWidth="1"/>
    <col min="810" max="810" width="10.125" style="2" bestFit="1" customWidth="1"/>
    <col min="811" max="811" width="12" style="2" customWidth="1"/>
    <col min="812" max="812" width="10.25" style="2" bestFit="1" customWidth="1"/>
    <col min="813" max="813" width="8.75" style="2" bestFit="1" customWidth="1"/>
    <col min="814" max="814" width="7.75" style="2" customWidth="1"/>
    <col min="815" max="815" width="9.125" style="2" customWidth="1"/>
    <col min="816" max="816" width="9.875" style="2" customWidth="1"/>
    <col min="817" max="817" width="7.75" style="2" customWidth="1"/>
    <col min="818" max="818" width="9.375" style="2" customWidth="1"/>
    <col min="819" max="819" width="9" style="2"/>
    <col min="820" max="820" width="5.875" style="2" customWidth="1"/>
    <col min="821" max="821" width="7.125" style="2" customWidth="1"/>
    <col min="822" max="822" width="8.125" style="2" customWidth="1"/>
    <col min="823" max="823" width="10.25" style="2" customWidth="1"/>
    <col min="824" max="1044" width="9" style="2"/>
    <col min="1045" max="1045" width="36.875" style="2" bestFit="1" customWidth="1"/>
    <col min="1046" max="1046" width="7.125" style="2" customWidth="1"/>
    <col min="1047" max="1047" width="6" style="2" customWidth="1"/>
    <col min="1048" max="1048" width="5.75" style="2" customWidth="1"/>
    <col min="1049" max="1049" width="10.5" style="2" customWidth="1"/>
    <col min="1050" max="1050" width="7.5" style="2" customWidth="1"/>
    <col min="1051" max="1051" width="6.375" style="2" customWidth="1"/>
    <col min="1052" max="1052" width="6.5" style="2" customWidth="1"/>
    <col min="1053" max="1053" width="6.375" style="2" customWidth="1"/>
    <col min="1054" max="1054" width="7.875" style="2" customWidth="1"/>
    <col min="1055" max="1055" width="7.75" style="2" customWidth="1"/>
    <col min="1056" max="1059" width="6.5" style="2" customWidth="1"/>
    <col min="1060" max="1060" width="6.875" style="2" customWidth="1"/>
    <col min="1061" max="1061" width="9" style="2"/>
    <col min="1062" max="1062" width="6.125" style="2" customWidth="1"/>
    <col min="1063" max="1063" width="7.5" style="2" customWidth="1"/>
    <col min="1064" max="1064" width="7.625" style="2" customWidth="1"/>
    <col min="1065" max="1065" width="7.75" style="2" customWidth="1"/>
    <col min="1066" max="1066" width="10.125" style="2" bestFit="1" customWidth="1"/>
    <col min="1067" max="1067" width="12" style="2" customWidth="1"/>
    <col min="1068" max="1068" width="10.25" style="2" bestFit="1" customWidth="1"/>
    <col min="1069" max="1069" width="8.75" style="2" bestFit="1" customWidth="1"/>
    <col min="1070" max="1070" width="7.75" style="2" customWidth="1"/>
    <col min="1071" max="1071" width="9.125" style="2" customWidth="1"/>
    <col min="1072" max="1072" width="9.875" style="2" customWidth="1"/>
    <col min="1073" max="1073" width="7.75" style="2" customWidth="1"/>
    <col min="1074" max="1074" width="9.375" style="2" customWidth="1"/>
    <col min="1075" max="1075" width="9" style="2"/>
    <col min="1076" max="1076" width="5.875" style="2" customWidth="1"/>
    <col min="1077" max="1077" width="7.125" style="2" customWidth="1"/>
    <col min="1078" max="1078" width="8.125" style="2" customWidth="1"/>
    <col min="1079" max="1079" width="10.25" style="2" customWidth="1"/>
    <col min="1080" max="1300" width="9" style="2"/>
    <col min="1301" max="1301" width="36.875" style="2" bestFit="1" customWidth="1"/>
    <col min="1302" max="1302" width="7.125" style="2" customWidth="1"/>
    <col min="1303" max="1303" width="6" style="2" customWidth="1"/>
    <col min="1304" max="1304" width="5.75" style="2" customWidth="1"/>
    <col min="1305" max="1305" width="10.5" style="2" customWidth="1"/>
    <col min="1306" max="1306" width="7.5" style="2" customWidth="1"/>
    <col min="1307" max="1307" width="6.375" style="2" customWidth="1"/>
    <col min="1308" max="1308" width="6.5" style="2" customWidth="1"/>
    <col min="1309" max="1309" width="6.375" style="2" customWidth="1"/>
    <col min="1310" max="1310" width="7.875" style="2" customWidth="1"/>
    <col min="1311" max="1311" width="7.75" style="2" customWidth="1"/>
    <col min="1312" max="1315" width="6.5" style="2" customWidth="1"/>
    <col min="1316" max="1316" width="6.875" style="2" customWidth="1"/>
    <col min="1317" max="1317" width="9" style="2"/>
    <col min="1318" max="1318" width="6.125" style="2" customWidth="1"/>
    <col min="1319" max="1319" width="7.5" style="2" customWidth="1"/>
    <col min="1320" max="1320" width="7.625" style="2" customWidth="1"/>
    <col min="1321" max="1321" width="7.75" style="2" customWidth="1"/>
    <col min="1322" max="1322" width="10.125" style="2" bestFit="1" customWidth="1"/>
    <col min="1323" max="1323" width="12" style="2" customWidth="1"/>
    <col min="1324" max="1324" width="10.25" style="2" bestFit="1" customWidth="1"/>
    <col min="1325" max="1325" width="8.75" style="2" bestFit="1" customWidth="1"/>
    <col min="1326" max="1326" width="7.75" style="2" customWidth="1"/>
    <col min="1327" max="1327" width="9.125" style="2" customWidth="1"/>
    <col min="1328" max="1328" width="9.875" style="2" customWidth="1"/>
    <col min="1329" max="1329" width="7.75" style="2" customWidth="1"/>
    <col min="1330" max="1330" width="9.375" style="2" customWidth="1"/>
    <col min="1331" max="1331" width="9" style="2"/>
    <col min="1332" max="1332" width="5.875" style="2" customWidth="1"/>
    <col min="1333" max="1333" width="7.125" style="2" customWidth="1"/>
    <col min="1334" max="1334" width="8.125" style="2" customWidth="1"/>
    <col min="1335" max="1335" width="10.25" style="2" customWidth="1"/>
    <col min="1336" max="1556" width="9" style="2"/>
    <col min="1557" max="1557" width="36.875" style="2" bestFit="1" customWidth="1"/>
    <col min="1558" max="1558" width="7.125" style="2" customWidth="1"/>
    <col min="1559" max="1559" width="6" style="2" customWidth="1"/>
    <col min="1560" max="1560" width="5.75" style="2" customWidth="1"/>
    <col min="1561" max="1561" width="10.5" style="2" customWidth="1"/>
    <col min="1562" max="1562" width="7.5" style="2" customWidth="1"/>
    <col min="1563" max="1563" width="6.375" style="2" customWidth="1"/>
    <col min="1564" max="1564" width="6.5" style="2" customWidth="1"/>
    <col min="1565" max="1565" width="6.375" style="2" customWidth="1"/>
    <col min="1566" max="1566" width="7.875" style="2" customWidth="1"/>
    <col min="1567" max="1567" width="7.75" style="2" customWidth="1"/>
    <col min="1568" max="1571" width="6.5" style="2" customWidth="1"/>
    <col min="1572" max="1572" width="6.875" style="2" customWidth="1"/>
    <col min="1573" max="1573" width="9" style="2"/>
    <col min="1574" max="1574" width="6.125" style="2" customWidth="1"/>
    <col min="1575" max="1575" width="7.5" style="2" customWidth="1"/>
    <col min="1576" max="1576" width="7.625" style="2" customWidth="1"/>
    <col min="1577" max="1577" width="7.75" style="2" customWidth="1"/>
    <col min="1578" max="1578" width="10.125" style="2" bestFit="1" customWidth="1"/>
    <col min="1579" max="1579" width="12" style="2" customWidth="1"/>
    <col min="1580" max="1580" width="10.25" style="2" bestFit="1" customWidth="1"/>
    <col min="1581" max="1581" width="8.75" style="2" bestFit="1" customWidth="1"/>
    <col min="1582" max="1582" width="7.75" style="2" customWidth="1"/>
    <col min="1583" max="1583" width="9.125" style="2" customWidth="1"/>
    <col min="1584" max="1584" width="9.875" style="2" customWidth="1"/>
    <col min="1585" max="1585" width="7.75" style="2" customWidth="1"/>
    <col min="1586" max="1586" width="9.375" style="2" customWidth="1"/>
    <col min="1587" max="1587" width="9" style="2"/>
    <col min="1588" max="1588" width="5.875" style="2" customWidth="1"/>
    <col min="1589" max="1589" width="7.125" style="2" customWidth="1"/>
    <col min="1590" max="1590" width="8.125" style="2" customWidth="1"/>
    <col min="1591" max="1591" width="10.25" style="2" customWidth="1"/>
    <col min="1592" max="1812" width="9" style="2"/>
    <col min="1813" max="1813" width="36.875" style="2" bestFit="1" customWidth="1"/>
    <col min="1814" max="1814" width="7.125" style="2" customWidth="1"/>
    <col min="1815" max="1815" width="6" style="2" customWidth="1"/>
    <col min="1816" max="1816" width="5.75" style="2" customWidth="1"/>
    <col min="1817" max="1817" width="10.5" style="2" customWidth="1"/>
    <col min="1818" max="1818" width="7.5" style="2" customWidth="1"/>
    <col min="1819" max="1819" width="6.375" style="2" customWidth="1"/>
    <col min="1820" max="1820" width="6.5" style="2" customWidth="1"/>
    <col min="1821" max="1821" width="6.375" style="2" customWidth="1"/>
    <col min="1822" max="1822" width="7.875" style="2" customWidth="1"/>
    <col min="1823" max="1823" width="7.75" style="2" customWidth="1"/>
    <col min="1824" max="1827" width="6.5" style="2" customWidth="1"/>
    <col min="1828" max="1828" width="6.875" style="2" customWidth="1"/>
    <col min="1829" max="1829" width="9" style="2"/>
    <col min="1830" max="1830" width="6.125" style="2" customWidth="1"/>
    <col min="1831" max="1831" width="7.5" style="2" customWidth="1"/>
    <col min="1832" max="1832" width="7.625" style="2" customWidth="1"/>
    <col min="1833" max="1833" width="7.75" style="2" customWidth="1"/>
    <col min="1834" max="1834" width="10.125" style="2" bestFit="1" customWidth="1"/>
    <col min="1835" max="1835" width="12" style="2" customWidth="1"/>
    <col min="1836" max="1836" width="10.25" style="2" bestFit="1" customWidth="1"/>
    <col min="1837" max="1837" width="8.75" style="2" bestFit="1" customWidth="1"/>
    <col min="1838" max="1838" width="7.75" style="2" customWidth="1"/>
    <col min="1839" max="1839" width="9.125" style="2" customWidth="1"/>
    <col min="1840" max="1840" width="9.875" style="2" customWidth="1"/>
    <col min="1841" max="1841" width="7.75" style="2" customWidth="1"/>
    <col min="1842" max="1842" width="9.375" style="2" customWidth="1"/>
    <col min="1843" max="1843" width="9" style="2"/>
    <col min="1844" max="1844" width="5.875" style="2" customWidth="1"/>
    <col min="1845" max="1845" width="7.125" style="2" customWidth="1"/>
    <col min="1846" max="1846" width="8.125" style="2" customWidth="1"/>
    <col min="1847" max="1847" width="10.25" style="2" customWidth="1"/>
    <col min="1848" max="2068" width="9" style="2"/>
    <col min="2069" max="2069" width="36.875" style="2" bestFit="1" customWidth="1"/>
    <col min="2070" max="2070" width="7.125" style="2" customWidth="1"/>
    <col min="2071" max="2071" width="6" style="2" customWidth="1"/>
    <col min="2072" max="2072" width="5.75" style="2" customWidth="1"/>
    <col min="2073" max="2073" width="10.5" style="2" customWidth="1"/>
    <col min="2074" max="2074" width="7.5" style="2" customWidth="1"/>
    <col min="2075" max="2075" width="6.375" style="2" customWidth="1"/>
    <col min="2076" max="2076" width="6.5" style="2" customWidth="1"/>
    <col min="2077" max="2077" width="6.375" style="2" customWidth="1"/>
    <col min="2078" max="2078" width="7.875" style="2" customWidth="1"/>
    <col min="2079" max="2079" width="7.75" style="2" customWidth="1"/>
    <col min="2080" max="2083" width="6.5" style="2" customWidth="1"/>
    <col min="2084" max="2084" width="6.875" style="2" customWidth="1"/>
    <col min="2085" max="2085" width="9" style="2"/>
    <col min="2086" max="2086" width="6.125" style="2" customWidth="1"/>
    <col min="2087" max="2087" width="7.5" style="2" customWidth="1"/>
    <col min="2088" max="2088" width="7.625" style="2" customWidth="1"/>
    <col min="2089" max="2089" width="7.75" style="2" customWidth="1"/>
    <col min="2090" max="2090" width="10.125" style="2" bestFit="1" customWidth="1"/>
    <col min="2091" max="2091" width="12" style="2" customWidth="1"/>
    <col min="2092" max="2092" width="10.25" style="2" bestFit="1" customWidth="1"/>
    <col min="2093" max="2093" width="8.75" style="2" bestFit="1" customWidth="1"/>
    <col min="2094" max="2094" width="7.75" style="2" customWidth="1"/>
    <col min="2095" max="2095" width="9.125" style="2" customWidth="1"/>
    <col min="2096" max="2096" width="9.875" style="2" customWidth="1"/>
    <col min="2097" max="2097" width="7.75" style="2" customWidth="1"/>
    <col min="2098" max="2098" width="9.375" style="2" customWidth="1"/>
    <col min="2099" max="2099" width="9" style="2"/>
    <col min="2100" max="2100" width="5.875" style="2" customWidth="1"/>
    <col min="2101" max="2101" width="7.125" style="2" customWidth="1"/>
    <col min="2102" max="2102" width="8.125" style="2" customWidth="1"/>
    <col min="2103" max="2103" width="10.25" style="2" customWidth="1"/>
    <col min="2104" max="2324" width="9" style="2"/>
    <col min="2325" max="2325" width="36.875" style="2" bestFit="1" customWidth="1"/>
    <col min="2326" max="2326" width="7.125" style="2" customWidth="1"/>
    <col min="2327" max="2327" width="6" style="2" customWidth="1"/>
    <col min="2328" max="2328" width="5.75" style="2" customWidth="1"/>
    <col min="2329" max="2329" width="10.5" style="2" customWidth="1"/>
    <col min="2330" max="2330" width="7.5" style="2" customWidth="1"/>
    <col min="2331" max="2331" width="6.375" style="2" customWidth="1"/>
    <col min="2332" max="2332" width="6.5" style="2" customWidth="1"/>
    <col min="2333" max="2333" width="6.375" style="2" customWidth="1"/>
    <col min="2334" max="2334" width="7.875" style="2" customWidth="1"/>
    <col min="2335" max="2335" width="7.75" style="2" customWidth="1"/>
    <col min="2336" max="2339" width="6.5" style="2" customWidth="1"/>
    <col min="2340" max="2340" width="6.875" style="2" customWidth="1"/>
    <col min="2341" max="2341" width="9" style="2"/>
    <col min="2342" max="2342" width="6.125" style="2" customWidth="1"/>
    <col min="2343" max="2343" width="7.5" style="2" customWidth="1"/>
    <col min="2344" max="2344" width="7.625" style="2" customWidth="1"/>
    <col min="2345" max="2345" width="7.75" style="2" customWidth="1"/>
    <col min="2346" max="2346" width="10.125" style="2" bestFit="1" customWidth="1"/>
    <col min="2347" max="2347" width="12" style="2" customWidth="1"/>
    <col min="2348" max="2348" width="10.25" style="2" bestFit="1" customWidth="1"/>
    <col min="2349" max="2349" width="8.75" style="2" bestFit="1" customWidth="1"/>
    <col min="2350" max="2350" width="7.75" style="2" customWidth="1"/>
    <col min="2351" max="2351" width="9.125" style="2" customWidth="1"/>
    <col min="2352" max="2352" width="9.875" style="2" customWidth="1"/>
    <col min="2353" max="2353" width="7.75" style="2" customWidth="1"/>
    <col min="2354" max="2354" width="9.375" style="2" customWidth="1"/>
    <col min="2355" max="2355" width="9" style="2"/>
    <col min="2356" max="2356" width="5.875" style="2" customWidth="1"/>
    <col min="2357" max="2357" width="7.125" style="2" customWidth="1"/>
    <col min="2358" max="2358" width="8.125" style="2" customWidth="1"/>
    <col min="2359" max="2359" width="10.25" style="2" customWidth="1"/>
    <col min="2360" max="2580" width="9" style="2"/>
    <col min="2581" max="2581" width="36.875" style="2" bestFit="1" customWidth="1"/>
    <col min="2582" max="2582" width="7.125" style="2" customWidth="1"/>
    <col min="2583" max="2583" width="6" style="2" customWidth="1"/>
    <col min="2584" max="2584" width="5.75" style="2" customWidth="1"/>
    <col min="2585" max="2585" width="10.5" style="2" customWidth="1"/>
    <col min="2586" max="2586" width="7.5" style="2" customWidth="1"/>
    <col min="2587" max="2587" width="6.375" style="2" customWidth="1"/>
    <col min="2588" max="2588" width="6.5" style="2" customWidth="1"/>
    <col min="2589" max="2589" width="6.375" style="2" customWidth="1"/>
    <col min="2590" max="2590" width="7.875" style="2" customWidth="1"/>
    <col min="2591" max="2591" width="7.75" style="2" customWidth="1"/>
    <col min="2592" max="2595" width="6.5" style="2" customWidth="1"/>
    <col min="2596" max="2596" width="6.875" style="2" customWidth="1"/>
    <col min="2597" max="2597" width="9" style="2"/>
    <col min="2598" max="2598" width="6.125" style="2" customWidth="1"/>
    <col min="2599" max="2599" width="7.5" style="2" customWidth="1"/>
    <col min="2600" max="2600" width="7.625" style="2" customWidth="1"/>
    <col min="2601" max="2601" width="7.75" style="2" customWidth="1"/>
    <col min="2602" max="2602" width="10.125" style="2" bestFit="1" customWidth="1"/>
    <col min="2603" max="2603" width="12" style="2" customWidth="1"/>
    <col min="2604" max="2604" width="10.25" style="2" bestFit="1" customWidth="1"/>
    <col min="2605" max="2605" width="8.75" style="2" bestFit="1" customWidth="1"/>
    <col min="2606" max="2606" width="7.75" style="2" customWidth="1"/>
    <col min="2607" max="2607" width="9.125" style="2" customWidth="1"/>
    <col min="2608" max="2608" width="9.875" style="2" customWidth="1"/>
    <col min="2609" max="2609" width="7.75" style="2" customWidth="1"/>
    <col min="2610" max="2610" width="9.375" style="2" customWidth="1"/>
    <col min="2611" max="2611" width="9" style="2"/>
    <col min="2612" max="2612" width="5.875" style="2" customWidth="1"/>
    <col min="2613" max="2613" width="7.125" style="2" customWidth="1"/>
    <col min="2614" max="2614" width="8.125" style="2" customWidth="1"/>
    <col min="2615" max="2615" width="10.25" style="2" customWidth="1"/>
    <col min="2616" max="2836" width="9" style="2"/>
    <col min="2837" max="2837" width="36.875" style="2" bestFit="1" customWidth="1"/>
    <col min="2838" max="2838" width="7.125" style="2" customWidth="1"/>
    <col min="2839" max="2839" width="6" style="2" customWidth="1"/>
    <col min="2840" max="2840" width="5.75" style="2" customWidth="1"/>
    <col min="2841" max="2841" width="10.5" style="2" customWidth="1"/>
    <col min="2842" max="2842" width="7.5" style="2" customWidth="1"/>
    <col min="2843" max="2843" width="6.375" style="2" customWidth="1"/>
    <col min="2844" max="2844" width="6.5" style="2" customWidth="1"/>
    <col min="2845" max="2845" width="6.375" style="2" customWidth="1"/>
    <col min="2846" max="2846" width="7.875" style="2" customWidth="1"/>
    <col min="2847" max="2847" width="7.75" style="2" customWidth="1"/>
    <col min="2848" max="2851" width="6.5" style="2" customWidth="1"/>
    <col min="2852" max="2852" width="6.875" style="2" customWidth="1"/>
    <col min="2853" max="2853" width="9" style="2"/>
    <col min="2854" max="2854" width="6.125" style="2" customWidth="1"/>
    <col min="2855" max="2855" width="7.5" style="2" customWidth="1"/>
    <col min="2856" max="2856" width="7.625" style="2" customWidth="1"/>
    <col min="2857" max="2857" width="7.75" style="2" customWidth="1"/>
    <col min="2858" max="2858" width="10.125" style="2" bestFit="1" customWidth="1"/>
    <col min="2859" max="2859" width="12" style="2" customWidth="1"/>
    <col min="2860" max="2860" width="10.25" style="2" bestFit="1" customWidth="1"/>
    <col min="2861" max="2861" width="8.75" style="2" bestFit="1" customWidth="1"/>
    <col min="2862" max="2862" width="7.75" style="2" customWidth="1"/>
    <col min="2863" max="2863" width="9.125" style="2" customWidth="1"/>
    <col min="2864" max="2864" width="9.875" style="2" customWidth="1"/>
    <col min="2865" max="2865" width="7.75" style="2" customWidth="1"/>
    <col min="2866" max="2866" width="9.375" style="2" customWidth="1"/>
    <col min="2867" max="2867" width="9" style="2"/>
    <col min="2868" max="2868" width="5.875" style="2" customWidth="1"/>
    <col min="2869" max="2869" width="7.125" style="2" customWidth="1"/>
    <col min="2870" max="2870" width="8.125" style="2" customWidth="1"/>
    <col min="2871" max="2871" width="10.25" style="2" customWidth="1"/>
    <col min="2872" max="3092" width="9" style="2"/>
    <col min="3093" max="3093" width="36.875" style="2" bestFit="1" customWidth="1"/>
    <col min="3094" max="3094" width="7.125" style="2" customWidth="1"/>
    <col min="3095" max="3095" width="6" style="2" customWidth="1"/>
    <col min="3096" max="3096" width="5.75" style="2" customWidth="1"/>
    <col min="3097" max="3097" width="10.5" style="2" customWidth="1"/>
    <col min="3098" max="3098" width="7.5" style="2" customWidth="1"/>
    <col min="3099" max="3099" width="6.375" style="2" customWidth="1"/>
    <col min="3100" max="3100" width="6.5" style="2" customWidth="1"/>
    <col min="3101" max="3101" width="6.375" style="2" customWidth="1"/>
    <col min="3102" max="3102" width="7.875" style="2" customWidth="1"/>
    <col min="3103" max="3103" width="7.75" style="2" customWidth="1"/>
    <col min="3104" max="3107" width="6.5" style="2" customWidth="1"/>
    <col min="3108" max="3108" width="6.875" style="2" customWidth="1"/>
    <col min="3109" max="3109" width="9" style="2"/>
    <col min="3110" max="3110" width="6.125" style="2" customWidth="1"/>
    <col min="3111" max="3111" width="7.5" style="2" customWidth="1"/>
    <col min="3112" max="3112" width="7.625" style="2" customWidth="1"/>
    <col min="3113" max="3113" width="7.75" style="2" customWidth="1"/>
    <col min="3114" max="3114" width="10.125" style="2" bestFit="1" customWidth="1"/>
    <col min="3115" max="3115" width="12" style="2" customWidth="1"/>
    <col min="3116" max="3116" width="10.25" style="2" bestFit="1" customWidth="1"/>
    <col min="3117" max="3117" width="8.75" style="2" bestFit="1" customWidth="1"/>
    <col min="3118" max="3118" width="7.75" style="2" customWidth="1"/>
    <col min="3119" max="3119" width="9.125" style="2" customWidth="1"/>
    <col min="3120" max="3120" width="9.875" style="2" customWidth="1"/>
    <col min="3121" max="3121" width="7.75" style="2" customWidth="1"/>
    <col min="3122" max="3122" width="9.375" style="2" customWidth="1"/>
    <col min="3123" max="3123" width="9" style="2"/>
    <col min="3124" max="3124" width="5.875" style="2" customWidth="1"/>
    <col min="3125" max="3125" width="7.125" style="2" customWidth="1"/>
    <col min="3126" max="3126" width="8.125" style="2" customWidth="1"/>
    <col min="3127" max="3127" width="10.25" style="2" customWidth="1"/>
    <col min="3128" max="3348" width="9" style="2"/>
    <col min="3349" max="3349" width="36.875" style="2" bestFit="1" customWidth="1"/>
    <col min="3350" max="3350" width="7.125" style="2" customWidth="1"/>
    <col min="3351" max="3351" width="6" style="2" customWidth="1"/>
    <col min="3352" max="3352" width="5.75" style="2" customWidth="1"/>
    <col min="3353" max="3353" width="10.5" style="2" customWidth="1"/>
    <col min="3354" max="3354" width="7.5" style="2" customWidth="1"/>
    <col min="3355" max="3355" width="6.375" style="2" customWidth="1"/>
    <col min="3356" max="3356" width="6.5" style="2" customWidth="1"/>
    <col min="3357" max="3357" width="6.375" style="2" customWidth="1"/>
    <col min="3358" max="3358" width="7.875" style="2" customWidth="1"/>
    <col min="3359" max="3359" width="7.75" style="2" customWidth="1"/>
    <col min="3360" max="3363" width="6.5" style="2" customWidth="1"/>
    <col min="3364" max="3364" width="6.875" style="2" customWidth="1"/>
    <col min="3365" max="3365" width="9" style="2"/>
    <col min="3366" max="3366" width="6.125" style="2" customWidth="1"/>
    <col min="3367" max="3367" width="7.5" style="2" customWidth="1"/>
    <col min="3368" max="3368" width="7.625" style="2" customWidth="1"/>
    <col min="3369" max="3369" width="7.75" style="2" customWidth="1"/>
    <col min="3370" max="3370" width="10.125" style="2" bestFit="1" customWidth="1"/>
    <col min="3371" max="3371" width="12" style="2" customWidth="1"/>
    <col min="3372" max="3372" width="10.25" style="2" bestFit="1" customWidth="1"/>
    <col min="3373" max="3373" width="8.75" style="2" bestFit="1" customWidth="1"/>
    <col min="3374" max="3374" width="7.75" style="2" customWidth="1"/>
    <col min="3375" max="3375" width="9.125" style="2" customWidth="1"/>
    <col min="3376" max="3376" width="9.875" style="2" customWidth="1"/>
    <col min="3377" max="3377" width="7.75" style="2" customWidth="1"/>
    <col min="3378" max="3378" width="9.375" style="2" customWidth="1"/>
    <col min="3379" max="3379" width="9" style="2"/>
    <col min="3380" max="3380" width="5.875" style="2" customWidth="1"/>
    <col min="3381" max="3381" width="7.125" style="2" customWidth="1"/>
    <col min="3382" max="3382" width="8.125" style="2" customWidth="1"/>
    <col min="3383" max="3383" width="10.25" style="2" customWidth="1"/>
    <col min="3384" max="3604" width="9" style="2"/>
    <col min="3605" max="3605" width="36.875" style="2" bestFit="1" customWidth="1"/>
    <col min="3606" max="3606" width="7.125" style="2" customWidth="1"/>
    <col min="3607" max="3607" width="6" style="2" customWidth="1"/>
    <col min="3608" max="3608" width="5.75" style="2" customWidth="1"/>
    <col min="3609" max="3609" width="10.5" style="2" customWidth="1"/>
    <col min="3610" max="3610" width="7.5" style="2" customWidth="1"/>
    <col min="3611" max="3611" width="6.375" style="2" customWidth="1"/>
    <col min="3612" max="3612" width="6.5" style="2" customWidth="1"/>
    <col min="3613" max="3613" width="6.375" style="2" customWidth="1"/>
    <col min="3614" max="3614" width="7.875" style="2" customWidth="1"/>
    <col min="3615" max="3615" width="7.75" style="2" customWidth="1"/>
    <col min="3616" max="3619" width="6.5" style="2" customWidth="1"/>
    <col min="3620" max="3620" width="6.875" style="2" customWidth="1"/>
    <col min="3621" max="3621" width="9" style="2"/>
    <col min="3622" max="3622" width="6.125" style="2" customWidth="1"/>
    <col min="3623" max="3623" width="7.5" style="2" customWidth="1"/>
    <col min="3624" max="3624" width="7.625" style="2" customWidth="1"/>
    <col min="3625" max="3625" width="7.75" style="2" customWidth="1"/>
    <col min="3626" max="3626" width="10.125" style="2" bestFit="1" customWidth="1"/>
    <col min="3627" max="3627" width="12" style="2" customWidth="1"/>
    <col min="3628" max="3628" width="10.25" style="2" bestFit="1" customWidth="1"/>
    <col min="3629" max="3629" width="8.75" style="2" bestFit="1" customWidth="1"/>
    <col min="3630" max="3630" width="7.75" style="2" customWidth="1"/>
    <col min="3631" max="3631" width="9.125" style="2" customWidth="1"/>
    <col min="3632" max="3632" width="9.875" style="2" customWidth="1"/>
    <col min="3633" max="3633" width="7.75" style="2" customWidth="1"/>
    <col min="3634" max="3634" width="9.375" style="2" customWidth="1"/>
    <col min="3635" max="3635" width="9" style="2"/>
    <col min="3636" max="3636" width="5.875" style="2" customWidth="1"/>
    <col min="3637" max="3637" width="7.125" style="2" customWidth="1"/>
    <col min="3638" max="3638" width="8.125" style="2" customWidth="1"/>
    <col min="3639" max="3639" width="10.25" style="2" customWidth="1"/>
    <col min="3640" max="3860" width="9" style="2"/>
    <col min="3861" max="3861" width="36.875" style="2" bestFit="1" customWidth="1"/>
    <col min="3862" max="3862" width="7.125" style="2" customWidth="1"/>
    <col min="3863" max="3863" width="6" style="2" customWidth="1"/>
    <col min="3864" max="3864" width="5.75" style="2" customWidth="1"/>
    <col min="3865" max="3865" width="10.5" style="2" customWidth="1"/>
    <col min="3866" max="3866" width="7.5" style="2" customWidth="1"/>
    <col min="3867" max="3867" width="6.375" style="2" customWidth="1"/>
    <col min="3868" max="3868" width="6.5" style="2" customWidth="1"/>
    <col min="3869" max="3869" width="6.375" style="2" customWidth="1"/>
    <col min="3870" max="3870" width="7.875" style="2" customWidth="1"/>
    <col min="3871" max="3871" width="7.75" style="2" customWidth="1"/>
    <col min="3872" max="3875" width="6.5" style="2" customWidth="1"/>
    <col min="3876" max="3876" width="6.875" style="2" customWidth="1"/>
    <col min="3877" max="3877" width="9" style="2"/>
    <col min="3878" max="3878" width="6.125" style="2" customWidth="1"/>
    <col min="3879" max="3879" width="7.5" style="2" customWidth="1"/>
    <col min="3880" max="3880" width="7.625" style="2" customWidth="1"/>
    <col min="3881" max="3881" width="7.75" style="2" customWidth="1"/>
    <col min="3882" max="3882" width="10.125" style="2" bestFit="1" customWidth="1"/>
    <col min="3883" max="3883" width="12" style="2" customWidth="1"/>
    <col min="3884" max="3884" width="10.25" style="2" bestFit="1" customWidth="1"/>
    <col min="3885" max="3885" width="8.75" style="2" bestFit="1" customWidth="1"/>
    <col min="3886" max="3886" width="7.75" style="2" customWidth="1"/>
    <col min="3887" max="3887" width="9.125" style="2" customWidth="1"/>
    <col min="3888" max="3888" width="9.875" style="2" customWidth="1"/>
    <col min="3889" max="3889" width="7.75" style="2" customWidth="1"/>
    <col min="3890" max="3890" width="9.375" style="2" customWidth="1"/>
    <col min="3891" max="3891" width="9" style="2"/>
    <col min="3892" max="3892" width="5.875" style="2" customWidth="1"/>
    <col min="3893" max="3893" width="7.125" style="2" customWidth="1"/>
    <col min="3894" max="3894" width="8.125" style="2" customWidth="1"/>
    <col min="3895" max="3895" width="10.25" style="2" customWidth="1"/>
    <col min="3896" max="4116" width="9" style="2"/>
    <col min="4117" max="4117" width="36.875" style="2" bestFit="1" customWidth="1"/>
    <col min="4118" max="4118" width="7.125" style="2" customWidth="1"/>
    <col min="4119" max="4119" width="6" style="2" customWidth="1"/>
    <col min="4120" max="4120" width="5.75" style="2" customWidth="1"/>
    <col min="4121" max="4121" width="10.5" style="2" customWidth="1"/>
    <col min="4122" max="4122" width="7.5" style="2" customWidth="1"/>
    <col min="4123" max="4123" width="6.375" style="2" customWidth="1"/>
    <col min="4124" max="4124" width="6.5" style="2" customWidth="1"/>
    <col min="4125" max="4125" width="6.375" style="2" customWidth="1"/>
    <col min="4126" max="4126" width="7.875" style="2" customWidth="1"/>
    <col min="4127" max="4127" width="7.75" style="2" customWidth="1"/>
    <col min="4128" max="4131" width="6.5" style="2" customWidth="1"/>
    <col min="4132" max="4132" width="6.875" style="2" customWidth="1"/>
    <col min="4133" max="4133" width="9" style="2"/>
    <col min="4134" max="4134" width="6.125" style="2" customWidth="1"/>
    <col min="4135" max="4135" width="7.5" style="2" customWidth="1"/>
    <col min="4136" max="4136" width="7.625" style="2" customWidth="1"/>
    <col min="4137" max="4137" width="7.75" style="2" customWidth="1"/>
    <col min="4138" max="4138" width="10.125" style="2" bestFit="1" customWidth="1"/>
    <col min="4139" max="4139" width="12" style="2" customWidth="1"/>
    <col min="4140" max="4140" width="10.25" style="2" bestFit="1" customWidth="1"/>
    <col min="4141" max="4141" width="8.75" style="2" bestFit="1" customWidth="1"/>
    <col min="4142" max="4142" width="7.75" style="2" customWidth="1"/>
    <col min="4143" max="4143" width="9.125" style="2" customWidth="1"/>
    <col min="4144" max="4144" width="9.875" style="2" customWidth="1"/>
    <col min="4145" max="4145" width="7.75" style="2" customWidth="1"/>
    <col min="4146" max="4146" width="9.375" style="2" customWidth="1"/>
    <col min="4147" max="4147" width="9" style="2"/>
    <col min="4148" max="4148" width="5.875" style="2" customWidth="1"/>
    <col min="4149" max="4149" width="7.125" style="2" customWidth="1"/>
    <col min="4150" max="4150" width="8.125" style="2" customWidth="1"/>
    <col min="4151" max="4151" width="10.25" style="2" customWidth="1"/>
    <col min="4152" max="4372" width="9" style="2"/>
    <col min="4373" max="4373" width="36.875" style="2" bestFit="1" customWidth="1"/>
    <col min="4374" max="4374" width="7.125" style="2" customWidth="1"/>
    <col min="4375" max="4375" width="6" style="2" customWidth="1"/>
    <col min="4376" max="4376" width="5.75" style="2" customWidth="1"/>
    <col min="4377" max="4377" width="10.5" style="2" customWidth="1"/>
    <col min="4378" max="4378" width="7.5" style="2" customWidth="1"/>
    <col min="4379" max="4379" width="6.375" style="2" customWidth="1"/>
    <col min="4380" max="4380" width="6.5" style="2" customWidth="1"/>
    <col min="4381" max="4381" width="6.375" style="2" customWidth="1"/>
    <col min="4382" max="4382" width="7.875" style="2" customWidth="1"/>
    <col min="4383" max="4383" width="7.75" style="2" customWidth="1"/>
    <col min="4384" max="4387" width="6.5" style="2" customWidth="1"/>
    <col min="4388" max="4388" width="6.875" style="2" customWidth="1"/>
    <col min="4389" max="4389" width="9" style="2"/>
    <col min="4390" max="4390" width="6.125" style="2" customWidth="1"/>
    <col min="4391" max="4391" width="7.5" style="2" customWidth="1"/>
    <col min="4392" max="4392" width="7.625" style="2" customWidth="1"/>
    <col min="4393" max="4393" width="7.75" style="2" customWidth="1"/>
    <col min="4394" max="4394" width="10.125" style="2" bestFit="1" customWidth="1"/>
    <col min="4395" max="4395" width="12" style="2" customWidth="1"/>
    <col min="4396" max="4396" width="10.25" style="2" bestFit="1" customWidth="1"/>
    <col min="4397" max="4397" width="8.75" style="2" bestFit="1" customWidth="1"/>
    <col min="4398" max="4398" width="7.75" style="2" customWidth="1"/>
    <col min="4399" max="4399" width="9.125" style="2" customWidth="1"/>
    <col min="4400" max="4400" width="9.875" style="2" customWidth="1"/>
    <col min="4401" max="4401" width="7.75" style="2" customWidth="1"/>
    <col min="4402" max="4402" width="9.375" style="2" customWidth="1"/>
    <col min="4403" max="4403" width="9" style="2"/>
    <col min="4404" max="4404" width="5.875" style="2" customWidth="1"/>
    <col min="4405" max="4405" width="7.125" style="2" customWidth="1"/>
    <col min="4406" max="4406" width="8.125" style="2" customWidth="1"/>
    <col min="4407" max="4407" width="10.25" style="2" customWidth="1"/>
    <col min="4408" max="4628" width="9" style="2"/>
    <col min="4629" max="4629" width="36.875" style="2" bestFit="1" customWidth="1"/>
    <col min="4630" max="4630" width="7.125" style="2" customWidth="1"/>
    <col min="4631" max="4631" width="6" style="2" customWidth="1"/>
    <col min="4632" max="4632" width="5.75" style="2" customWidth="1"/>
    <col min="4633" max="4633" width="10.5" style="2" customWidth="1"/>
    <col min="4634" max="4634" width="7.5" style="2" customWidth="1"/>
    <col min="4635" max="4635" width="6.375" style="2" customWidth="1"/>
    <col min="4636" max="4636" width="6.5" style="2" customWidth="1"/>
    <col min="4637" max="4637" width="6.375" style="2" customWidth="1"/>
    <col min="4638" max="4638" width="7.875" style="2" customWidth="1"/>
    <col min="4639" max="4639" width="7.75" style="2" customWidth="1"/>
    <col min="4640" max="4643" width="6.5" style="2" customWidth="1"/>
    <col min="4644" max="4644" width="6.875" style="2" customWidth="1"/>
    <col min="4645" max="4645" width="9" style="2"/>
    <col min="4646" max="4646" width="6.125" style="2" customWidth="1"/>
    <col min="4647" max="4647" width="7.5" style="2" customWidth="1"/>
    <col min="4648" max="4648" width="7.625" style="2" customWidth="1"/>
    <col min="4649" max="4649" width="7.75" style="2" customWidth="1"/>
    <col min="4650" max="4650" width="10.125" style="2" bestFit="1" customWidth="1"/>
    <col min="4651" max="4651" width="12" style="2" customWidth="1"/>
    <col min="4652" max="4652" width="10.25" style="2" bestFit="1" customWidth="1"/>
    <col min="4653" max="4653" width="8.75" style="2" bestFit="1" customWidth="1"/>
    <col min="4654" max="4654" width="7.75" style="2" customWidth="1"/>
    <col min="4655" max="4655" width="9.125" style="2" customWidth="1"/>
    <col min="4656" max="4656" width="9.875" style="2" customWidth="1"/>
    <col min="4657" max="4657" width="7.75" style="2" customWidth="1"/>
    <col min="4658" max="4658" width="9.375" style="2" customWidth="1"/>
    <col min="4659" max="4659" width="9" style="2"/>
    <col min="4660" max="4660" width="5.875" style="2" customWidth="1"/>
    <col min="4661" max="4661" width="7.125" style="2" customWidth="1"/>
    <col min="4662" max="4662" width="8.125" style="2" customWidth="1"/>
    <col min="4663" max="4663" width="10.25" style="2" customWidth="1"/>
    <col min="4664" max="4884" width="9" style="2"/>
    <col min="4885" max="4885" width="36.875" style="2" bestFit="1" customWidth="1"/>
    <col min="4886" max="4886" width="7.125" style="2" customWidth="1"/>
    <col min="4887" max="4887" width="6" style="2" customWidth="1"/>
    <col min="4888" max="4888" width="5.75" style="2" customWidth="1"/>
    <col min="4889" max="4889" width="10.5" style="2" customWidth="1"/>
    <col min="4890" max="4890" width="7.5" style="2" customWidth="1"/>
    <col min="4891" max="4891" width="6.375" style="2" customWidth="1"/>
    <col min="4892" max="4892" width="6.5" style="2" customWidth="1"/>
    <col min="4893" max="4893" width="6.375" style="2" customWidth="1"/>
    <col min="4894" max="4894" width="7.875" style="2" customWidth="1"/>
    <col min="4895" max="4895" width="7.75" style="2" customWidth="1"/>
    <col min="4896" max="4899" width="6.5" style="2" customWidth="1"/>
    <col min="4900" max="4900" width="6.875" style="2" customWidth="1"/>
    <col min="4901" max="4901" width="9" style="2"/>
    <col min="4902" max="4902" width="6.125" style="2" customWidth="1"/>
    <col min="4903" max="4903" width="7.5" style="2" customWidth="1"/>
    <col min="4904" max="4904" width="7.625" style="2" customWidth="1"/>
    <col min="4905" max="4905" width="7.75" style="2" customWidth="1"/>
    <col min="4906" max="4906" width="10.125" style="2" bestFit="1" customWidth="1"/>
    <col min="4907" max="4907" width="12" style="2" customWidth="1"/>
    <col min="4908" max="4908" width="10.25" style="2" bestFit="1" customWidth="1"/>
    <col min="4909" max="4909" width="8.75" style="2" bestFit="1" customWidth="1"/>
    <col min="4910" max="4910" width="7.75" style="2" customWidth="1"/>
    <col min="4911" max="4911" width="9.125" style="2" customWidth="1"/>
    <col min="4912" max="4912" width="9.875" style="2" customWidth="1"/>
    <col min="4913" max="4913" width="7.75" style="2" customWidth="1"/>
    <col min="4914" max="4914" width="9.375" style="2" customWidth="1"/>
    <col min="4915" max="4915" width="9" style="2"/>
    <col min="4916" max="4916" width="5.875" style="2" customWidth="1"/>
    <col min="4917" max="4917" width="7.125" style="2" customWidth="1"/>
    <col min="4918" max="4918" width="8.125" style="2" customWidth="1"/>
    <col min="4919" max="4919" width="10.25" style="2" customWidth="1"/>
    <col min="4920" max="5140" width="9" style="2"/>
    <col min="5141" max="5141" width="36.875" style="2" bestFit="1" customWidth="1"/>
    <col min="5142" max="5142" width="7.125" style="2" customWidth="1"/>
    <col min="5143" max="5143" width="6" style="2" customWidth="1"/>
    <col min="5144" max="5144" width="5.75" style="2" customWidth="1"/>
    <col min="5145" max="5145" width="10.5" style="2" customWidth="1"/>
    <col min="5146" max="5146" width="7.5" style="2" customWidth="1"/>
    <col min="5147" max="5147" width="6.375" style="2" customWidth="1"/>
    <col min="5148" max="5148" width="6.5" style="2" customWidth="1"/>
    <col min="5149" max="5149" width="6.375" style="2" customWidth="1"/>
    <col min="5150" max="5150" width="7.875" style="2" customWidth="1"/>
    <col min="5151" max="5151" width="7.75" style="2" customWidth="1"/>
    <col min="5152" max="5155" width="6.5" style="2" customWidth="1"/>
    <col min="5156" max="5156" width="6.875" style="2" customWidth="1"/>
    <col min="5157" max="5157" width="9" style="2"/>
    <col min="5158" max="5158" width="6.125" style="2" customWidth="1"/>
    <col min="5159" max="5159" width="7.5" style="2" customWidth="1"/>
    <col min="5160" max="5160" width="7.625" style="2" customWidth="1"/>
    <col min="5161" max="5161" width="7.75" style="2" customWidth="1"/>
    <col min="5162" max="5162" width="10.125" style="2" bestFit="1" customWidth="1"/>
    <col min="5163" max="5163" width="12" style="2" customWidth="1"/>
    <col min="5164" max="5164" width="10.25" style="2" bestFit="1" customWidth="1"/>
    <col min="5165" max="5165" width="8.75" style="2" bestFit="1" customWidth="1"/>
    <col min="5166" max="5166" width="7.75" style="2" customWidth="1"/>
    <col min="5167" max="5167" width="9.125" style="2" customWidth="1"/>
    <col min="5168" max="5168" width="9.875" style="2" customWidth="1"/>
    <col min="5169" max="5169" width="7.75" style="2" customWidth="1"/>
    <col min="5170" max="5170" width="9.375" style="2" customWidth="1"/>
    <col min="5171" max="5171" width="9" style="2"/>
    <col min="5172" max="5172" width="5.875" style="2" customWidth="1"/>
    <col min="5173" max="5173" width="7.125" style="2" customWidth="1"/>
    <col min="5174" max="5174" width="8.125" style="2" customWidth="1"/>
    <col min="5175" max="5175" width="10.25" style="2" customWidth="1"/>
    <col min="5176" max="5396" width="9" style="2"/>
    <col min="5397" max="5397" width="36.875" style="2" bestFit="1" customWidth="1"/>
    <col min="5398" max="5398" width="7.125" style="2" customWidth="1"/>
    <col min="5399" max="5399" width="6" style="2" customWidth="1"/>
    <col min="5400" max="5400" width="5.75" style="2" customWidth="1"/>
    <col min="5401" max="5401" width="10.5" style="2" customWidth="1"/>
    <col min="5402" max="5402" width="7.5" style="2" customWidth="1"/>
    <col min="5403" max="5403" width="6.375" style="2" customWidth="1"/>
    <col min="5404" max="5404" width="6.5" style="2" customWidth="1"/>
    <col min="5405" max="5405" width="6.375" style="2" customWidth="1"/>
    <col min="5406" max="5406" width="7.875" style="2" customWidth="1"/>
    <col min="5407" max="5407" width="7.75" style="2" customWidth="1"/>
    <col min="5408" max="5411" width="6.5" style="2" customWidth="1"/>
    <col min="5412" max="5412" width="6.875" style="2" customWidth="1"/>
    <col min="5413" max="5413" width="9" style="2"/>
    <col min="5414" max="5414" width="6.125" style="2" customWidth="1"/>
    <col min="5415" max="5415" width="7.5" style="2" customWidth="1"/>
    <col min="5416" max="5416" width="7.625" style="2" customWidth="1"/>
    <col min="5417" max="5417" width="7.75" style="2" customWidth="1"/>
    <col min="5418" max="5418" width="10.125" style="2" bestFit="1" customWidth="1"/>
    <col min="5419" max="5419" width="12" style="2" customWidth="1"/>
    <col min="5420" max="5420" width="10.25" style="2" bestFit="1" customWidth="1"/>
    <col min="5421" max="5421" width="8.75" style="2" bestFit="1" customWidth="1"/>
    <col min="5422" max="5422" width="7.75" style="2" customWidth="1"/>
    <col min="5423" max="5423" width="9.125" style="2" customWidth="1"/>
    <col min="5424" max="5424" width="9.875" style="2" customWidth="1"/>
    <col min="5425" max="5425" width="7.75" style="2" customWidth="1"/>
    <col min="5426" max="5426" width="9.375" style="2" customWidth="1"/>
    <col min="5427" max="5427" width="9" style="2"/>
    <col min="5428" max="5428" width="5.875" style="2" customWidth="1"/>
    <col min="5429" max="5429" width="7.125" style="2" customWidth="1"/>
    <col min="5430" max="5430" width="8.125" style="2" customWidth="1"/>
    <col min="5431" max="5431" width="10.25" style="2" customWidth="1"/>
    <col min="5432" max="5652" width="9" style="2"/>
    <col min="5653" max="5653" width="36.875" style="2" bestFit="1" customWidth="1"/>
    <col min="5654" max="5654" width="7.125" style="2" customWidth="1"/>
    <col min="5655" max="5655" width="6" style="2" customWidth="1"/>
    <col min="5656" max="5656" width="5.75" style="2" customWidth="1"/>
    <col min="5657" max="5657" width="10.5" style="2" customWidth="1"/>
    <col min="5658" max="5658" width="7.5" style="2" customWidth="1"/>
    <col min="5659" max="5659" width="6.375" style="2" customWidth="1"/>
    <col min="5660" max="5660" width="6.5" style="2" customWidth="1"/>
    <col min="5661" max="5661" width="6.375" style="2" customWidth="1"/>
    <col min="5662" max="5662" width="7.875" style="2" customWidth="1"/>
    <col min="5663" max="5663" width="7.75" style="2" customWidth="1"/>
    <col min="5664" max="5667" width="6.5" style="2" customWidth="1"/>
    <col min="5668" max="5668" width="6.875" style="2" customWidth="1"/>
    <col min="5669" max="5669" width="9" style="2"/>
    <col min="5670" max="5670" width="6.125" style="2" customWidth="1"/>
    <col min="5671" max="5671" width="7.5" style="2" customWidth="1"/>
    <col min="5672" max="5672" width="7.625" style="2" customWidth="1"/>
    <col min="5673" max="5673" width="7.75" style="2" customWidth="1"/>
    <col min="5674" max="5674" width="10.125" style="2" bestFit="1" customWidth="1"/>
    <col min="5675" max="5675" width="12" style="2" customWidth="1"/>
    <col min="5676" max="5676" width="10.25" style="2" bestFit="1" customWidth="1"/>
    <col min="5677" max="5677" width="8.75" style="2" bestFit="1" customWidth="1"/>
    <col min="5678" max="5678" width="7.75" style="2" customWidth="1"/>
    <col min="5679" max="5679" width="9.125" style="2" customWidth="1"/>
    <col min="5680" max="5680" width="9.875" style="2" customWidth="1"/>
    <col min="5681" max="5681" width="7.75" style="2" customWidth="1"/>
    <col min="5682" max="5682" width="9.375" style="2" customWidth="1"/>
    <col min="5683" max="5683" width="9" style="2"/>
    <col min="5684" max="5684" width="5.875" style="2" customWidth="1"/>
    <col min="5685" max="5685" width="7.125" style="2" customWidth="1"/>
    <col min="5686" max="5686" width="8.125" style="2" customWidth="1"/>
    <col min="5687" max="5687" width="10.25" style="2" customWidth="1"/>
    <col min="5688" max="5908" width="9" style="2"/>
    <col min="5909" max="5909" width="36.875" style="2" bestFit="1" customWidth="1"/>
    <col min="5910" max="5910" width="7.125" style="2" customWidth="1"/>
    <col min="5911" max="5911" width="6" style="2" customWidth="1"/>
    <col min="5912" max="5912" width="5.75" style="2" customWidth="1"/>
    <col min="5913" max="5913" width="10.5" style="2" customWidth="1"/>
    <col min="5914" max="5914" width="7.5" style="2" customWidth="1"/>
    <col min="5915" max="5915" width="6.375" style="2" customWidth="1"/>
    <col min="5916" max="5916" width="6.5" style="2" customWidth="1"/>
    <col min="5917" max="5917" width="6.375" style="2" customWidth="1"/>
    <col min="5918" max="5918" width="7.875" style="2" customWidth="1"/>
    <col min="5919" max="5919" width="7.75" style="2" customWidth="1"/>
    <col min="5920" max="5923" width="6.5" style="2" customWidth="1"/>
    <col min="5924" max="5924" width="6.875" style="2" customWidth="1"/>
    <col min="5925" max="5925" width="9" style="2"/>
    <col min="5926" max="5926" width="6.125" style="2" customWidth="1"/>
    <col min="5927" max="5927" width="7.5" style="2" customWidth="1"/>
    <col min="5928" max="5928" width="7.625" style="2" customWidth="1"/>
    <col min="5929" max="5929" width="7.75" style="2" customWidth="1"/>
    <col min="5930" max="5930" width="10.125" style="2" bestFit="1" customWidth="1"/>
    <col min="5931" max="5931" width="12" style="2" customWidth="1"/>
    <col min="5932" max="5932" width="10.25" style="2" bestFit="1" customWidth="1"/>
    <col min="5933" max="5933" width="8.75" style="2" bestFit="1" customWidth="1"/>
    <col min="5934" max="5934" width="7.75" style="2" customWidth="1"/>
    <col min="5935" max="5935" width="9.125" style="2" customWidth="1"/>
    <col min="5936" max="5936" width="9.875" style="2" customWidth="1"/>
    <col min="5937" max="5937" width="7.75" style="2" customWidth="1"/>
    <col min="5938" max="5938" width="9.375" style="2" customWidth="1"/>
    <col min="5939" max="5939" width="9" style="2"/>
    <col min="5940" max="5940" width="5.875" style="2" customWidth="1"/>
    <col min="5941" max="5941" width="7.125" style="2" customWidth="1"/>
    <col min="5942" max="5942" width="8.125" style="2" customWidth="1"/>
    <col min="5943" max="5943" width="10.25" style="2" customWidth="1"/>
    <col min="5944" max="6164" width="9" style="2"/>
    <col min="6165" max="6165" width="36.875" style="2" bestFit="1" customWidth="1"/>
    <col min="6166" max="6166" width="7.125" style="2" customWidth="1"/>
    <col min="6167" max="6167" width="6" style="2" customWidth="1"/>
    <col min="6168" max="6168" width="5.75" style="2" customWidth="1"/>
    <col min="6169" max="6169" width="10.5" style="2" customWidth="1"/>
    <col min="6170" max="6170" width="7.5" style="2" customWidth="1"/>
    <col min="6171" max="6171" width="6.375" style="2" customWidth="1"/>
    <col min="6172" max="6172" width="6.5" style="2" customWidth="1"/>
    <col min="6173" max="6173" width="6.375" style="2" customWidth="1"/>
    <col min="6174" max="6174" width="7.875" style="2" customWidth="1"/>
    <col min="6175" max="6175" width="7.75" style="2" customWidth="1"/>
    <col min="6176" max="6179" width="6.5" style="2" customWidth="1"/>
    <col min="6180" max="6180" width="6.875" style="2" customWidth="1"/>
    <col min="6181" max="6181" width="9" style="2"/>
    <col min="6182" max="6182" width="6.125" style="2" customWidth="1"/>
    <col min="6183" max="6183" width="7.5" style="2" customWidth="1"/>
    <col min="6184" max="6184" width="7.625" style="2" customWidth="1"/>
    <col min="6185" max="6185" width="7.75" style="2" customWidth="1"/>
    <col min="6186" max="6186" width="10.125" style="2" bestFit="1" customWidth="1"/>
    <col min="6187" max="6187" width="12" style="2" customWidth="1"/>
    <col min="6188" max="6188" width="10.25" style="2" bestFit="1" customWidth="1"/>
    <col min="6189" max="6189" width="8.75" style="2" bestFit="1" customWidth="1"/>
    <col min="6190" max="6190" width="7.75" style="2" customWidth="1"/>
    <col min="6191" max="6191" width="9.125" style="2" customWidth="1"/>
    <col min="6192" max="6192" width="9.875" style="2" customWidth="1"/>
    <col min="6193" max="6193" width="7.75" style="2" customWidth="1"/>
    <col min="6194" max="6194" width="9.375" style="2" customWidth="1"/>
    <col min="6195" max="6195" width="9" style="2"/>
    <col min="6196" max="6196" width="5.875" style="2" customWidth="1"/>
    <col min="6197" max="6197" width="7.125" style="2" customWidth="1"/>
    <col min="6198" max="6198" width="8.125" style="2" customWidth="1"/>
    <col min="6199" max="6199" width="10.25" style="2" customWidth="1"/>
    <col min="6200" max="6420" width="9" style="2"/>
    <col min="6421" max="6421" width="36.875" style="2" bestFit="1" customWidth="1"/>
    <col min="6422" max="6422" width="7.125" style="2" customWidth="1"/>
    <col min="6423" max="6423" width="6" style="2" customWidth="1"/>
    <col min="6424" max="6424" width="5.75" style="2" customWidth="1"/>
    <col min="6425" max="6425" width="10.5" style="2" customWidth="1"/>
    <col min="6426" max="6426" width="7.5" style="2" customWidth="1"/>
    <col min="6427" max="6427" width="6.375" style="2" customWidth="1"/>
    <col min="6428" max="6428" width="6.5" style="2" customWidth="1"/>
    <col min="6429" max="6429" width="6.375" style="2" customWidth="1"/>
    <col min="6430" max="6430" width="7.875" style="2" customWidth="1"/>
    <col min="6431" max="6431" width="7.75" style="2" customWidth="1"/>
    <col min="6432" max="6435" width="6.5" style="2" customWidth="1"/>
    <col min="6436" max="6436" width="6.875" style="2" customWidth="1"/>
    <col min="6437" max="6437" width="9" style="2"/>
    <col min="6438" max="6438" width="6.125" style="2" customWidth="1"/>
    <col min="6439" max="6439" width="7.5" style="2" customWidth="1"/>
    <col min="6440" max="6440" width="7.625" style="2" customWidth="1"/>
    <col min="6441" max="6441" width="7.75" style="2" customWidth="1"/>
    <col min="6442" max="6442" width="10.125" style="2" bestFit="1" customWidth="1"/>
    <col min="6443" max="6443" width="12" style="2" customWidth="1"/>
    <col min="6444" max="6444" width="10.25" style="2" bestFit="1" customWidth="1"/>
    <col min="6445" max="6445" width="8.75" style="2" bestFit="1" customWidth="1"/>
    <col min="6446" max="6446" width="7.75" style="2" customWidth="1"/>
    <col min="6447" max="6447" width="9.125" style="2" customWidth="1"/>
    <col min="6448" max="6448" width="9.875" style="2" customWidth="1"/>
    <col min="6449" max="6449" width="7.75" style="2" customWidth="1"/>
    <col min="6450" max="6450" width="9.375" style="2" customWidth="1"/>
    <col min="6451" max="6451" width="9" style="2"/>
    <col min="6452" max="6452" width="5.875" style="2" customWidth="1"/>
    <col min="6453" max="6453" width="7.125" style="2" customWidth="1"/>
    <col min="6454" max="6454" width="8.125" style="2" customWidth="1"/>
    <col min="6455" max="6455" width="10.25" style="2" customWidth="1"/>
    <col min="6456" max="6676" width="9" style="2"/>
    <col min="6677" max="6677" width="36.875" style="2" bestFit="1" customWidth="1"/>
    <col min="6678" max="6678" width="7.125" style="2" customWidth="1"/>
    <col min="6679" max="6679" width="6" style="2" customWidth="1"/>
    <col min="6680" max="6680" width="5.75" style="2" customWidth="1"/>
    <col min="6681" max="6681" width="10.5" style="2" customWidth="1"/>
    <col min="6682" max="6682" width="7.5" style="2" customWidth="1"/>
    <col min="6683" max="6683" width="6.375" style="2" customWidth="1"/>
    <col min="6684" max="6684" width="6.5" style="2" customWidth="1"/>
    <col min="6685" max="6685" width="6.375" style="2" customWidth="1"/>
    <col min="6686" max="6686" width="7.875" style="2" customWidth="1"/>
    <col min="6687" max="6687" width="7.75" style="2" customWidth="1"/>
    <col min="6688" max="6691" width="6.5" style="2" customWidth="1"/>
    <col min="6692" max="6692" width="6.875" style="2" customWidth="1"/>
    <col min="6693" max="6693" width="9" style="2"/>
    <col min="6694" max="6694" width="6.125" style="2" customWidth="1"/>
    <col min="6695" max="6695" width="7.5" style="2" customWidth="1"/>
    <col min="6696" max="6696" width="7.625" style="2" customWidth="1"/>
    <col min="6697" max="6697" width="7.75" style="2" customWidth="1"/>
    <col min="6698" max="6698" width="10.125" style="2" bestFit="1" customWidth="1"/>
    <col min="6699" max="6699" width="12" style="2" customWidth="1"/>
    <col min="6700" max="6700" width="10.25" style="2" bestFit="1" customWidth="1"/>
    <col min="6701" max="6701" width="8.75" style="2" bestFit="1" customWidth="1"/>
    <col min="6702" max="6702" width="7.75" style="2" customWidth="1"/>
    <col min="6703" max="6703" width="9.125" style="2" customWidth="1"/>
    <col min="6704" max="6704" width="9.875" style="2" customWidth="1"/>
    <col min="6705" max="6705" width="7.75" style="2" customWidth="1"/>
    <col min="6706" max="6706" width="9.375" style="2" customWidth="1"/>
    <col min="6707" max="6707" width="9" style="2"/>
    <col min="6708" max="6708" width="5.875" style="2" customWidth="1"/>
    <col min="6709" max="6709" width="7.125" style="2" customWidth="1"/>
    <col min="6710" max="6710" width="8.125" style="2" customWidth="1"/>
    <col min="6711" max="6711" width="10.25" style="2" customWidth="1"/>
    <col min="6712" max="6932" width="9" style="2"/>
    <col min="6933" max="6933" width="36.875" style="2" bestFit="1" customWidth="1"/>
    <col min="6934" max="6934" width="7.125" style="2" customWidth="1"/>
    <col min="6935" max="6935" width="6" style="2" customWidth="1"/>
    <col min="6936" max="6936" width="5.75" style="2" customWidth="1"/>
    <col min="6937" max="6937" width="10.5" style="2" customWidth="1"/>
    <col min="6938" max="6938" width="7.5" style="2" customWidth="1"/>
    <col min="6939" max="6939" width="6.375" style="2" customWidth="1"/>
    <col min="6940" max="6940" width="6.5" style="2" customWidth="1"/>
    <col min="6941" max="6941" width="6.375" style="2" customWidth="1"/>
    <col min="6942" max="6942" width="7.875" style="2" customWidth="1"/>
    <col min="6943" max="6943" width="7.75" style="2" customWidth="1"/>
    <col min="6944" max="6947" width="6.5" style="2" customWidth="1"/>
    <col min="6948" max="6948" width="6.875" style="2" customWidth="1"/>
    <col min="6949" max="6949" width="9" style="2"/>
    <col min="6950" max="6950" width="6.125" style="2" customWidth="1"/>
    <col min="6951" max="6951" width="7.5" style="2" customWidth="1"/>
    <col min="6952" max="6952" width="7.625" style="2" customWidth="1"/>
    <col min="6953" max="6953" width="7.75" style="2" customWidth="1"/>
    <col min="6954" max="6954" width="10.125" style="2" bestFit="1" customWidth="1"/>
    <col min="6955" max="6955" width="12" style="2" customWidth="1"/>
    <col min="6956" max="6956" width="10.25" style="2" bestFit="1" customWidth="1"/>
    <col min="6957" max="6957" width="8.75" style="2" bestFit="1" customWidth="1"/>
    <col min="6958" max="6958" width="7.75" style="2" customWidth="1"/>
    <col min="6959" max="6959" width="9.125" style="2" customWidth="1"/>
    <col min="6960" max="6960" width="9.875" style="2" customWidth="1"/>
    <col min="6961" max="6961" width="7.75" style="2" customWidth="1"/>
    <col min="6962" max="6962" width="9.375" style="2" customWidth="1"/>
    <col min="6963" max="6963" width="9" style="2"/>
    <col min="6964" max="6964" width="5.875" style="2" customWidth="1"/>
    <col min="6965" max="6965" width="7.125" style="2" customWidth="1"/>
    <col min="6966" max="6966" width="8.125" style="2" customWidth="1"/>
    <col min="6967" max="6967" width="10.25" style="2" customWidth="1"/>
    <col min="6968" max="7188" width="9" style="2"/>
    <col min="7189" max="7189" width="36.875" style="2" bestFit="1" customWidth="1"/>
    <col min="7190" max="7190" width="7.125" style="2" customWidth="1"/>
    <col min="7191" max="7191" width="6" style="2" customWidth="1"/>
    <col min="7192" max="7192" width="5.75" style="2" customWidth="1"/>
    <col min="7193" max="7193" width="10.5" style="2" customWidth="1"/>
    <col min="7194" max="7194" width="7.5" style="2" customWidth="1"/>
    <col min="7195" max="7195" width="6.375" style="2" customWidth="1"/>
    <col min="7196" max="7196" width="6.5" style="2" customWidth="1"/>
    <col min="7197" max="7197" width="6.375" style="2" customWidth="1"/>
    <col min="7198" max="7198" width="7.875" style="2" customWidth="1"/>
    <col min="7199" max="7199" width="7.75" style="2" customWidth="1"/>
    <col min="7200" max="7203" width="6.5" style="2" customWidth="1"/>
    <col min="7204" max="7204" width="6.875" style="2" customWidth="1"/>
    <col min="7205" max="7205" width="9" style="2"/>
    <col min="7206" max="7206" width="6.125" style="2" customWidth="1"/>
    <col min="7207" max="7207" width="7.5" style="2" customWidth="1"/>
    <col min="7208" max="7208" width="7.625" style="2" customWidth="1"/>
    <col min="7209" max="7209" width="7.75" style="2" customWidth="1"/>
    <col min="7210" max="7210" width="10.125" style="2" bestFit="1" customWidth="1"/>
    <col min="7211" max="7211" width="12" style="2" customWidth="1"/>
    <col min="7212" max="7212" width="10.25" style="2" bestFit="1" customWidth="1"/>
    <col min="7213" max="7213" width="8.75" style="2" bestFit="1" customWidth="1"/>
    <col min="7214" max="7214" width="7.75" style="2" customWidth="1"/>
    <col min="7215" max="7215" width="9.125" style="2" customWidth="1"/>
    <col min="7216" max="7216" width="9.875" style="2" customWidth="1"/>
    <col min="7217" max="7217" width="7.75" style="2" customWidth="1"/>
    <col min="7218" max="7218" width="9.375" style="2" customWidth="1"/>
    <col min="7219" max="7219" width="9" style="2"/>
    <col min="7220" max="7220" width="5.875" style="2" customWidth="1"/>
    <col min="7221" max="7221" width="7.125" style="2" customWidth="1"/>
    <col min="7222" max="7222" width="8.125" style="2" customWidth="1"/>
    <col min="7223" max="7223" width="10.25" style="2" customWidth="1"/>
    <col min="7224" max="7444" width="9" style="2"/>
    <col min="7445" max="7445" width="36.875" style="2" bestFit="1" customWidth="1"/>
    <col min="7446" max="7446" width="7.125" style="2" customWidth="1"/>
    <col min="7447" max="7447" width="6" style="2" customWidth="1"/>
    <col min="7448" max="7448" width="5.75" style="2" customWidth="1"/>
    <col min="7449" max="7449" width="10.5" style="2" customWidth="1"/>
    <col min="7450" max="7450" width="7.5" style="2" customWidth="1"/>
    <col min="7451" max="7451" width="6.375" style="2" customWidth="1"/>
    <col min="7452" max="7452" width="6.5" style="2" customWidth="1"/>
    <col min="7453" max="7453" width="6.375" style="2" customWidth="1"/>
    <col min="7454" max="7454" width="7.875" style="2" customWidth="1"/>
    <col min="7455" max="7455" width="7.75" style="2" customWidth="1"/>
    <col min="7456" max="7459" width="6.5" style="2" customWidth="1"/>
    <col min="7460" max="7460" width="6.875" style="2" customWidth="1"/>
    <col min="7461" max="7461" width="9" style="2"/>
    <col min="7462" max="7462" width="6.125" style="2" customWidth="1"/>
    <col min="7463" max="7463" width="7.5" style="2" customWidth="1"/>
    <col min="7464" max="7464" width="7.625" style="2" customWidth="1"/>
    <col min="7465" max="7465" width="7.75" style="2" customWidth="1"/>
    <col min="7466" max="7466" width="10.125" style="2" bestFit="1" customWidth="1"/>
    <col min="7467" max="7467" width="12" style="2" customWidth="1"/>
    <col min="7468" max="7468" width="10.25" style="2" bestFit="1" customWidth="1"/>
    <col min="7469" max="7469" width="8.75" style="2" bestFit="1" customWidth="1"/>
    <col min="7470" max="7470" width="7.75" style="2" customWidth="1"/>
    <col min="7471" max="7471" width="9.125" style="2" customWidth="1"/>
    <col min="7472" max="7472" width="9.875" style="2" customWidth="1"/>
    <col min="7473" max="7473" width="7.75" style="2" customWidth="1"/>
    <col min="7474" max="7474" width="9.375" style="2" customWidth="1"/>
    <col min="7475" max="7475" width="9" style="2"/>
    <col min="7476" max="7476" width="5.875" style="2" customWidth="1"/>
    <col min="7477" max="7477" width="7.125" style="2" customWidth="1"/>
    <col min="7478" max="7478" width="8.125" style="2" customWidth="1"/>
    <col min="7479" max="7479" width="10.25" style="2" customWidth="1"/>
    <col min="7480" max="7700" width="9" style="2"/>
    <col min="7701" max="7701" width="36.875" style="2" bestFit="1" customWidth="1"/>
    <col min="7702" max="7702" width="7.125" style="2" customWidth="1"/>
    <col min="7703" max="7703" width="6" style="2" customWidth="1"/>
    <col min="7704" max="7704" width="5.75" style="2" customWidth="1"/>
    <col min="7705" max="7705" width="10.5" style="2" customWidth="1"/>
    <col min="7706" max="7706" width="7.5" style="2" customWidth="1"/>
    <col min="7707" max="7707" width="6.375" style="2" customWidth="1"/>
    <col min="7708" max="7708" width="6.5" style="2" customWidth="1"/>
    <col min="7709" max="7709" width="6.375" style="2" customWidth="1"/>
    <col min="7710" max="7710" width="7.875" style="2" customWidth="1"/>
    <col min="7711" max="7711" width="7.75" style="2" customWidth="1"/>
    <col min="7712" max="7715" width="6.5" style="2" customWidth="1"/>
    <col min="7716" max="7716" width="6.875" style="2" customWidth="1"/>
    <col min="7717" max="7717" width="9" style="2"/>
    <col min="7718" max="7718" width="6.125" style="2" customWidth="1"/>
    <col min="7719" max="7719" width="7.5" style="2" customWidth="1"/>
    <col min="7720" max="7720" width="7.625" style="2" customWidth="1"/>
    <col min="7721" max="7721" width="7.75" style="2" customWidth="1"/>
    <col min="7722" max="7722" width="10.125" style="2" bestFit="1" customWidth="1"/>
    <col min="7723" max="7723" width="12" style="2" customWidth="1"/>
    <col min="7724" max="7724" width="10.25" style="2" bestFit="1" customWidth="1"/>
    <col min="7725" max="7725" width="8.75" style="2" bestFit="1" customWidth="1"/>
    <col min="7726" max="7726" width="7.75" style="2" customWidth="1"/>
    <col min="7727" max="7727" width="9.125" style="2" customWidth="1"/>
    <col min="7728" max="7728" width="9.875" style="2" customWidth="1"/>
    <col min="7729" max="7729" width="7.75" style="2" customWidth="1"/>
    <col min="7730" max="7730" width="9.375" style="2" customWidth="1"/>
    <col min="7731" max="7731" width="9" style="2"/>
    <col min="7732" max="7732" width="5.875" style="2" customWidth="1"/>
    <col min="7733" max="7733" width="7.125" style="2" customWidth="1"/>
    <col min="7734" max="7734" width="8.125" style="2" customWidth="1"/>
    <col min="7735" max="7735" width="10.25" style="2" customWidth="1"/>
    <col min="7736" max="7956" width="9" style="2"/>
    <col min="7957" max="7957" width="36.875" style="2" bestFit="1" customWidth="1"/>
    <col min="7958" max="7958" width="7.125" style="2" customWidth="1"/>
    <col min="7959" max="7959" width="6" style="2" customWidth="1"/>
    <col min="7960" max="7960" width="5.75" style="2" customWidth="1"/>
    <col min="7961" max="7961" width="10.5" style="2" customWidth="1"/>
    <col min="7962" max="7962" width="7.5" style="2" customWidth="1"/>
    <col min="7963" max="7963" width="6.375" style="2" customWidth="1"/>
    <col min="7964" max="7964" width="6.5" style="2" customWidth="1"/>
    <col min="7965" max="7965" width="6.375" style="2" customWidth="1"/>
    <col min="7966" max="7966" width="7.875" style="2" customWidth="1"/>
    <col min="7967" max="7967" width="7.75" style="2" customWidth="1"/>
    <col min="7968" max="7971" width="6.5" style="2" customWidth="1"/>
    <col min="7972" max="7972" width="6.875" style="2" customWidth="1"/>
    <col min="7973" max="7973" width="9" style="2"/>
    <col min="7974" max="7974" width="6.125" style="2" customWidth="1"/>
    <col min="7975" max="7975" width="7.5" style="2" customWidth="1"/>
    <col min="7976" max="7976" width="7.625" style="2" customWidth="1"/>
    <col min="7977" max="7977" width="7.75" style="2" customWidth="1"/>
    <col min="7978" max="7978" width="10.125" style="2" bestFit="1" customWidth="1"/>
    <col min="7979" max="7979" width="12" style="2" customWidth="1"/>
    <col min="7980" max="7980" width="10.25" style="2" bestFit="1" customWidth="1"/>
    <col min="7981" max="7981" width="8.75" style="2" bestFit="1" customWidth="1"/>
    <col min="7982" max="7982" width="7.75" style="2" customWidth="1"/>
    <col min="7983" max="7983" width="9.125" style="2" customWidth="1"/>
    <col min="7984" max="7984" width="9.875" style="2" customWidth="1"/>
    <col min="7985" max="7985" width="7.75" style="2" customWidth="1"/>
    <col min="7986" max="7986" width="9.375" style="2" customWidth="1"/>
    <col min="7987" max="7987" width="9" style="2"/>
    <col min="7988" max="7988" width="5.875" style="2" customWidth="1"/>
    <col min="7989" max="7989" width="7.125" style="2" customWidth="1"/>
    <col min="7990" max="7990" width="8.125" style="2" customWidth="1"/>
    <col min="7991" max="7991" width="10.25" style="2" customWidth="1"/>
    <col min="7992" max="8212" width="9" style="2"/>
    <col min="8213" max="8213" width="36.875" style="2" bestFit="1" customWidth="1"/>
    <col min="8214" max="8214" width="7.125" style="2" customWidth="1"/>
    <col min="8215" max="8215" width="6" style="2" customWidth="1"/>
    <col min="8216" max="8216" width="5.75" style="2" customWidth="1"/>
    <col min="8217" max="8217" width="10.5" style="2" customWidth="1"/>
    <col min="8218" max="8218" width="7.5" style="2" customWidth="1"/>
    <col min="8219" max="8219" width="6.375" style="2" customWidth="1"/>
    <col min="8220" max="8220" width="6.5" style="2" customWidth="1"/>
    <col min="8221" max="8221" width="6.375" style="2" customWidth="1"/>
    <col min="8222" max="8222" width="7.875" style="2" customWidth="1"/>
    <col min="8223" max="8223" width="7.75" style="2" customWidth="1"/>
    <col min="8224" max="8227" width="6.5" style="2" customWidth="1"/>
    <col min="8228" max="8228" width="6.875" style="2" customWidth="1"/>
    <col min="8229" max="8229" width="9" style="2"/>
    <col min="8230" max="8230" width="6.125" style="2" customWidth="1"/>
    <col min="8231" max="8231" width="7.5" style="2" customWidth="1"/>
    <col min="8232" max="8232" width="7.625" style="2" customWidth="1"/>
    <col min="8233" max="8233" width="7.75" style="2" customWidth="1"/>
    <col min="8234" max="8234" width="10.125" style="2" bestFit="1" customWidth="1"/>
    <col min="8235" max="8235" width="12" style="2" customWidth="1"/>
    <col min="8236" max="8236" width="10.25" style="2" bestFit="1" customWidth="1"/>
    <col min="8237" max="8237" width="8.75" style="2" bestFit="1" customWidth="1"/>
    <col min="8238" max="8238" width="7.75" style="2" customWidth="1"/>
    <col min="8239" max="8239" width="9.125" style="2" customWidth="1"/>
    <col min="8240" max="8240" width="9.875" style="2" customWidth="1"/>
    <col min="8241" max="8241" width="7.75" style="2" customWidth="1"/>
    <col min="8242" max="8242" width="9.375" style="2" customWidth="1"/>
    <col min="8243" max="8243" width="9" style="2"/>
    <col min="8244" max="8244" width="5.875" style="2" customWidth="1"/>
    <col min="8245" max="8245" width="7.125" style="2" customWidth="1"/>
    <col min="8246" max="8246" width="8.125" style="2" customWidth="1"/>
    <col min="8247" max="8247" width="10.25" style="2" customWidth="1"/>
    <col min="8248" max="8468" width="9" style="2"/>
    <col min="8469" max="8469" width="36.875" style="2" bestFit="1" customWidth="1"/>
    <col min="8470" max="8470" width="7.125" style="2" customWidth="1"/>
    <col min="8471" max="8471" width="6" style="2" customWidth="1"/>
    <col min="8472" max="8472" width="5.75" style="2" customWidth="1"/>
    <col min="8473" max="8473" width="10.5" style="2" customWidth="1"/>
    <col min="8474" max="8474" width="7.5" style="2" customWidth="1"/>
    <col min="8475" max="8475" width="6.375" style="2" customWidth="1"/>
    <col min="8476" max="8476" width="6.5" style="2" customWidth="1"/>
    <col min="8477" max="8477" width="6.375" style="2" customWidth="1"/>
    <col min="8478" max="8478" width="7.875" style="2" customWidth="1"/>
    <col min="8479" max="8479" width="7.75" style="2" customWidth="1"/>
    <col min="8480" max="8483" width="6.5" style="2" customWidth="1"/>
    <col min="8484" max="8484" width="6.875" style="2" customWidth="1"/>
    <col min="8485" max="8485" width="9" style="2"/>
    <col min="8486" max="8486" width="6.125" style="2" customWidth="1"/>
    <col min="8487" max="8487" width="7.5" style="2" customWidth="1"/>
    <col min="8488" max="8488" width="7.625" style="2" customWidth="1"/>
    <col min="8489" max="8489" width="7.75" style="2" customWidth="1"/>
    <col min="8490" max="8490" width="10.125" style="2" bestFit="1" customWidth="1"/>
    <col min="8491" max="8491" width="12" style="2" customWidth="1"/>
    <col min="8492" max="8492" width="10.25" style="2" bestFit="1" customWidth="1"/>
    <col min="8493" max="8493" width="8.75" style="2" bestFit="1" customWidth="1"/>
    <col min="8494" max="8494" width="7.75" style="2" customWidth="1"/>
    <col min="8495" max="8495" width="9.125" style="2" customWidth="1"/>
    <col min="8496" max="8496" width="9.875" style="2" customWidth="1"/>
    <col min="8497" max="8497" width="7.75" style="2" customWidth="1"/>
    <col min="8498" max="8498" width="9.375" style="2" customWidth="1"/>
    <col min="8499" max="8499" width="9" style="2"/>
    <col min="8500" max="8500" width="5.875" style="2" customWidth="1"/>
    <col min="8501" max="8501" width="7.125" style="2" customWidth="1"/>
    <col min="8502" max="8502" width="8.125" style="2" customWidth="1"/>
    <col min="8503" max="8503" width="10.25" style="2" customWidth="1"/>
    <col min="8504" max="8724" width="9" style="2"/>
    <col min="8725" max="8725" width="36.875" style="2" bestFit="1" customWidth="1"/>
    <col min="8726" max="8726" width="7.125" style="2" customWidth="1"/>
    <col min="8727" max="8727" width="6" style="2" customWidth="1"/>
    <col min="8728" max="8728" width="5.75" style="2" customWidth="1"/>
    <col min="8729" max="8729" width="10.5" style="2" customWidth="1"/>
    <col min="8730" max="8730" width="7.5" style="2" customWidth="1"/>
    <col min="8731" max="8731" width="6.375" style="2" customWidth="1"/>
    <col min="8732" max="8732" width="6.5" style="2" customWidth="1"/>
    <col min="8733" max="8733" width="6.375" style="2" customWidth="1"/>
    <col min="8734" max="8734" width="7.875" style="2" customWidth="1"/>
    <col min="8735" max="8735" width="7.75" style="2" customWidth="1"/>
    <col min="8736" max="8739" width="6.5" style="2" customWidth="1"/>
    <col min="8740" max="8740" width="6.875" style="2" customWidth="1"/>
    <col min="8741" max="8741" width="9" style="2"/>
    <col min="8742" max="8742" width="6.125" style="2" customWidth="1"/>
    <col min="8743" max="8743" width="7.5" style="2" customWidth="1"/>
    <col min="8744" max="8744" width="7.625" style="2" customWidth="1"/>
    <col min="8745" max="8745" width="7.75" style="2" customWidth="1"/>
    <col min="8746" max="8746" width="10.125" style="2" bestFit="1" customWidth="1"/>
    <col min="8747" max="8747" width="12" style="2" customWidth="1"/>
    <col min="8748" max="8748" width="10.25" style="2" bestFit="1" customWidth="1"/>
    <col min="8749" max="8749" width="8.75" style="2" bestFit="1" customWidth="1"/>
    <col min="8750" max="8750" width="7.75" style="2" customWidth="1"/>
    <col min="8751" max="8751" width="9.125" style="2" customWidth="1"/>
    <col min="8752" max="8752" width="9.875" style="2" customWidth="1"/>
    <col min="8753" max="8753" width="7.75" style="2" customWidth="1"/>
    <col min="8754" max="8754" width="9.375" style="2" customWidth="1"/>
    <col min="8755" max="8755" width="9" style="2"/>
    <col min="8756" max="8756" width="5.875" style="2" customWidth="1"/>
    <col min="8757" max="8757" width="7.125" style="2" customWidth="1"/>
    <col min="8758" max="8758" width="8.125" style="2" customWidth="1"/>
    <col min="8759" max="8759" width="10.25" style="2" customWidth="1"/>
    <col min="8760" max="8980" width="9" style="2"/>
    <col min="8981" max="8981" width="36.875" style="2" bestFit="1" customWidth="1"/>
    <col min="8982" max="8982" width="7.125" style="2" customWidth="1"/>
    <col min="8983" max="8983" width="6" style="2" customWidth="1"/>
    <col min="8984" max="8984" width="5.75" style="2" customWidth="1"/>
    <col min="8985" max="8985" width="10.5" style="2" customWidth="1"/>
    <col min="8986" max="8986" width="7.5" style="2" customWidth="1"/>
    <col min="8987" max="8987" width="6.375" style="2" customWidth="1"/>
    <col min="8988" max="8988" width="6.5" style="2" customWidth="1"/>
    <col min="8989" max="8989" width="6.375" style="2" customWidth="1"/>
    <col min="8990" max="8990" width="7.875" style="2" customWidth="1"/>
    <col min="8991" max="8991" width="7.75" style="2" customWidth="1"/>
    <col min="8992" max="8995" width="6.5" style="2" customWidth="1"/>
    <col min="8996" max="8996" width="6.875" style="2" customWidth="1"/>
    <col min="8997" max="8997" width="9" style="2"/>
    <col min="8998" max="8998" width="6.125" style="2" customWidth="1"/>
    <col min="8999" max="8999" width="7.5" style="2" customWidth="1"/>
    <col min="9000" max="9000" width="7.625" style="2" customWidth="1"/>
    <col min="9001" max="9001" width="7.75" style="2" customWidth="1"/>
    <col min="9002" max="9002" width="10.125" style="2" bestFit="1" customWidth="1"/>
    <col min="9003" max="9003" width="12" style="2" customWidth="1"/>
    <col min="9004" max="9004" width="10.25" style="2" bestFit="1" customWidth="1"/>
    <col min="9005" max="9005" width="8.75" style="2" bestFit="1" customWidth="1"/>
    <col min="9006" max="9006" width="7.75" style="2" customWidth="1"/>
    <col min="9007" max="9007" width="9.125" style="2" customWidth="1"/>
    <col min="9008" max="9008" width="9.875" style="2" customWidth="1"/>
    <col min="9009" max="9009" width="7.75" style="2" customWidth="1"/>
    <col min="9010" max="9010" width="9.375" style="2" customWidth="1"/>
    <col min="9011" max="9011" width="9" style="2"/>
    <col min="9012" max="9012" width="5.875" style="2" customWidth="1"/>
    <col min="9013" max="9013" width="7.125" style="2" customWidth="1"/>
    <col min="9014" max="9014" width="8.125" style="2" customWidth="1"/>
    <col min="9015" max="9015" width="10.25" style="2" customWidth="1"/>
    <col min="9016" max="9236" width="9" style="2"/>
    <col min="9237" max="9237" width="36.875" style="2" bestFit="1" customWidth="1"/>
    <col min="9238" max="9238" width="7.125" style="2" customWidth="1"/>
    <col min="9239" max="9239" width="6" style="2" customWidth="1"/>
    <col min="9240" max="9240" width="5.75" style="2" customWidth="1"/>
    <col min="9241" max="9241" width="10.5" style="2" customWidth="1"/>
    <col min="9242" max="9242" width="7.5" style="2" customWidth="1"/>
    <col min="9243" max="9243" width="6.375" style="2" customWidth="1"/>
    <col min="9244" max="9244" width="6.5" style="2" customWidth="1"/>
    <col min="9245" max="9245" width="6.375" style="2" customWidth="1"/>
    <col min="9246" max="9246" width="7.875" style="2" customWidth="1"/>
    <col min="9247" max="9247" width="7.75" style="2" customWidth="1"/>
    <col min="9248" max="9251" width="6.5" style="2" customWidth="1"/>
    <col min="9252" max="9252" width="6.875" style="2" customWidth="1"/>
    <col min="9253" max="9253" width="9" style="2"/>
    <col min="9254" max="9254" width="6.125" style="2" customWidth="1"/>
    <col min="9255" max="9255" width="7.5" style="2" customWidth="1"/>
    <col min="9256" max="9256" width="7.625" style="2" customWidth="1"/>
    <col min="9257" max="9257" width="7.75" style="2" customWidth="1"/>
    <col min="9258" max="9258" width="10.125" style="2" bestFit="1" customWidth="1"/>
    <col min="9259" max="9259" width="12" style="2" customWidth="1"/>
    <col min="9260" max="9260" width="10.25" style="2" bestFit="1" customWidth="1"/>
    <col min="9261" max="9261" width="8.75" style="2" bestFit="1" customWidth="1"/>
    <col min="9262" max="9262" width="7.75" style="2" customWidth="1"/>
    <col min="9263" max="9263" width="9.125" style="2" customWidth="1"/>
    <col min="9264" max="9264" width="9.875" style="2" customWidth="1"/>
    <col min="9265" max="9265" width="7.75" style="2" customWidth="1"/>
    <col min="9266" max="9266" width="9.375" style="2" customWidth="1"/>
    <col min="9267" max="9267" width="9" style="2"/>
    <col min="9268" max="9268" width="5.875" style="2" customWidth="1"/>
    <col min="9269" max="9269" width="7.125" style="2" customWidth="1"/>
    <col min="9270" max="9270" width="8.125" style="2" customWidth="1"/>
    <col min="9271" max="9271" width="10.25" style="2" customWidth="1"/>
    <col min="9272" max="9492" width="9" style="2"/>
    <col min="9493" max="9493" width="36.875" style="2" bestFit="1" customWidth="1"/>
    <col min="9494" max="9494" width="7.125" style="2" customWidth="1"/>
    <col min="9495" max="9495" width="6" style="2" customWidth="1"/>
    <col min="9496" max="9496" width="5.75" style="2" customWidth="1"/>
    <col min="9497" max="9497" width="10.5" style="2" customWidth="1"/>
    <col min="9498" max="9498" width="7.5" style="2" customWidth="1"/>
    <col min="9499" max="9499" width="6.375" style="2" customWidth="1"/>
    <col min="9500" max="9500" width="6.5" style="2" customWidth="1"/>
    <col min="9501" max="9501" width="6.375" style="2" customWidth="1"/>
    <col min="9502" max="9502" width="7.875" style="2" customWidth="1"/>
    <col min="9503" max="9503" width="7.75" style="2" customWidth="1"/>
    <col min="9504" max="9507" width="6.5" style="2" customWidth="1"/>
    <col min="9508" max="9508" width="6.875" style="2" customWidth="1"/>
    <col min="9509" max="9509" width="9" style="2"/>
    <col min="9510" max="9510" width="6.125" style="2" customWidth="1"/>
    <col min="9511" max="9511" width="7.5" style="2" customWidth="1"/>
    <col min="9512" max="9512" width="7.625" style="2" customWidth="1"/>
    <col min="9513" max="9513" width="7.75" style="2" customWidth="1"/>
    <col min="9514" max="9514" width="10.125" style="2" bestFit="1" customWidth="1"/>
    <col min="9515" max="9515" width="12" style="2" customWidth="1"/>
    <col min="9516" max="9516" width="10.25" style="2" bestFit="1" customWidth="1"/>
    <col min="9517" max="9517" width="8.75" style="2" bestFit="1" customWidth="1"/>
    <col min="9518" max="9518" width="7.75" style="2" customWidth="1"/>
    <col min="9519" max="9519" width="9.125" style="2" customWidth="1"/>
    <col min="9520" max="9520" width="9.875" style="2" customWidth="1"/>
    <col min="9521" max="9521" width="7.75" style="2" customWidth="1"/>
    <col min="9522" max="9522" width="9.375" style="2" customWidth="1"/>
    <col min="9523" max="9523" width="9" style="2"/>
    <col min="9524" max="9524" width="5.875" style="2" customWidth="1"/>
    <col min="9525" max="9525" width="7.125" style="2" customWidth="1"/>
    <col min="9526" max="9526" width="8.125" style="2" customWidth="1"/>
    <col min="9527" max="9527" width="10.25" style="2" customWidth="1"/>
    <col min="9528" max="9748" width="9" style="2"/>
    <col min="9749" max="9749" width="36.875" style="2" bestFit="1" customWidth="1"/>
    <col min="9750" max="9750" width="7.125" style="2" customWidth="1"/>
    <col min="9751" max="9751" width="6" style="2" customWidth="1"/>
    <col min="9752" max="9752" width="5.75" style="2" customWidth="1"/>
    <col min="9753" max="9753" width="10.5" style="2" customWidth="1"/>
    <col min="9754" max="9754" width="7.5" style="2" customWidth="1"/>
    <col min="9755" max="9755" width="6.375" style="2" customWidth="1"/>
    <col min="9756" max="9756" width="6.5" style="2" customWidth="1"/>
    <col min="9757" max="9757" width="6.375" style="2" customWidth="1"/>
    <col min="9758" max="9758" width="7.875" style="2" customWidth="1"/>
    <col min="9759" max="9759" width="7.75" style="2" customWidth="1"/>
    <col min="9760" max="9763" width="6.5" style="2" customWidth="1"/>
    <col min="9764" max="9764" width="6.875" style="2" customWidth="1"/>
    <col min="9765" max="9765" width="9" style="2"/>
    <col min="9766" max="9766" width="6.125" style="2" customWidth="1"/>
    <col min="9767" max="9767" width="7.5" style="2" customWidth="1"/>
    <col min="9768" max="9768" width="7.625" style="2" customWidth="1"/>
    <col min="9769" max="9769" width="7.75" style="2" customWidth="1"/>
    <col min="9770" max="9770" width="10.125" style="2" bestFit="1" customWidth="1"/>
    <col min="9771" max="9771" width="12" style="2" customWidth="1"/>
    <col min="9772" max="9772" width="10.25" style="2" bestFit="1" customWidth="1"/>
    <col min="9773" max="9773" width="8.75" style="2" bestFit="1" customWidth="1"/>
    <col min="9774" max="9774" width="7.75" style="2" customWidth="1"/>
    <col min="9775" max="9775" width="9.125" style="2" customWidth="1"/>
    <col min="9776" max="9776" width="9.875" style="2" customWidth="1"/>
    <col min="9777" max="9777" width="7.75" style="2" customWidth="1"/>
    <col min="9778" max="9778" width="9.375" style="2" customWidth="1"/>
    <col min="9779" max="9779" width="9" style="2"/>
    <col min="9780" max="9780" width="5.875" style="2" customWidth="1"/>
    <col min="9781" max="9781" width="7.125" style="2" customWidth="1"/>
    <col min="9782" max="9782" width="8.125" style="2" customWidth="1"/>
    <col min="9783" max="9783" width="10.25" style="2" customWidth="1"/>
    <col min="9784" max="10004" width="9" style="2"/>
    <col min="10005" max="10005" width="36.875" style="2" bestFit="1" customWidth="1"/>
    <col min="10006" max="10006" width="7.125" style="2" customWidth="1"/>
    <col min="10007" max="10007" width="6" style="2" customWidth="1"/>
    <col min="10008" max="10008" width="5.75" style="2" customWidth="1"/>
    <col min="10009" max="10009" width="10.5" style="2" customWidth="1"/>
    <col min="10010" max="10010" width="7.5" style="2" customWidth="1"/>
    <col min="10011" max="10011" width="6.375" style="2" customWidth="1"/>
    <col min="10012" max="10012" width="6.5" style="2" customWidth="1"/>
    <col min="10013" max="10013" width="6.375" style="2" customWidth="1"/>
    <col min="10014" max="10014" width="7.875" style="2" customWidth="1"/>
    <col min="10015" max="10015" width="7.75" style="2" customWidth="1"/>
    <col min="10016" max="10019" width="6.5" style="2" customWidth="1"/>
    <col min="10020" max="10020" width="6.875" style="2" customWidth="1"/>
    <col min="10021" max="10021" width="9" style="2"/>
    <col min="10022" max="10022" width="6.125" style="2" customWidth="1"/>
    <col min="10023" max="10023" width="7.5" style="2" customWidth="1"/>
    <col min="10024" max="10024" width="7.625" style="2" customWidth="1"/>
    <col min="10025" max="10025" width="7.75" style="2" customWidth="1"/>
    <col min="10026" max="10026" width="10.125" style="2" bestFit="1" customWidth="1"/>
    <col min="10027" max="10027" width="12" style="2" customWidth="1"/>
    <col min="10028" max="10028" width="10.25" style="2" bestFit="1" customWidth="1"/>
    <col min="10029" max="10029" width="8.75" style="2" bestFit="1" customWidth="1"/>
    <col min="10030" max="10030" width="7.75" style="2" customWidth="1"/>
    <col min="10031" max="10031" width="9.125" style="2" customWidth="1"/>
    <col min="10032" max="10032" width="9.875" style="2" customWidth="1"/>
    <col min="10033" max="10033" width="7.75" style="2" customWidth="1"/>
    <col min="10034" max="10034" width="9.375" style="2" customWidth="1"/>
    <col min="10035" max="10035" width="9" style="2"/>
    <col min="10036" max="10036" width="5.875" style="2" customWidth="1"/>
    <col min="10037" max="10037" width="7.125" style="2" customWidth="1"/>
    <col min="10038" max="10038" width="8.125" style="2" customWidth="1"/>
    <col min="10039" max="10039" width="10.25" style="2" customWidth="1"/>
    <col min="10040" max="10260" width="9" style="2"/>
    <col min="10261" max="10261" width="36.875" style="2" bestFit="1" customWidth="1"/>
    <col min="10262" max="10262" width="7.125" style="2" customWidth="1"/>
    <col min="10263" max="10263" width="6" style="2" customWidth="1"/>
    <col min="10264" max="10264" width="5.75" style="2" customWidth="1"/>
    <col min="10265" max="10265" width="10.5" style="2" customWidth="1"/>
    <col min="10266" max="10266" width="7.5" style="2" customWidth="1"/>
    <col min="10267" max="10267" width="6.375" style="2" customWidth="1"/>
    <col min="10268" max="10268" width="6.5" style="2" customWidth="1"/>
    <col min="10269" max="10269" width="6.375" style="2" customWidth="1"/>
    <col min="10270" max="10270" width="7.875" style="2" customWidth="1"/>
    <col min="10271" max="10271" width="7.75" style="2" customWidth="1"/>
    <col min="10272" max="10275" width="6.5" style="2" customWidth="1"/>
    <col min="10276" max="10276" width="6.875" style="2" customWidth="1"/>
    <col min="10277" max="10277" width="9" style="2"/>
    <col min="10278" max="10278" width="6.125" style="2" customWidth="1"/>
    <col min="10279" max="10279" width="7.5" style="2" customWidth="1"/>
    <col min="10280" max="10280" width="7.625" style="2" customWidth="1"/>
    <col min="10281" max="10281" width="7.75" style="2" customWidth="1"/>
    <col min="10282" max="10282" width="10.125" style="2" bestFit="1" customWidth="1"/>
    <col min="10283" max="10283" width="12" style="2" customWidth="1"/>
    <col min="10284" max="10284" width="10.25" style="2" bestFit="1" customWidth="1"/>
    <col min="10285" max="10285" width="8.75" style="2" bestFit="1" customWidth="1"/>
    <col min="10286" max="10286" width="7.75" style="2" customWidth="1"/>
    <col min="10287" max="10287" width="9.125" style="2" customWidth="1"/>
    <col min="10288" max="10288" width="9.875" style="2" customWidth="1"/>
    <col min="10289" max="10289" width="7.75" style="2" customWidth="1"/>
    <col min="10290" max="10290" width="9.375" style="2" customWidth="1"/>
    <col min="10291" max="10291" width="9" style="2"/>
    <col min="10292" max="10292" width="5.875" style="2" customWidth="1"/>
    <col min="10293" max="10293" width="7.125" style="2" customWidth="1"/>
    <col min="10294" max="10294" width="8.125" style="2" customWidth="1"/>
    <col min="10295" max="10295" width="10.25" style="2" customWidth="1"/>
    <col min="10296" max="10516" width="9" style="2"/>
    <col min="10517" max="10517" width="36.875" style="2" bestFit="1" customWidth="1"/>
    <col min="10518" max="10518" width="7.125" style="2" customWidth="1"/>
    <col min="10519" max="10519" width="6" style="2" customWidth="1"/>
    <col min="10520" max="10520" width="5.75" style="2" customWidth="1"/>
    <col min="10521" max="10521" width="10.5" style="2" customWidth="1"/>
    <col min="10522" max="10522" width="7.5" style="2" customWidth="1"/>
    <col min="10523" max="10523" width="6.375" style="2" customWidth="1"/>
    <col min="10524" max="10524" width="6.5" style="2" customWidth="1"/>
    <col min="10525" max="10525" width="6.375" style="2" customWidth="1"/>
    <col min="10526" max="10526" width="7.875" style="2" customWidth="1"/>
    <col min="10527" max="10527" width="7.75" style="2" customWidth="1"/>
    <col min="10528" max="10531" width="6.5" style="2" customWidth="1"/>
    <col min="10532" max="10532" width="6.875" style="2" customWidth="1"/>
    <col min="10533" max="10533" width="9" style="2"/>
    <col min="10534" max="10534" width="6.125" style="2" customWidth="1"/>
    <col min="10535" max="10535" width="7.5" style="2" customWidth="1"/>
    <col min="10536" max="10536" width="7.625" style="2" customWidth="1"/>
    <col min="10537" max="10537" width="7.75" style="2" customWidth="1"/>
    <col min="10538" max="10538" width="10.125" style="2" bestFit="1" customWidth="1"/>
    <col min="10539" max="10539" width="12" style="2" customWidth="1"/>
    <col min="10540" max="10540" width="10.25" style="2" bestFit="1" customWidth="1"/>
    <col min="10541" max="10541" width="8.75" style="2" bestFit="1" customWidth="1"/>
    <col min="10542" max="10542" width="7.75" style="2" customWidth="1"/>
    <col min="10543" max="10543" width="9.125" style="2" customWidth="1"/>
    <col min="10544" max="10544" width="9.875" style="2" customWidth="1"/>
    <col min="10545" max="10545" width="7.75" style="2" customWidth="1"/>
    <col min="10546" max="10546" width="9.375" style="2" customWidth="1"/>
    <col min="10547" max="10547" width="9" style="2"/>
    <col min="10548" max="10548" width="5.875" style="2" customWidth="1"/>
    <col min="10549" max="10549" width="7.125" style="2" customWidth="1"/>
    <col min="10550" max="10550" width="8.125" style="2" customWidth="1"/>
    <col min="10551" max="10551" width="10.25" style="2" customWidth="1"/>
    <col min="10552" max="10772" width="9" style="2"/>
    <col min="10773" max="10773" width="36.875" style="2" bestFit="1" customWidth="1"/>
    <col min="10774" max="10774" width="7.125" style="2" customWidth="1"/>
    <col min="10775" max="10775" width="6" style="2" customWidth="1"/>
    <col min="10776" max="10776" width="5.75" style="2" customWidth="1"/>
    <col min="10777" max="10777" width="10.5" style="2" customWidth="1"/>
    <col min="10778" max="10778" width="7.5" style="2" customWidth="1"/>
    <col min="10779" max="10779" width="6.375" style="2" customWidth="1"/>
    <col min="10780" max="10780" width="6.5" style="2" customWidth="1"/>
    <col min="10781" max="10781" width="6.375" style="2" customWidth="1"/>
    <col min="10782" max="10782" width="7.875" style="2" customWidth="1"/>
    <col min="10783" max="10783" width="7.75" style="2" customWidth="1"/>
    <col min="10784" max="10787" width="6.5" style="2" customWidth="1"/>
    <col min="10788" max="10788" width="6.875" style="2" customWidth="1"/>
    <col min="10789" max="10789" width="9" style="2"/>
    <col min="10790" max="10790" width="6.125" style="2" customWidth="1"/>
    <col min="10791" max="10791" width="7.5" style="2" customWidth="1"/>
    <col min="10792" max="10792" width="7.625" style="2" customWidth="1"/>
    <col min="10793" max="10793" width="7.75" style="2" customWidth="1"/>
    <col min="10794" max="10794" width="10.125" style="2" bestFit="1" customWidth="1"/>
    <col min="10795" max="10795" width="12" style="2" customWidth="1"/>
    <col min="10796" max="10796" width="10.25" style="2" bestFit="1" customWidth="1"/>
    <col min="10797" max="10797" width="8.75" style="2" bestFit="1" customWidth="1"/>
    <col min="10798" max="10798" width="7.75" style="2" customWidth="1"/>
    <col min="10799" max="10799" width="9.125" style="2" customWidth="1"/>
    <col min="10800" max="10800" width="9.875" style="2" customWidth="1"/>
    <col min="10801" max="10801" width="7.75" style="2" customWidth="1"/>
    <col min="10802" max="10802" width="9.375" style="2" customWidth="1"/>
    <col min="10803" max="10803" width="9" style="2"/>
    <col min="10804" max="10804" width="5.875" style="2" customWidth="1"/>
    <col min="10805" max="10805" width="7.125" style="2" customWidth="1"/>
    <col min="10806" max="10806" width="8.125" style="2" customWidth="1"/>
    <col min="10807" max="10807" width="10.25" style="2" customWidth="1"/>
    <col min="10808" max="11028" width="9" style="2"/>
    <col min="11029" max="11029" width="36.875" style="2" bestFit="1" customWidth="1"/>
    <col min="11030" max="11030" width="7.125" style="2" customWidth="1"/>
    <col min="11031" max="11031" width="6" style="2" customWidth="1"/>
    <col min="11032" max="11032" width="5.75" style="2" customWidth="1"/>
    <col min="11033" max="11033" width="10.5" style="2" customWidth="1"/>
    <col min="11034" max="11034" width="7.5" style="2" customWidth="1"/>
    <col min="11035" max="11035" width="6.375" style="2" customWidth="1"/>
    <col min="11036" max="11036" width="6.5" style="2" customWidth="1"/>
    <col min="11037" max="11037" width="6.375" style="2" customWidth="1"/>
    <col min="11038" max="11038" width="7.875" style="2" customWidth="1"/>
    <col min="11039" max="11039" width="7.75" style="2" customWidth="1"/>
    <col min="11040" max="11043" width="6.5" style="2" customWidth="1"/>
    <col min="11044" max="11044" width="6.875" style="2" customWidth="1"/>
    <col min="11045" max="11045" width="9" style="2"/>
    <col min="11046" max="11046" width="6.125" style="2" customWidth="1"/>
    <col min="11047" max="11047" width="7.5" style="2" customWidth="1"/>
    <col min="11048" max="11048" width="7.625" style="2" customWidth="1"/>
    <col min="11049" max="11049" width="7.75" style="2" customWidth="1"/>
    <col min="11050" max="11050" width="10.125" style="2" bestFit="1" customWidth="1"/>
    <col min="11051" max="11051" width="12" style="2" customWidth="1"/>
    <col min="11052" max="11052" width="10.25" style="2" bestFit="1" customWidth="1"/>
    <col min="11053" max="11053" width="8.75" style="2" bestFit="1" customWidth="1"/>
    <col min="11054" max="11054" width="7.75" style="2" customWidth="1"/>
    <col min="11055" max="11055" width="9.125" style="2" customWidth="1"/>
    <col min="11056" max="11056" width="9.875" style="2" customWidth="1"/>
    <col min="11057" max="11057" width="7.75" style="2" customWidth="1"/>
    <col min="11058" max="11058" width="9.375" style="2" customWidth="1"/>
    <col min="11059" max="11059" width="9" style="2"/>
    <col min="11060" max="11060" width="5.875" style="2" customWidth="1"/>
    <col min="11061" max="11061" width="7.125" style="2" customWidth="1"/>
    <col min="11062" max="11062" width="8.125" style="2" customWidth="1"/>
    <col min="11063" max="11063" width="10.25" style="2" customWidth="1"/>
    <col min="11064" max="11284" width="9" style="2"/>
    <col min="11285" max="11285" width="36.875" style="2" bestFit="1" customWidth="1"/>
    <col min="11286" max="11286" width="7.125" style="2" customWidth="1"/>
    <col min="11287" max="11287" width="6" style="2" customWidth="1"/>
    <col min="11288" max="11288" width="5.75" style="2" customWidth="1"/>
    <col min="11289" max="11289" width="10.5" style="2" customWidth="1"/>
    <col min="11290" max="11290" width="7.5" style="2" customWidth="1"/>
    <col min="11291" max="11291" width="6.375" style="2" customWidth="1"/>
    <col min="11292" max="11292" width="6.5" style="2" customWidth="1"/>
    <col min="11293" max="11293" width="6.375" style="2" customWidth="1"/>
    <col min="11294" max="11294" width="7.875" style="2" customWidth="1"/>
    <col min="11295" max="11295" width="7.75" style="2" customWidth="1"/>
    <col min="11296" max="11299" width="6.5" style="2" customWidth="1"/>
    <col min="11300" max="11300" width="6.875" style="2" customWidth="1"/>
    <col min="11301" max="11301" width="9" style="2"/>
    <col min="11302" max="11302" width="6.125" style="2" customWidth="1"/>
    <col min="11303" max="11303" width="7.5" style="2" customWidth="1"/>
    <col min="11304" max="11304" width="7.625" style="2" customWidth="1"/>
    <col min="11305" max="11305" width="7.75" style="2" customWidth="1"/>
    <col min="11306" max="11306" width="10.125" style="2" bestFit="1" customWidth="1"/>
    <col min="11307" max="11307" width="12" style="2" customWidth="1"/>
    <col min="11308" max="11308" width="10.25" style="2" bestFit="1" customWidth="1"/>
    <col min="11309" max="11309" width="8.75" style="2" bestFit="1" customWidth="1"/>
    <col min="11310" max="11310" width="7.75" style="2" customWidth="1"/>
    <col min="11311" max="11311" width="9.125" style="2" customWidth="1"/>
    <col min="11312" max="11312" width="9.875" style="2" customWidth="1"/>
    <col min="11313" max="11313" width="7.75" style="2" customWidth="1"/>
    <col min="11314" max="11314" width="9.375" style="2" customWidth="1"/>
    <col min="11315" max="11315" width="9" style="2"/>
    <col min="11316" max="11316" width="5.875" style="2" customWidth="1"/>
    <col min="11317" max="11317" width="7.125" style="2" customWidth="1"/>
    <col min="11318" max="11318" width="8.125" style="2" customWidth="1"/>
    <col min="11319" max="11319" width="10.25" style="2" customWidth="1"/>
    <col min="11320" max="11540" width="9" style="2"/>
    <col min="11541" max="11541" width="36.875" style="2" bestFit="1" customWidth="1"/>
    <col min="11542" max="11542" width="7.125" style="2" customWidth="1"/>
    <col min="11543" max="11543" width="6" style="2" customWidth="1"/>
    <col min="11544" max="11544" width="5.75" style="2" customWidth="1"/>
    <col min="11545" max="11545" width="10.5" style="2" customWidth="1"/>
    <col min="11546" max="11546" width="7.5" style="2" customWidth="1"/>
    <col min="11547" max="11547" width="6.375" style="2" customWidth="1"/>
    <col min="11548" max="11548" width="6.5" style="2" customWidth="1"/>
    <col min="11549" max="11549" width="6.375" style="2" customWidth="1"/>
    <col min="11550" max="11550" width="7.875" style="2" customWidth="1"/>
    <col min="11551" max="11551" width="7.75" style="2" customWidth="1"/>
    <col min="11552" max="11555" width="6.5" style="2" customWidth="1"/>
    <col min="11556" max="11556" width="6.875" style="2" customWidth="1"/>
    <col min="11557" max="11557" width="9" style="2"/>
    <col min="11558" max="11558" width="6.125" style="2" customWidth="1"/>
    <col min="11559" max="11559" width="7.5" style="2" customWidth="1"/>
    <col min="11560" max="11560" width="7.625" style="2" customWidth="1"/>
    <col min="11561" max="11561" width="7.75" style="2" customWidth="1"/>
    <col min="11562" max="11562" width="10.125" style="2" bestFit="1" customWidth="1"/>
    <col min="11563" max="11563" width="12" style="2" customWidth="1"/>
    <col min="11564" max="11564" width="10.25" style="2" bestFit="1" customWidth="1"/>
    <col min="11565" max="11565" width="8.75" style="2" bestFit="1" customWidth="1"/>
    <col min="11566" max="11566" width="7.75" style="2" customWidth="1"/>
    <col min="11567" max="11567" width="9.125" style="2" customWidth="1"/>
    <col min="11568" max="11568" width="9.875" style="2" customWidth="1"/>
    <col min="11569" max="11569" width="7.75" style="2" customWidth="1"/>
    <col min="11570" max="11570" width="9.375" style="2" customWidth="1"/>
    <col min="11571" max="11571" width="9" style="2"/>
    <col min="11572" max="11572" width="5.875" style="2" customWidth="1"/>
    <col min="11573" max="11573" width="7.125" style="2" customWidth="1"/>
    <col min="11574" max="11574" width="8.125" style="2" customWidth="1"/>
    <col min="11575" max="11575" width="10.25" style="2" customWidth="1"/>
    <col min="11576" max="11796" width="9" style="2"/>
    <col min="11797" max="11797" width="36.875" style="2" bestFit="1" customWidth="1"/>
    <col min="11798" max="11798" width="7.125" style="2" customWidth="1"/>
    <col min="11799" max="11799" width="6" style="2" customWidth="1"/>
    <col min="11800" max="11800" width="5.75" style="2" customWidth="1"/>
    <col min="11801" max="11801" width="10.5" style="2" customWidth="1"/>
    <col min="11802" max="11802" width="7.5" style="2" customWidth="1"/>
    <col min="11803" max="11803" width="6.375" style="2" customWidth="1"/>
    <col min="11804" max="11804" width="6.5" style="2" customWidth="1"/>
    <col min="11805" max="11805" width="6.375" style="2" customWidth="1"/>
    <col min="11806" max="11806" width="7.875" style="2" customWidth="1"/>
    <col min="11807" max="11807" width="7.75" style="2" customWidth="1"/>
    <col min="11808" max="11811" width="6.5" style="2" customWidth="1"/>
    <col min="11812" max="11812" width="6.875" style="2" customWidth="1"/>
    <col min="11813" max="11813" width="9" style="2"/>
    <col min="11814" max="11814" width="6.125" style="2" customWidth="1"/>
    <col min="11815" max="11815" width="7.5" style="2" customWidth="1"/>
    <col min="11816" max="11816" width="7.625" style="2" customWidth="1"/>
    <col min="11817" max="11817" width="7.75" style="2" customWidth="1"/>
    <col min="11818" max="11818" width="10.125" style="2" bestFit="1" customWidth="1"/>
    <col min="11819" max="11819" width="12" style="2" customWidth="1"/>
    <col min="11820" max="11820" width="10.25" style="2" bestFit="1" customWidth="1"/>
    <col min="11821" max="11821" width="8.75" style="2" bestFit="1" customWidth="1"/>
    <col min="11822" max="11822" width="7.75" style="2" customWidth="1"/>
    <col min="11823" max="11823" width="9.125" style="2" customWidth="1"/>
    <col min="11824" max="11824" width="9.875" style="2" customWidth="1"/>
    <col min="11825" max="11825" width="7.75" style="2" customWidth="1"/>
    <col min="11826" max="11826" width="9.375" style="2" customWidth="1"/>
    <col min="11827" max="11827" width="9" style="2"/>
    <col min="11828" max="11828" width="5.875" style="2" customWidth="1"/>
    <col min="11829" max="11829" width="7.125" style="2" customWidth="1"/>
    <col min="11830" max="11830" width="8.125" style="2" customWidth="1"/>
    <col min="11831" max="11831" width="10.25" style="2" customWidth="1"/>
    <col min="11832" max="12052" width="9" style="2"/>
    <col min="12053" max="12053" width="36.875" style="2" bestFit="1" customWidth="1"/>
    <col min="12054" max="12054" width="7.125" style="2" customWidth="1"/>
    <col min="12055" max="12055" width="6" style="2" customWidth="1"/>
    <col min="12056" max="12056" width="5.75" style="2" customWidth="1"/>
    <col min="12057" max="12057" width="10.5" style="2" customWidth="1"/>
    <col min="12058" max="12058" width="7.5" style="2" customWidth="1"/>
    <col min="12059" max="12059" width="6.375" style="2" customWidth="1"/>
    <col min="12060" max="12060" width="6.5" style="2" customWidth="1"/>
    <col min="12061" max="12061" width="6.375" style="2" customWidth="1"/>
    <col min="12062" max="12062" width="7.875" style="2" customWidth="1"/>
    <col min="12063" max="12063" width="7.75" style="2" customWidth="1"/>
    <col min="12064" max="12067" width="6.5" style="2" customWidth="1"/>
    <col min="12068" max="12068" width="6.875" style="2" customWidth="1"/>
    <col min="12069" max="12069" width="9" style="2"/>
    <col min="12070" max="12070" width="6.125" style="2" customWidth="1"/>
    <col min="12071" max="12071" width="7.5" style="2" customWidth="1"/>
    <col min="12072" max="12072" width="7.625" style="2" customWidth="1"/>
    <col min="12073" max="12073" width="7.75" style="2" customWidth="1"/>
    <col min="12074" max="12074" width="10.125" style="2" bestFit="1" customWidth="1"/>
    <col min="12075" max="12075" width="12" style="2" customWidth="1"/>
    <col min="12076" max="12076" width="10.25" style="2" bestFit="1" customWidth="1"/>
    <col min="12077" max="12077" width="8.75" style="2" bestFit="1" customWidth="1"/>
    <col min="12078" max="12078" width="7.75" style="2" customWidth="1"/>
    <col min="12079" max="12079" width="9.125" style="2" customWidth="1"/>
    <col min="12080" max="12080" width="9.875" style="2" customWidth="1"/>
    <col min="12081" max="12081" width="7.75" style="2" customWidth="1"/>
    <col min="12082" max="12082" width="9.375" style="2" customWidth="1"/>
    <col min="12083" max="12083" width="9" style="2"/>
    <col min="12084" max="12084" width="5.875" style="2" customWidth="1"/>
    <col min="12085" max="12085" width="7.125" style="2" customWidth="1"/>
    <col min="12086" max="12086" width="8.125" style="2" customWidth="1"/>
    <col min="12087" max="12087" width="10.25" style="2" customWidth="1"/>
    <col min="12088" max="12308" width="9" style="2"/>
    <col min="12309" max="12309" width="36.875" style="2" bestFit="1" customWidth="1"/>
    <col min="12310" max="12310" width="7.125" style="2" customWidth="1"/>
    <col min="12311" max="12311" width="6" style="2" customWidth="1"/>
    <col min="12312" max="12312" width="5.75" style="2" customWidth="1"/>
    <col min="12313" max="12313" width="10.5" style="2" customWidth="1"/>
    <col min="12314" max="12314" width="7.5" style="2" customWidth="1"/>
    <col min="12315" max="12315" width="6.375" style="2" customWidth="1"/>
    <col min="12316" max="12316" width="6.5" style="2" customWidth="1"/>
    <col min="12317" max="12317" width="6.375" style="2" customWidth="1"/>
    <col min="12318" max="12318" width="7.875" style="2" customWidth="1"/>
    <col min="12319" max="12319" width="7.75" style="2" customWidth="1"/>
    <col min="12320" max="12323" width="6.5" style="2" customWidth="1"/>
    <col min="12324" max="12324" width="6.875" style="2" customWidth="1"/>
    <col min="12325" max="12325" width="9" style="2"/>
    <col min="12326" max="12326" width="6.125" style="2" customWidth="1"/>
    <col min="12327" max="12327" width="7.5" style="2" customWidth="1"/>
    <col min="12328" max="12328" width="7.625" style="2" customWidth="1"/>
    <col min="12329" max="12329" width="7.75" style="2" customWidth="1"/>
    <col min="12330" max="12330" width="10.125" style="2" bestFit="1" customWidth="1"/>
    <col min="12331" max="12331" width="12" style="2" customWidth="1"/>
    <col min="12332" max="12332" width="10.25" style="2" bestFit="1" customWidth="1"/>
    <col min="12333" max="12333" width="8.75" style="2" bestFit="1" customWidth="1"/>
    <col min="12334" max="12334" width="7.75" style="2" customWidth="1"/>
    <col min="12335" max="12335" width="9.125" style="2" customWidth="1"/>
    <col min="12336" max="12336" width="9.875" style="2" customWidth="1"/>
    <col min="12337" max="12337" width="7.75" style="2" customWidth="1"/>
    <col min="12338" max="12338" width="9.375" style="2" customWidth="1"/>
    <col min="12339" max="12339" width="9" style="2"/>
    <col min="12340" max="12340" width="5.875" style="2" customWidth="1"/>
    <col min="12341" max="12341" width="7.125" style="2" customWidth="1"/>
    <col min="12342" max="12342" width="8.125" style="2" customWidth="1"/>
    <col min="12343" max="12343" width="10.25" style="2" customWidth="1"/>
    <col min="12344" max="12564" width="9" style="2"/>
    <col min="12565" max="12565" width="36.875" style="2" bestFit="1" customWidth="1"/>
    <col min="12566" max="12566" width="7.125" style="2" customWidth="1"/>
    <col min="12567" max="12567" width="6" style="2" customWidth="1"/>
    <col min="12568" max="12568" width="5.75" style="2" customWidth="1"/>
    <col min="12569" max="12569" width="10.5" style="2" customWidth="1"/>
    <col min="12570" max="12570" width="7.5" style="2" customWidth="1"/>
    <col min="12571" max="12571" width="6.375" style="2" customWidth="1"/>
    <col min="12572" max="12572" width="6.5" style="2" customWidth="1"/>
    <col min="12573" max="12573" width="6.375" style="2" customWidth="1"/>
    <col min="12574" max="12574" width="7.875" style="2" customWidth="1"/>
    <col min="12575" max="12575" width="7.75" style="2" customWidth="1"/>
    <col min="12576" max="12579" width="6.5" style="2" customWidth="1"/>
    <col min="12580" max="12580" width="6.875" style="2" customWidth="1"/>
    <col min="12581" max="12581" width="9" style="2"/>
    <col min="12582" max="12582" width="6.125" style="2" customWidth="1"/>
    <col min="12583" max="12583" width="7.5" style="2" customWidth="1"/>
    <col min="12584" max="12584" width="7.625" style="2" customWidth="1"/>
    <col min="12585" max="12585" width="7.75" style="2" customWidth="1"/>
    <col min="12586" max="12586" width="10.125" style="2" bestFit="1" customWidth="1"/>
    <col min="12587" max="12587" width="12" style="2" customWidth="1"/>
    <col min="12588" max="12588" width="10.25" style="2" bestFit="1" customWidth="1"/>
    <col min="12589" max="12589" width="8.75" style="2" bestFit="1" customWidth="1"/>
    <col min="12590" max="12590" width="7.75" style="2" customWidth="1"/>
    <col min="12591" max="12591" width="9.125" style="2" customWidth="1"/>
    <col min="12592" max="12592" width="9.875" style="2" customWidth="1"/>
    <col min="12593" max="12593" width="7.75" style="2" customWidth="1"/>
    <col min="12594" max="12594" width="9.375" style="2" customWidth="1"/>
    <col min="12595" max="12595" width="9" style="2"/>
    <col min="12596" max="12596" width="5.875" style="2" customWidth="1"/>
    <col min="12597" max="12597" width="7.125" style="2" customWidth="1"/>
    <col min="12598" max="12598" width="8.125" style="2" customWidth="1"/>
    <col min="12599" max="12599" width="10.25" style="2" customWidth="1"/>
    <col min="12600" max="12820" width="9" style="2"/>
    <col min="12821" max="12821" width="36.875" style="2" bestFit="1" customWidth="1"/>
    <col min="12822" max="12822" width="7.125" style="2" customWidth="1"/>
    <col min="12823" max="12823" width="6" style="2" customWidth="1"/>
    <col min="12824" max="12824" width="5.75" style="2" customWidth="1"/>
    <col min="12825" max="12825" width="10.5" style="2" customWidth="1"/>
    <col min="12826" max="12826" width="7.5" style="2" customWidth="1"/>
    <col min="12827" max="12827" width="6.375" style="2" customWidth="1"/>
    <col min="12828" max="12828" width="6.5" style="2" customWidth="1"/>
    <col min="12829" max="12829" width="6.375" style="2" customWidth="1"/>
    <col min="12830" max="12830" width="7.875" style="2" customWidth="1"/>
    <col min="12831" max="12831" width="7.75" style="2" customWidth="1"/>
    <col min="12832" max="12835" width="6.5" style="2" customWidth="1"/>
    <col min="12836" max="12836" width="6.875" style="2" customWidth="1"/>
    <col min="12837" max="12837" width="9" style="2"/>
    <col min="12838" max="12838" width="6.125" style="2" customWidth="1"/>
    <col min="12839" max="12839" width="7.5" style="2" customWidth="1"/>
    <col min="12840" max="12840" width="7.625" style="2" customWidth="1"/>
    <col min="12841" max="12841" width="7.75" style="2" customWidth="1"/>
    <col min="12842" max="12842" width="10.125" style="2" bestFit="1" customWidth="1"/>
    <col min="12843" max="12843" width="12" style="2" customWidth="1"/>
    <col min="12844" max="12844" width="10.25" style="2" bestFit="1" customWidth="1"/>
    <col min="12845" max="12845" width="8.75" style="2" bestFit="1" customWidth="1"/>
    <col min="12846" max="12846" width="7.75" style="2" customWidth="1"/>
    <col min="12847" max="12847" width="9.125" style="2" customWidth="1"/>
    <col min="12848" max="12848" width="9.875" style="2" customWidth="1"/>
    <col min="12849" max="12849" width="7.75" style="2" customWidth="1"/>
    <col min="12850" max="12850" width="9.375" style="2" customWidth="1"/>
    <col min="12851" max="12851" width="9" style="2"/>
    <col min="12852" max="12852" width="5.875" style="2" customWidth="1"/>
    <col min="12853" max="12853" width="7.125" style="2" customWidth="1"/>
    <col min="12854" max="12854" width="8.125" style="2" customWidth="1"/>
    <col min="12855" max="12855" width="10.25" style="2" customWidth="1"/>
    <col min="12856" max="13076" width="9" style="2"/>
    <col min="13077" max="13077" width="36.875" style="2" bestFit="1" customWidth="1"/>
    <col min="13078" max="13078" width="7.125" style="2" customWidth="1"/>
    <col min="13079" max="13079" width="6" style="2" customWidth="1"/>
    <col min="13080" max="13080" width="5.75" style="2" customWidth="1"/>
    <col min="13081" max="13081" width="10.5" style="2" customWidth="1"/>
    <col min="13082" max="13082" width="7.5" style="2" customWidth="1"/>
    <col min="13083" max="13083" width="6.375" style="2" customWidth="1"/>
    <col min="13084" max="13084" width="6.5" style="2" customWidth="1"/>
    <col min="13085" max="13085" width="6.375" style="2" customWidth="1"/>
    <col min="13086" max="13086" width="7.875" style="2" customWidth="1"/>
    <col min="13087" max="13087" width="7.75" style="2" customWidth="1"/>
    <col min="13088" max="13091" width="6.5" style="2" customWidth="1"/>
    <col min="13092" max="13092" width="6.875" style="2" customWidth="1"/>
    <col min="13093" max="13093" width="9" style="2"/>
    <col min="13094" max="13094" width="6.125" style="2" customWidth="1"/>
    <col min="13095" max="13095" width="7.5" style="2" customWidth="1"/>
    <col min="13096" max="13096" width="7.625" style="2" customWidth="1"/>
    <col min="13097" max="13097" width="7.75" style="2" customWidth="1"/>
    <col min="13098" max="13098" width="10.125" style="2" bestFit="1" customWidth="1"/>
    <col min="13099" max="13099" width="12" style="2" customWidth="1"/>
    <col min="13100" max="13100" width="10.25" style="2" bestFit="1" customWidth="1"/>
    <col min="13101" max="13101" width="8.75" style="2" bestFit="1" customWidth="1"/>
    <col min="13102" max="13102" width="7.75" style="2" customWidth="1"/>
    <col min="13103" max="13103" width="9.125" style="2" customWidth="1"/>
    <col min="13104" max="13104" width="9.875" style="2" customWidth="1"/>
    <col min="13105" max="13105" width="7.75" style="2" customWidth="1"/>
    <col min="13106" max="13106" width="9.375" style="2" customWidth="1"/>
    <col min="13107" max="13107" width="9" style="2"/>
    <col min="13108" max="13108" width="5.875" style="2" customWidth="1"/>
    <col min="13109" max="13109" width="7.125" style="2" customWidth="1"/>
    <col min="13110" max="13110" width="8.125" style="2" customWidth="1"/>
    <col min="13111" max="13111" width="10.25" style="2" customWidth="1"/>
    <col min="13112" max="13332" width="9" style="2"/>
    <col min="13333" max="13333" width="36.875" style="2" bestFit="1" customWidth="1"/>
    <col min="13334" max="13334" width="7.125" style="2" customWidth="1"/>
    <col min="13335" max="13335" width="6" style="2" customWidth="1"/>
    <col min="13336" max="13336" width="5.75" style="2" customWidth="1"/>
    <col min="13337" max="13337" width="10.5" style="2" customWidth="1"/>
    <col min="13338" max="13338" width="7.5" style="2" customWidth="1"/>
    <col min="13339" max="13339" width="6.375" style="2" customWidth="1"/>
    <col min="13340" max="13340" width="6.5" style="2" customWidth="1"/>
    <col min="13341" max="13341" width="6.375" style="2" customWidth="1"/>
    <col min="13342" max="13342" width="7.875" style="2" customWidth="1"/>
    <col min="13343" max="13343" width="7.75" style="2" customWidth="1"/>
    <col min="13344" max="13347" width="6.5" style="2" customWidth="1"/>
    <col min="13348" max="13348" width="6.875" style="2" customWidth="1"/>
    <col min="13349" max="13349" width="9" style="2"/>
    <col min="13350" max="13350" width="6.125" style="2" customWidth="1"/>
    <col min="13351" max="13351" width="7.5" style="2" customWidth="1"/>
    <col min="13352" max="13352" width="7.625" style="2" customWidth="1"/>
    <col min="13353" max="13353" width="7.75" style="2" customWidth="1"/>
    <col min="13354" max="13354" width="10.125" style="2" bestFit="1" customWidth="1"/>
    <col min="13355" max="13355" width="12" style="2" customWidth="1"/>
    <col min="13356" max="13356" width="10.25" style="2" bestFit="1" customWidth="1"/>
    <col min="13357" max="13357" width="8.75" style="2" bestFit="1" customWidth="1"/>
    <col min="13358" max="13358" width="7.75" style="2" customWidth="1"/>
    <col min="13359" max="13359" width="9.125" style="2" customWidth="1"/>
    <col min="13360" max="13360" width="9.875" style="2" customWidth="1"/>
    <col min="13361" max="13361" width="7.75" style="2" customWidth="1"/>
    <col min="13362" max="13362" width="9.375" style="2" customWidth="1"/>
    <col min="13363" max="13363" width="9" style="2"/>
    <col min="13364" max="13364" width="5.875" style="2" customWidth="1"/>
    <col min="13365" max="13365" width="7.125" style="2" customWidth="1"/>
    <col min="13366" max="13366" width="8.125" style="2" customWidth="1"/>
    <col min="13367" max="13367" width="10.25" style="2" customWidth="1"/>
    <col min="13368" max="13588" width="9" style="2"/>
    <col min="13589" max="13589" width="36.875" style="2" bestFit="1" customWidth="1"/>
    <col min="13590" max="13590" width="7.125" style="2" customWidth="1"/>
    <col min="13591" max="13591" width="6" style="2" customWidth="1"/>
    <col min="13592" max="13592" width="5.75" style="2" customWidth="1"/>
    <col min="13593" max="13593" width="10.5" style="2" customWidth="1"/>
    <col min="13594" max="13594" width="7.5" style="2" customWidth="1"/>
    <col min="13595" max="13595" width="6.375" style="2" customWidth="1"/>
    <col min="13596" max="13596" width="6.5" style="2" customWidth="1"/>
    <col min="13597" max="13597" width="6.375" style="2" customWidth="1"/>
    <col min="13598" max="13598" width="7.875" style="2" customWidth="1"/>
    <col min="13599" max="13599" width="7.75" style="2" customWidth="1"/>
    <col min="13600" max="13603" width="6.5" style="2" customWidth="1"/>
    <col min="13604" max="13604" width="6.875" style="2" customWidth="1"/>
    <col min="13605" max="13605" width="9" style="2"/>
    <col min="13606" max="13606" width="6.125" style="2" customWidth="1"/>
    <col min="13607" max="13607" width="7.5" style="2" customWidth="1"/>
    <col min="13608" max="13608" width="7.625" style="2" customWidth="1"/>
    <col min="13609" max="13609" width="7.75" style="2" customWidth="1"/>
    <col min="13610" max="13610" width="10.125" style="2" bestFit="1" customWidth="1"/>
    <col min="13611" max="13611" width="12" style="2" customWidth="1"/>
    <col min="13612" max="13612" width="10.25" style="2" bestFit="1" customWidth="1"/>
    <col min="13613" max="13613" width="8.75" style="2" bestFit="1" customWidth="1"/>
    <col min="13614" max="13614" width="7.75" style="2" customWidth="1"/>
    <col min="13615" max="13615" width="9.125" style="2" customWidth="1"/>
    <col min="13616" max="13616" width="9.875" style="2" customWidth="1"/>
    <col min="13617" max="13617" width="7.75" style="2" customWidth="1"/>
    <col min="13618" max="13618" width="9.375" style="2" customWidth="1"/>
    <col min="13619" max="13619" width="9" style="2"/>
    <col min="13620" max="13620" width="5.875" style="2" customWidth="1"/>
    <col min="13621" max="13621" width="7.125" style="2" customWidth="1"/>
    <col min="13622" max="13622" width="8.125" style="2" customWidth="1"/>
    <col min="13623" max="13623" width="10.25" style="2" customWidth="1"/>
    <col min="13624" max="13844" width="9" style="2"/>
    <col min="13845" max="13845" width="36.875" style="2" bestFit="1" customWidth="1"/>
    <col min="13846" max="13846" width="7.125" style="2" customWidth="1"/>
    <col min="13847" max="13847" width="6" style="2" customWidth="1"/>
    <col min="13848" max="13848" width="5.75" style="2" customWidth="1"/>
    <col min="13849" max="13849" width="10.5" style="2" customWidth="1"/>
    <col min="13850" max="13850" width="7.5" style="2" customWidth="1"/>
    <col min="13851" max="13851" width="6.375" style="2" customWidth="1"/>
    <col min="13852" max="13852" width="6.5" style="2" customWidth="1"/>
    <col min="13853" max="13853" width="6.375" style="2" customWidth="1"/>
    <col min="13854" max="13854" width="7.875" style="2" customWidth="1"/>
    <col min="13855" max="13855" width="7.75" style="2" customWidth="1"/>
    <col min="13856" max="13859" width="6.5" style="2" customWidth="1"/>
    <col min="13860" max="13860" width="6.875" style="2" customWidth="1"/>
    <col min="13861" max="13861" width="9" style="2"/>
    <col min="13862" max="13862" width="6.125" style="2" customWidth="1"/>
    <col min="13863" max="13863" width="7.5" style="2" customWidth="1"/>
    <col min="13864" max="13864" width="7.625" style="2" customWidth="1"/>
    <col min="13865" max="13865" width="7.75" style="2" customWidth="1"/>
    <col min="13866" max="13866" width="10.125" style="2" bestFit="1" customWidth="1"/>
    <col min="13867" max="13867" width="12" style="2" customWidth="1"/>
    <col min="13868" max="13868" width="10.25" style="2" bestFit="1" customWidth="1"/>
    <col min="13869" max="13869" width="8.75" style="2" bestFit="1" customWidth="1"/>
    <col min="13870" max="13870" width="7.75" style="2" customWidth="1"/>
    <col min="13871" max="13871" width="9.125" style="2" customWidth="1"/>
    <col min="13872" max="13872" width="9.875" style="2" customWidth="1"/>
    <col min="13873" max="13873" width="7.75" style="2" customWidth="1"/>
    <col min="13874" max="13874" width="9.375" style="2" customWidth="1"/>
    <col min="13875" max="13875" width="9" style="2"/>
    <col min="13876" max="13876" width="5.875" style="2" customWidth="1"/>
    <col min="13877" max="13877" width="7.125" style="2" customWidth="1"/>
    <col min="13878" max="13878" width="8.125" style="2" customWidth="1"/>
    <col min="13879" max="13879" width="10.25" style="2" customWidth="1"/>
    <col min="13880" max="14100" width="9" style="2"/>
    <col min="14101" max="14101" width="36.875" style="2" bestFit="1" customWidth="1"/>
    <col min="14102" max="14102" width="7.125" style="2" customWidth="1"/>
    <col min="14103" max="14103" width="6" style="2" customWidth="1"/>
    <col min="14104" max="14104" width="5.75" style="2" customWidth="1"/>
    <col min="14105" max="14105" width="10.5" style="2" customWidth="1"/>
    <col min="14106" max="14106" width="7.5" style="2" customWidth="1"/>
    <col min="14107" max="14107" width="6.375" style="2" customWidth="1"/>
    <col min="14108" max="14108" width="6.5" style="2" customWidth="1"/>
    <col min="14109" max="14109" width="6.375" style="2" customWidth="1"/>
    <col min="14110" max="14110" width="7.875" style="2" customWidth="1"/>
    <col min="14111" max="14111" width="7.75" style="2" customWidth="1"/>
    <col min="14112" max="14115" width="6.5" style="2" customWidth="1"/>
    <col min="14116" max="14116" width="6.875" style="2" customWidth="1"/>
    <col min="14117" max="14117" width="9" style="2"/>
    <col min="14118" max="14118" width="6.125" style="2" customWidth="1"/>
    <col min="14119" max="14119" width="7.5" style="2" customWidth="1"/>
    <col min="14120" max="14120" width="7.625" style="2" customWidth="1"/>
    <col min="14121" max="14121" width="7.75" style="2" customWidth="1"/>
    <col min="14122" max="14122" width="10.125" style="2" bestFit="1" customWidth="1"/>
    <col min="14123" max="14123" width="12" style="2" customWidth="1"/>
    <col min="14124" max="14124" width="10.25" style="2" bestFit="1" customWidth="1"/>
    <col min="14125" max="14125" width="8.75" style="2" bestFit="1" customWidth="1"/>
    <col min="14126" max="14126" width="7.75" style="2" customWidth="1"/>
    <col min="14127" max="14127" width="9.125" style="2" customWidth="1"/>
    <col min="14128" max="14128" width="9.875" style="2" customWidth="1"/>
    <col min="14129" max="14129" width="7.75" style="2" customWidth="1"/>
    <col min="14130" max="14130" width="9.375" style="2" customWidth="1"/>
    <col min="14131" max="14131" width="9" style="2"/>
    <col min="14132" max="14132" width="5.875" style="2" customWidth="1"/>
    <col min="14133" max="14133" width="7.125" style="2" customWidth="1"/>
    <col min="14134" max="14134" width="8.125" style="2" customWidth="1"/>
    <col min="14135" max="14135" width="10.25" style="2" customWidth="1"/>
    <col min="14136" max="14356" width="9" style="2"/>
    <col min="14357" max="14357" width="36.875" style="2" bestFit="1" customWidth="1"/>
    <col min="14358" max="14358" width="7.125" style="2" customWidth="1"/>
    <col min="14359" max="14359" width="6" style="2" customWidth="1"/>
    <col min="14360" max="14360" width="5.75" style="2" customWidth="1"/>
    <col min="14361" max="14361" width="10.5" style="2" customWidth="1"/>
    <col min="14362" max="14362" width="7.5" style="2" customWidth="1"/>
    <col min="14363" max="14363" width="6.375" style="2" customWidth="1"/>
    <col min="14364" max="14364" width="6.5" style="2" customWidth="1"/>
    <col min="14365" max="14365" width="6.375" style="2" customWidth="1"/>
    <col min="14366" max="14366" width="7.875" style="2" customWidth="1"/>
    <col min="14367" max="14367" width="7.75" style="2" customWidth="1"/>
    <col min="14368" max="14371" width="6.5" style="2" customWidth="1"/>
    <col min="14372" max="14372" width="6.875" style="2" customWidth="1"/>
    <col min="14373" max="14373" width="9" style="2"/>
    <col min="14374" max="14374" width="6.125" style="2" customWidth="1"/>
    <col min="14375" max="14375" width="7.5" style="2" customWidth="1"/>
    <col min="14376" max="14376" width="7.625" style="2" customWidth="1"/>
    <col min="14377" max="14377" width="7.75" style="2" customWidth="1"/>
    <col min="14378" max="14378" width="10.125" style="2" bestFit="1" customWidth="1"/>
    <col min="14379" max="14379" width="12" style="2" customWidth="1"/>
    <col min="14380" max="14380" width="10.25" style="2" bestFit="1" customWidth="1"/>
    <col min="14381" max="14381" width="8.75" style="2" bestFit="1" customWidth="1"/>
    <col min="14382" max="14382" width="7.75" style="2" customWidth="1"/>
    <col min="14383" max="14383" width="9.125" style="2" customWidth="1"/>
    <col min="14384" max="14384" width="9.875" style="2" customWidth="1"/>
    <col min="14385" max="14385" width="7.75" style="2" customWidth="1"/>
    <col min="14386" max="14386" width="9.375" style="2" customWidth="1"/>
    <col min="14387" max="14387" width="9" style="2"/>
    <col min="14388" max="14388" width="5.875" style="2" customWidth="1"/>
    <col min="14389" max="14389" width="7.125" style="2" customWidth="1"/>
    <col min="14390" max="14390" width="8.125" style="2" customWidth="1"/>
    <col min="14391" max="14391" width="10.25" style="2" customWidth="1"/>
    <col min="14392" max="14612" width="9" style="2"/>
    <col min="14613" max="14613" width="36.875" style="2" bestFit="1" customWidth="1"/>
    <col min="14614" max="14614" width="7.125" style="2" customWidth="1"/>
    <col min="14615" max="14615" width="6" style="2" customWidth="1"/>
    <col min="14616" max="14616" width="5.75" style="2" customWidth="1"/>
    <col min="14617" max="14617" width="10.5" style="2" customWidth="1"/>
    <col min="14618" max="14618" width="7.5" style="2" customWidth="1"/>
    <col min="14619" max="14619" width="6.375" style="2" customWidth="1"/>
    <col min="14620" max="14620" width="6.5" style="2" customWidth="1"/>
    <col min="14621" max="14621" width="6.375" style="2" customWidth="1"/>
    <col min="14622" max="14622" width="7.875" style="2" customWidth="1"/>
    <col min="14623" max="14623" width="7.75" style="2" customWidth="1"/>
    <col min="14624" max="14627" width="6.5" style="2" customWidth="1"/>
    <col min="14628" max="14628" width="6.875" style="2" customWidth="1"/>
    <col min="14629" max="14629" width="9" style="2"/>
    <col min="14630" max="14630" width="6.125" style="2" customWidth="1"/>
    <col min="14631" max="14631" width="7.5" style="2" customWidth="1"/>
    <col min="14632" max="14632" width="7.625" style="2" customWidth="1"/>
    <col min="14633" max="14633" width="7.75" style="2" customWidth="1"/>
    <col min="14634" max="14634" width="10.125" style="2" bestFit="1" customWidth="1"/>
    <col min="14635" max="14635" width="12" style="2" customWidth="1"/>
    <col min="14636" max="14636" width="10.25" style="2" bestFit="1" customWidth="1"/>
    <col min="14637" max="14637" width="8.75" style="2" bestFit="1" customWidth="1"/>
    <col min="14638" max="14638" width="7.75" style="2" customWidth="1"/>
    <col min="14639" max="14639" width="9.125" style="2" customWidth="1"/>
    <col min="14640" max="14640" width="9.875" style="2" customWidth="1"/>
    <col min="14641" max="14641" width="7.75" style="2" customWidth="1"/>
    <col min="14642" max="14642" width="9.375" style="2" customWidth="1"/>
    <col min="14643" max="14643" width="9" style="2"/>
    <col min="14644" max="14644" width="5.875" style="2" customWidth="1"/>
    <col min="14645" max="14645" width="7.125" style="2" customWidth="1"/>
    <col min="14646" max="14646" width="8.125" style="2" customWidth="1"/>
    <col min="14647" max="14647" width="10.25" style="2" customWidth="1"/>
    <col min="14648" max="14868" width="9" style="2"/>
    <col min="14869" max="14869" width="36.875" style="2" bestFit="1" customWidth="1"/>
    <col min="14870" max="14870" width="7.125" style="2" customWidth="1"/>
    <col min="14871" max="14871" width="6" style="2" customWidth="1"/>
    <col min="14872" max="14872" width="5.75" style="2" customWidth="1"/>
    <col min="14873" max="14873" width="10.5" style="2" customWidth="1"/>
    <col min="14874" max="14874" width="7.5" style="2" customWidth="1"/>
    <col min="14875" max="14875" width="6.375" style="2" customWidth="1"/>
    <col min="14876" max="14876" width="6.5" style="2" customWidth="1"/>
    <col min="14877" max="14877" width="6.375" style="2" customWidth="1"/>
    <col min="14878" max="14878" width="7.875" style="2" customWidth="1"/>
    <col min="14879" max="14879" width="7.75" style="2" customWidth="1"/>
    <col min="14880" max="14883" width="6.5" style="2" customWidth="1"/>
    <col min="14884" max="14884" width="6.875" style="2" customWidth="1"/>
    <col min="14885" max="14885" width="9" style="2"/>
    <col min="14886" max="14886" width="6.125" style="2" customWidth="1"/>
    <col min="14887" max="14887" width="7.5" style="2" customWidth="1"/>
    <col min="14888" max="14888" width="7.625" style="2" customWidth="1"/>
    <col min="14889" max="14889" width="7.75" style="2" customWidth="1"/>
    <col min="14890" max="14890" width="10.125" style="2" bestFit="1" customWidth="1"/>
    <col min="14891" max="14891" width="12" style="2" customWidth="1"/>
    <col min="14892" max="14892" width="10.25" style="2" bestFit="1" customWidth="1"/>
    <col min="14893" max="14893" width="8.75" style="2" bestFit="1" customWidth="1"/>
    <col min="14894" max="14894" width="7.75" style="2" customWidth="1"/>
    <col min="14895" max="14895" width="9.125" style="2" customWidth="1"/>
    <col min="14896" max="14896" width="9.875" style="2" customWidth="1"/>
    <col min="14897" max="14897" width="7.75" style="2" customWidth="1"/>
    <col min="14898" max="14898" width="9.375" style="2" customWidth="1"/>
    <col min="14899" max="14899" width="9" style="2"/>
    <col min="14900" max="14900" width="5.875" style="2" customWidth="1"/>
    <col min="14901" max="14901" width="7.125" style="2" customWidth="1"/>
    <col min="14902" max="14902" width="8.125" style="2" customWidth="1"/>
    <col min="14903" max="14903" width="10.25" style="2" customWidth="1"/>
    <col min="14904" max="15124" width="9" style="2"/>
    <col min="15125" max="15125" width="36.875" style="2" bestFit="1" customWidth="1"/>
    <col min="15126" max="15126" width="7.125" style="2" customWidth="1"/>
    <col min="15127" max="15127" width="6" style="2" customWidth="1"/>
    <col min="15128" max="15128" width="5.75" style="2" customWidth="1"/>
    <col min="15129" max="15129" width="10.5" style="2" customWidth="1"/>
    <col min="15130" max="15130" width="7.5" style="2" customWidth="1"/>
    <col min="15131" max="15131" width="6.375" style="2" customWidth="1"/>
    <col min="15132" max="15132" width="6.5" style="2" customWidth="1"/>
    <col min="15133" max="15133" width="6.375" style="2" customWidth="1"/>
    <col min="15134" max="15134" width="7.875" style="2" customWidth="1"/>
    <col min="15135" max="15135" width="7.75" style="2" customWidth="1"/>
    <col min="15136" max="15139" width="6.5" style="2" customWidth="1"/>
    <col min="15140" max="15140" width="6.875" style="2" customWidth="1"/>
    <col min="15141" max="15141" width="9" style="2"/>
    <col min="15142" max="15142" width="6.125" style="2" customWidth="1"/>
    <col min="15143" max="15143" width="7.5" style="2" customWidth="1"/>
    <col min="15144" max="15144" width="7.625" style="2" customWidth="1"/>
    <col min="15145" max="15145" width="7.75" style="2" customWidth="1"/>
    <col min="15146" max="15146" width="10.125" style="2" bestFit="1" customWidth="1"/>
    <col min="15147" max="15147" width="12" style="2" customWidth="1"/>
    <col min="15148" max="15148" width="10.25" style="2" bestFit="1" customWidth="1"/>
    <col min="15149" max="15149" width="8.75" style="2" bestFit="1" customWidth="1"/>
    <col min="15150" max="15150" width="7.75" style="2" customWidth="1"/>
    <col min="15151" max="15151" width="9.125" style="2" customWidth="1"/>
    <col min="15152" max="15152" width="9.875" style="2" customWidth="1"/>
    <col min="15153" max="15153" width="7.75" style="2" customWidth="1"/>
    <col min="15154" max="15154" width="9.375" style="2" customWidth="1"/>
    <col min="15155" max="15155" width="9" style="2"/>
    <col min="15156" max="15156" width="5.875" style="2" customWidth="1"/>
    <col min="15157" max="15157" width="7.125" style="2" customWidth="1"/>
    <col min="15158" max="15158" width="8.125" style="2" customWidth="1"/>
    <col min="15159" max="15159" width="10.25" style="2" customWidth="1"/>
    <col min="15160" max="15380" width="9" style="2"/>
    <col min="15381" max="15381" width="36.875" style="2" bestFit="1" customWidth="1"/>
    <col min="15382" max="15382" width="7.125" style="2" customWidth="1"/>
    <col min="15383" max="15383" width="6" style="2" customWidth="1"/>
    <col min="15384" max="15384" width="5.75" style="2" customWidth="1"/>
    <col min="15385" max="15385" width="10.5" style="2" customWidth="1"/>
    <col min="15386" max="15386" width="7.5" style="2" customWidth="1"/>
    <col min="15387" max="15387" width="6.375" style="2" customWidth="1"/>
    <col min="15388" max="15388" width="6.5" style="2" customWidth="1"/>
    <col min="15389" max="15389" width="6.375" style="2" customWidth="1"/>
    <col min="15390" max="15390" width="7.875" style="2" customWidth="1"/>
    <col min="15391" max="15391" width="7.75" style="2" customWidth="1"/>
    <col min="15392" max="15395" width="6.5" style="2" customWidth="1"/>
    <col min="15396" max="15396" width="6.875" style="2" customWidth="1"/>
    <col min="15397" max="15397" width="9" style="2"/>
    <col min="15398" max="15398" width="6.125" style="2" customWidth="1"/>
    <col min="15399" max="15399" width="7.5" style="2" customWidth="1"/>
    <col min="15400" max="15400" width="7.625" style="2" customWidth="1"/>
    <col min="15401" max="15401" width="7.75" style="2" customWidth="1"/>
    <col min="15402" max="15402" width="10.125" style="2" bestFit="1" customWidth="1"/>
    <col min="15403" max="15403" width="12" style="2" customWidth="1"/>
    <col min="15404" max="15404" width="10.25" style="2" bestFit="1" customWidth="1"/>
    <col min="15405" max="15405" width="8.75" style="2" bestFit="1" customWidth="1"/>
    <col min="15406" max="15406" width="7.75" style="2" customWidth="1"/>
    <col min="15407" max="15407" width="9.125" style="2" customWidth="1"/>
    <col min="15408" max="15408" width="9.875" style="2" customWidth="1"/>
    <col min="15409" max="15409" width="7.75" style="2" customWidth="1"/>
    <col min="15410" max="15410" width="9.375" style="2" customWidth="1"/>
    <col min="15411" max="15411" width="9" style="2"/>
    <col min="15412" max="15412" width="5.875" style="2" customWidth="1"/>
    <col min="15413" max="15413" width="7.125" style="2" customWidth="1"/>
    <col min="15414" max="15414" width="8.125" style="2" customWidth="1"/>
    <col min="15415" max="15415" width="10.25" style="2" customWidth="1"/>
    <col min="15416" max="15636" width="9" style="2"/>
    <col min="15637" max="15637" width="36.875" style="2" bestFit="1" customWidth="1"/>
    <col min="15638" max="15638" width="7.125" style="2" customWidth="1"/>
    <col min="15639" max="15639" width="6" style="2" customWidth="1"/>
    <col min="15640" max="15640" width="5.75" style="2" customWidth="1"/>
    <col min="15641" max="15641" width="10.5" style="2" customWidth="1"/>
    <col min="15642" max="15642" width="7.5" style="2" customWidth="1"/>
    <col min="15643" max="15643" width="6.375" style="2" customWidth="1"/>
    <col min="15644" max="15644" width="6.5" style="2" customWidth="1"/>
    <col min="15645" max="15645" width="6.375" style="2" customWidth="1"/>
    <col min="15646" max="15646" width="7.875" style="2" customWidth="1"/>
    <col min="15647" max="15647" width="7.75" style="2" customWidth="1"/>
    <col min="15648" max="15651" width="6.5" style="2" customWidth="1"/>
    <col min="15652" max="15652" width="6.875" style="2" customWidth="1"/>
    <col min="15653" max="15653" width="9" style="2"/>
    <col min="15654" max="15654" width="6.125" style="2" customWidth="1"/>
    <col min="15655" max="15655" width="7.5" style="2" customWidth="1"/>
    <col min="15656" max="15656" width="7.625" style="2" customWidth="1"/>
    <col min="15657" max="15657" width="7.75" style="2" customWidth="1"/>
    <col min="15658" max="15658" width="10.125" style="2" bestFit="1" customWidth="1"/>
    <col min="15659" max="15659" width="12" style="2" customWidth="1"/>
    <col min="15660" max="15660" width="10.25" style="2" bestFit="1" customWidth="1"/>
    <col min="15661" max="15661" width="8.75" style="2" bestFit="1" customWidth="1"/>
    <col min="15662" max="15662" width="7.75" style="2" customWidth="1"/>
    <col min="15663" max="15663" width="9.125" style="2" customWidth="1"/>
    <col min="15664" max="15664" width="9.875" style="2" customWidth="1"/>
    <col min="15665" max="15665" width="7.75" style="2" customWidth="1"/>
    <col min="15666" max="15666" width="9.375" style="2" customWidth="1"/>
    <col min="15667" max="15667" width="9" style="2"/>
    <col min="15668" max="15668" width="5.875" style="2" customWidth="1"/>
    <col min="15669" max="15669" width="7.125" style="2" customWidth="1"/>
    <col min="15670" max="15670" width="8.125" style="2" customWidth="1"/>
    <col min="15671" max="15671" width="10.25" style="2" customWidth="1"/>
    <col min="15672" max="15892" width="9" style="2"/>
    <col min="15893" max="15893" width="36.875" style="2" bestFit="1" customWidth="1"/>
    <col min="15894" max="15894" width="7.125" style="2" customWidth="1"/>
    <col min="15895" max="15895" width="6" style="2" customWidth="1"/>
    <col min="15896" max="15896" width="5.75" style="2" customWidth="1"/>
    <col min="15897" max="15897" width="10.5" style="2" customWidth="1"/>
    <col min="15898" max="15898" width="7.5" style="2" customWidth="1"/>
    <col min="15899" max="15899" width="6.375" style="2" customWidth="1"/>
    <col min="15900" max="15900" width="6.5" style="2" customWidth="1"/>
    <col min="15901" max="15901" width="6.375" style="2" customWidth="1"/>
    <col min="15902" max="15902" width="7.875" style="2" customWidth="1"/>
    <col min="15903" max="15903" width="7.75" style="2" customWidth="1"/>
    <col min="15904" max="15907" width="6.5" style="2" customWidth="1"/>
    <col min="15908" max="15908" width="6.875" style="2" customWidth="1"/>
    <col min="15909" max="15909" width="9" style="2"/>
    <col min="15910" max="15910" width="6.125" style="2" customWidth="1"/>
    <col min="15911" max="15911" width="7.5" style="2" customWidth="1"/>
    <col min="15912" max="15912" width="7.625" style="2" customWidth="1"/>
    <col min="15913" max="15913" width="7.75" style="2" customWidth="1"/>
    <col min="15914" max="15914" width="10.125" style="2" bestFit="1" customWidth="1"/>
    <col min="15915" max="15915" width="12" style="2" customWidth="1"/>
    <col min="15916" max="15916" width="10.25" style="2" bestFit="1" customWidth="1"/>
    <col min="15917" max="15917" width="8.75" style="2" bestFit="1" customWidth="1"/>
    <col min="15918" max="15918" width="7.75" style="2" customWidth="1"/>
    <col min="15919" max="15919" width="9.125" style="2" customWidth="1"/>
    <col min="15920" max="15920" width="9.875" style="2" customWidth="1"/>
    <col min="15921" max="15921" width="7.75" style="2" customWidth="1"/>
    <col min="15922" max="15922" width="9.375" style="2" customWidth="1"/>
    <col min="15923" max="15923" width="9" style="2"/>
    <col min="15924" max="15924" width="5.875" style="2" customWidth="1"/>
    <col min="15925" max="15925" width="7.125" style="2" customWidth="1"/>
    <col min="15926" max="15926" width="8.125" style="2" customWidth="1"/>
    <col min="15927" max="15927" width="10.25" style="2" customWidth="1"/>
    <col min="15928" max="16148" width="9" style="2"/>
    <col min="16149" max="16149" width="36.875" style="2" bestFit="1" customWidth="1"/>
    <col min="16150" max="16150" width="7.125" style="2" customWidth="1"/>
    <col min="16151" max="16151" width="6" style="2" customWidth="1"/>
    <col min="16152" max="16152" width="5.75" style="2" customWidth="1"/>
    <col min="16153" max="16153" width="10.5" style="2" customWidth="1"/>
    <col min="16154" max="16154" width="7.5" style="2" customWidth="1"/>
    <col min="16155" max="16155" width="6.375" style="2" customWidth="1"/>
    <col min="16156" max="16156" width="6.5" style="2" customWidth="1"/>
    <col min="16157" max="16157" width="6.375" style="2" customWidth="1"/>
    <col min="16158" max="16158" width="7.875" style="2" customWidth="1"/>
    <col min="16159" max="16159" width="7.75" style="2" customWidth="1"/>
    <col min="16160" max="16163" width="6.5" style="2" customWidth="1"/>
    <col min="16164" max="16164" width="6.875" style="2" customWidth="1"/>
    <col min="16165" max="16165" width="9" style="2"/>
    <col min="16166" max="16166" width="6.125" style="2" customWidth="1"/>
    <col min="16167" max="16167" width="7.5" style="2" customWidth="1"/>
    <col min="16168" max="16168" width="7.625" style="2" customWidth="1"/>
    <col min="16169" max="16169" width="7.75" style="2" customWidth="1"/>
    <col min="16170" max="16170" width="10.125" style="2" bestFit="1" customWidth="1"/>
    <col min="16171" max="16171" width="12" style="2" customWidth="1"/>
    <col min="16172" max="16172" width="10.25" style="2" bestFit="1" customWidth="1"/>
    <col min="16173" max="16173" width="8.75" style="2" bestFit="1" customWidth="1"/>
    <col min="16174" max="16174" width="7.75" style="2" customWidth="1"/>
    <col min="16175" max="16175" width="9.125" style="2" customWidth="1"/>
    <col min="16176" max="16176" width="9.875" style="2" customWidth="1"/>
    <col min="16177" max="16177" width="7.75" style="2" customWidth="1"/>
    <col min="16178" max="16178" width="9.375" style="2" customWidth="1"/>
    <col min="16179" max="16179" width="9" style="2"/>
    <col min="16180" max="16180" width="5.875" style="2" customWidth="1"/>
    <col min="16181" max="16181" width="7.125" style="2" customWidth="1"/>
    <col min="16182" max="16182" width="8.125" style="2" customWidth="1"/>
    <col min="16183" max="16183" width="10.25" style="2" customWidth="1"/>
    <col min="16184" max="16384" width="9" style="2"/>
  </cols>
  <sheetData>
    <row r="1" spans="1:102" ht="19.5" customHeight="1" x14ac:dyDescent="0.25">
      <c r="E1" s="13"/>
      <c r="BC1" s="51" t="s">
        <v>93</v>
      </c>
    </row>
    <row r="2" spans="1:102" ht="21" customHeight="1" x14ac:dyDescent="0.25">
      <c r="BC2" s="52" t="s">
        <v>0</v>
      </c>
    </row>
    <row r="3" spans="1:102" ht="15.75" customHeight="1" x14ac:dyDescent="0.25">
      <c r="BC3" s="52" t="s">
        <v>94</v>
      </c>
    </row>
    <row r="4" spans="1:102" ht="22.5" customHeight="1" x14ac:dyDescent="0.3">
      <c r="A4" s="121" t="s">
        <v>92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7"/>
      <c r="BS4" s="7"/>
      <c r="BT4" s="7"/>
      <c r="BU4" s="7"/>
      <c r="BV4" s="7"/>
      <c r="BW4" s="7"/>
      <c r="BX4" s="7"/>
      <c r="BY4" s="7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4" customFormat="1" ht="21.75" customHeight="1" x14ac:dyDescent="0.3">
      <c r="A5" s="132" t="s">
        <v>908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9"/>
      <c r="BE5" s="9"/>
      <c r="BF5" s="9"/>
      <c r="BG5" s="9"/>
      <c r="BH5" s="9"/>
    </row>
    <row r="6" spans="1:102" s="4" customFormat="1" ht="24.75" customHeight="1" x14ac:dyDescent="0.3">
      <c r="A6" s="65"/>
      <c r="B6" s="65"/>
      <c r="C6" s="65"/>
      <c r="D6" s="68"/>
      <c r="E6" s="68"/>
      <c r="F6" s="68"/>
      <c r="G6" s="68"/>
      <c r="H6" s="68"/>
      <c r="I6" s="68"/>
      <c r="J6" s="68"/>
      <c r="K6" s="16"/>
      <c r="L6" s="16"/>
      <c r="M6" s="16"/>
      <c r="N6" s="16"/>
      <c r="O6" s="17"/>
      <c r="P6" s="17"/>
      <c r="Q6" s="17"/>
      <c r="R6" s="17"/>
      <c r="S6" s="17"/>
      <c r="T6" s="16"/>
      <c r="U6" s="16"/>
      <c r="V6" s="16"/>
      <c r="W6" s="16"/>
      <c r="X6" s="16"/>
      <c r="Y6" s="16"/>
      <c r="Z6" s="16"/>
      <c r="AA6" s="16"/>
      <c r="AB6" s="16"/>
      <c r="AC6" s="16"/>
      <c r="AD6" s="48"/>
      <c r="AE6" s="48"/>
      <c r="AF6" s="16"/>
      <c r="AG6" s="16"/>
      <c r="AH6" s="16"/>
      <c r="AI6" s="16"/>
      <c r="AJ6" s="16"/>
      <c r="AK6" s="16"/>
      <c r="AL6" s="16"/>
      <c r="AM6" s="16"/>
      <c r="AN6" s="16"/>
      <c r="AO6" s="17"/>
      <c r="AP6" s="17"/>
      <c r="AQ6" s="17"/>
      <c r="AR6" s="17"/>
      <c r="AS6" s="17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9"/>
      <c r="BE6" s="9"/>
      <c r="BF6" s="9"/>
      <c r="BG6" s="9"/>
      <c r="BH6" s="9"/>
    </row>
    <row r="7" spans="1:102" ht="19.5" customHeight="1" x14ac:dyDescent="0.25">
      <c r="A7" s="122" t="s">
        <v>96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</row>
    <row r="8" spans="1:102" ht="21.75" customHeight="1" x14ac:dyDescent="0.25">
      <c r="A8" s="123" t="s">
        <v>37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</row>
    <row r="9" spans="1:102" ht="25.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46"/>
      <c r="AD9" s="41"/>
      <c r="AE9" s="41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</row>
    <row r="10" spans="1:102" ht="20.25" customHeight="1" x14ac:dyDescent="0.3">
      <c r="A10" s="121" t="s">
        <v>97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"/>
      <c r="CW10" s="1"/>
      <c r="CX10" s="1"/>
    </row>
    <row r="11" spans="1:102" ht="18" customHeight="1" x14ac:dyDescent="0.3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45"/>
      <c r="AD11" s="42"/>
      <c r="AE11" s="42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"/>
      <c r="CW11" s="1"/>
      <c r="CX11" s="1"/>
    </row>
    <row r="12" spans="1:102" ht="17.25" customHeight="1" x14ac:dyDescent="0.3">
      <c r="A12" s="63"/>
      <c r="B12" s="63"/>
      <c r="C12" s="63"/>
      <c r="D12" s="63"/>
      <c r="E12" s="63"/>
      <c r="F12" s="63"/>
      <c r="G12" s="122" t="s">
        <v>691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"/>
      <c r="CW12" s="1"/>
      <c r="CX12" s="1"/>
    </row>
    <row r="13" spans="1:102" ht="19.5" customHeight="1" x14ac:dyDescent="0.3">
      <c r="A13" s="63"/>
      <c r="B13" s="63"/>
      <c r="C13" s="63"/>
      <c r="D13" s="69"/>
      <c r="E13" s="69"/>
      <c r="F13" s="69"/>
      <c r="G13" s="154" t="s">
        <v>692</v>
      </c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9"/>
      <c r="AP13" s="19"/>
      <c r="AQ13" s="19"/>
      <c r="AR13" s="19"/>
      <c r="AS13" s="19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"/>
      <c r="CW13" s="1"/>
      <c r="CX13" s="1"/>
    </row>
    <row r="14" spans="1:102" ht="15.75" customHeight="1" x14ac:dyDescent="0.25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</row>
    <row r="15" spans="1:102" ht="51.75" customHeight="1" x14ac:dyDescent="0.25">
      <c r="A15" s="133" t="s">
        <v>7</v>
      </c>
      <c r="B15" s="133" t="s">
        <v>5</v>
      </c>
      <c r="C15" s="125" t="s">
        <v>1</v>
      </c>
      <c r="D15" s="133" t="s">
        <v>98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 t="s">
        <v>99</v>
      </c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</row>
    <row r="16" spans="1:102" ht="51.75" customHeight="1" x14ac:dyDescent="0.25">
      <c r="A16" s="133"/>
      <c r="B16" s="133"/>
      <c r="C16" s="139"/>
      <c r="D16" s="66" t="s">
        <v>2</v>
      </c>
      <c r="E16" s="140" t="s">
        <v>3</v>
      </c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2"/>
      <c r="AD16" s="54" t="s">
        <v>2</v>
      </c>
      <c r="AE16" s="143" t="s">
        <v>3</v>
      </c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  <c r="AT16" s="144"/>
      <c r="AU16" s="144"/>
      <c r="AV16" s="144"/>
      <c r="AW16" s="144"/>
      <c r="AX16" s="144"/>
      <c r="AY16" s="144"/>
      <c r="AZ16" s="144"/>
      <c r="BA16" s="144"/>
      <c r="BB16" s="144"/>
      <c r="BC16" s="145"/>
    </row>
    <row r="17" spans="1:97" ht="22.5" customHeight="1" x14ac:dyDescent="0.25">
      <c r="A17" s="133"/>
      <c r="B17" s="133"/>
      <c r="C17" s="139"/>
      <c r="D17" s="125" t="s">
        <v>4</v>
      </c>
      <c r="E17" s="140" t="s">
        <v>4</v>
      </c>
      <c r="F17" s="141"/>
      <c r="G17" s="141"/>
      <c r="H17" s="141"/>
      <c r="I17" s="142"/>
      <c r="J17" s="129" t="s">
        <v>8</v>
      </c>
      <c r="K17" s="129"/>
      <c r="L17" s="129"/>
      <c r="M17" s="129"/>
      <c r="N17" s="129"/>
      <c r="O17" s="130" t="s">
        <v>9</v>
      </c>
      <c r="P17" s="130"/>
      <c r="Q17" s="130"/>
      <c r="R17" s="130"/>
      <c r="S17" s="130"/>
      <c r="T17" s="131" t="s">
        <v>11</v>
      </c>
      <c r="U17" s="131"/>
      <c r="V17" s="131"/>
      <c r="W17" s="131"/>
      <c r="X17" s="131"/>
      <c r="Y17" s="135" t="s">
        <v>10</v>
      </c>
      <c r="Z17" s="135"/>
      <c r="AA17" s="135"/>
      <c r="AB17" s="135"/>
      <c r="AC17" s="135"/>
      <c r="AD17" s="127" t="s">
        <v>4</v>
      </c>
      <c r="AE17" s="146" t="s">
        <v>4</v>
      </c>
      <c r="AF17" s="147"/>
      <c r="AG17" s="147"/>
      <c r="AH17" s="147"/>
      <c r="AI17" s="148"/>
      <c r="AJ17" s="131" t="s">
        <v>8</v>
      </c>
      <c r="AK17" s="131"/>
      <c r="AL17" s="131"/>
      <c r="AM17" s="131"/>
      <c r="AN17" s="131"/>
      <c r="AO17" s="130" t="s">
        <v>9</v>
      </c>
      <c r="AP17" s="130"/>
      <c r="AQ17" s="130"/>
      <c r="AR17" s="130"/>
      <c r="AS17" s="130"/>
      <c r="AT17" s="149" t="s">
        <v>11</v>
      </c>
      <c r="AU17" s="149"/>
      <c r="AV17" s="149"/>
      <c r="AW17" s="149"/>
      <c r="AX17" s="149"/>
      <c r="AY17" s="124" t="s">
        <v>10</v>
      </c>
      <c r="AZ17" s="124"/>
      <c r="BA17" s="124"/>
      <c r="BB17" s="124"/>
      <c r="BC17" s="124"/>
    </row>
    <row r="18" spans="1:97" ht="194.25" customHeight="1" x14ac:dyDescent="0.25">
      <c r="A18" s="133"/>
      <c r="B18" s="133"/>
      <c r="C18" s="126"/>
      <c r="D18" s="126"/>
      <c r="E18" s="70" t="s">
        <v>95</v>
      </c>
      <c r="F18" s="70" t="s">
        <v>42</v>
      </c>
      <c r="G18" s="70" t="s">
        <v>43</v>
      </c>
      <c r="H18" s="70" t="s">
        <v>6</v>
      </c>
      <c r="I18" s="70" t="s">
        <v>44</v>
      </c>
      <c r="J18" s="70" t="s">
        <v>95</v>
      </c>
      <c r="K18" s="21" t="s">
        <v>42</v>
      </c>
      <c r="L18" s="21" t="s">
        <v>43</v>
      </c>
      <c r="M18" s="21" t="s">
        <v>6</v>
      </c>
      <c r="N18" s="21" t="s">
        <v>44</v>
      </c>
      <c r="O18" s="22" t="s">
        <v>95</v>
      </c>
      <c r="P18" s="22" t="s">
        <v>42</v>
      </c>
      <c r="Q18" s="22" t="s">
        <v>43</v>
      </c>
      <c r="R18" s="22" t="s">
        <v>6</v>
      </c>
      <c r="S18" s="22" t="s">
        <v>44</v>
      </c>
      <c r="T18" s="21" t="s">
        <v>95</v>
      </c>
      <c r="U18" s="21" t="s">
        <v>42</v>
      </c>
      <c r="V18" s="21" t="s">
        <v>43</v>
      </c>
      <c r="W18" s="21" t="s">
        <v>6</v>
      </c>
      <c r="X18" s="21" t="s">
        <v>44</v>
      </c>
      <c r="Y18" s="21" t="s">
        <v>95</v>
      </c>
      <c r="Z18" s="21" t="s">
        <v>42</v>
      </c>
      <c r="AA18" s="21" t="s">
        <v>43</v>
      </c>
      <c r="AB18" s="21" t="s">
        <v>6</v>
      </c>
      <c r="AC18" s="21" t="s">
        <v>44</v>
      </c>
      <c r="AD18" s="128"/>
      <c r="AE18" s="49" t="s">
        <v>95</v>
      </c>
      <c r="AF18" s="21" t="s">
        <v>42</v>
      </c>
      <c r="AG18" s="21" t="s">
        <v>43</v>
      </c>
      <c r="AH18" s="21" t="s">
        <v>6</v>
      </c>
      <c r="AI18" s="21" t="s">
        <v>44</v>
      </c>
      <c r="AJ18" s="21" t="s">
        <v>95</v>
      </c>
      <c r="AK18" s="21" t="s">
        <v>42</v>
      </c>
      <c r="AL18" s="21" t="s">
        <v>43</v>
      </c>
      <c r="AM18" s="21" t="s">
        <v>6</v>
      </c>
      <c r="AN18" s="21" t="s">
        <v>44</v>
      </c>
      <c r="AO18" s="22" t="s">
        <v>95</v>
      </c>
      <c r="AP18" s="22" t="s">
        <v>42</v>
      </c>
      <c r="AQ18" s="22" t="s">
        <v>43</v>
      </c>
      <c r="AR18" s="22" t="s">
        <v>6</v>
      </c>
      <c r="AS18" s="22" t="s">
        <v>44</v>
      </c>
      <c r="AT18" s="23" t="s">
        <v>95</v>
      </c>
      <c r="AU18" s="23" t="s">
        <v>42</v>
      </c>
      <c r="AV18" s="23" t="s">
        <v>43</v>
      </c>
      <c r="AW18" s="23" t="s">
        <v>6</v>
      </c>
      <c r="AX18" s="23" t="s">
        <v>44</v>
      </c>
      <c r="AY18" s="23" t="s">
        <v>95</v>
      </c>
      <c r="AZ18" s="23" t="s">
        <v>42</v>
      </c>
      <c r="BA18" s="23" t="s">
        <v>43</v>
      </c>
      <c r="BB18" s="23" t="s">
        <v>6</v>
      </c>
      <c r="BC18" s="23" t="s">
        <v>44</v>
      </c>
    </row>
    <row r="19" spans="1:97" s="6" customFormat="1" x14ac:dyDescent="0.25">
      <c r="A19" s="24">
        <v>1</v>
      </c>
      <c r="B19" s="25"/>
      <c r="C19" s="25">
        <f>B19+1</f>
        <v>1</v>
      </c>
      <c r="D19" s="25">
        <v>4</v>
      </c>
      <c r="E19" s="25" t="s">
        <v>12</v>
      </c>
      <c r="F19" s="25" t="s">
        <v>13</v>
      </c>
      <c r="G19" s="25" t="s">
        <v>14</v>
      </c>
      <c r="H19" s="25" t="s">
        <v>15</v>
      </c>
      <c r="I19" s="25" t="s">
        <v>16</v>
      </c>
      <c r="J19" s="25" t="s">
        <v>17</v>
      </c>
      <c r="K19" s="26" t="s">
        <v>18</v>
      </c>
      <c r="L19" s="26" t="s">
        <v>19</v>
      </c>
      <c r="M19" s="26" t="s">
        <v>20</v>
      </c>
      <c r="N19" s="26" t="s">
        <v>21</v>
      </c>
      <c r="O19" s="27" t="s">
        <v>22</v>
      </c>
      <c r="P19" s="27" t="s">
        <v>23</v>
      </c>
      <c r="Q19" s="27" t="s">
        <v>24</v>
      </c>
      <c r="R19" s="27" t="s">
        <v>25</v>
      </c>
      <c r="S19" s="27" t="s">
        <v>26</v>
      </c>
      <c r="T19" s="26" t="s">
        <v>27</v>
      </c>
      <c r="U19" s="26" t="s">
        <v>28</v>
      </c>
      <c r="V19" s="26" t="s">
        <v>29</v>
      </c>
      <c r="W19" s="26" t="s">
        <v>30</v>
      </c>
      <c r="X19" s="26" t="s">
        <v>31</v>
      </c>
      <c r="Y19" s="26" t="s">
        <v>32</v>
      </c>
      <c r="Z19" s="26" t="s">
        <v>33</v>
      </c>
      <c r="AA19" s="26" t="s">
        <v>34</v>
      </c>
      <c r="AB19" s="26" t="s">
        <v>35</v>
      </c>
      <c r="AC19" s="26" t="s">
        <v>36</v>
      </c>
      <c r="AD19" s="50">
        <v>6</v>
      </c>
      <c r="AE19" s="50" t="s">
        <v>38</v>
      </c>
      <c r="AF19" s="26" t="s">
        <v>39</v>
      </c>
      <c r="AG19" s="26" t="s">
        <v>40</v>
      </c>
      <c r="AH19" s="26" t="s">
        <v>41</v>
      </c>
      <c r="AI19" s="26" t="s">
        <v>67</v>
      </c>
      <c r="AJ19" s="26" t="s">
        <v>68</v>
      </c>
      <c r="AK19" s="26" t="s">
        <v>69</v>
      </c>
      <c r="AL19" s="26" t="s">
        <v>70</v>
      </c>
      <c r="AM19" s="26" t="s">
        <v>71</v>
      </c>
      <c r="AN19" s="26" t="s">
        <v>72</v>
      </c>
      <c r="AO19" s="27" t="s">
        <v>73</v>
      </c>
      <c r="AP19" s="27" t="s">
        <v>74</v>
      </c>
      <c r="AQ19" s="27" t="s">
        <v>75</v>
      </c>
      <c r="AR19" s="27" t="s">
        <v>76</v>
      </c>
      <c r="AS19" s="27" t="s">
        <v>77</v>
      </c>
      <c r="AT19" s="28" t="s">
        <v>78</v>
      </c>
      <c r="AU19" s="28" t="s">
        <v>79</v>
      </c>
      <c r="AV19" s="28" t="s">
        <v>80</v>
      </c>
      <c r="AW19" s="28" t="s">
        <v>81</v>
      </c>
      <c r="AX19" s="28" t="s">
        <v>82</v>
      </c>
      <c r="AY19" s="28" t="s">
        <v>83</v>
      </c>
      <c r="AZ19" s="28" t="s">
        <v>84</v>
      </c>
      <c r="BA19" s="28" t="s">
        <v>85</v>
      </c>
      <c r="BB19" s="28" t="s">
        <v>86</v>
      </c>
      <c r="BC19" s="28" t="s">
        <v>87</v>
      </c>
    </row>
    <row r="20" spans="1:97" s="55" customFormat="1" ht="35.25" customHeight="1" x14ac:dyDescent="0.25">
      <c r="A20" s="71" t="s">
        <v>100</v>
      </c>
      <c r="B20" s="72" t="s">
        <v>45</v>
      </c>
      <c r="C20" s="73" t="s">
        <v>101</v>
      </c>
      <c r="D20" s="74">
        <f>D21+D22+D23+D24+D25+D26</f>
        <v>357.37923074000008</v>
      </c>
      <c r="E20" s="75">
        <f>J20+O20+T20+Y20</f>
        <v>299.23256245200002</v>
      </c>
      <c r="F20" s="75">
        <f t="shared" ref="F20:I20" si="0">K20+P20+U20+Z20</f>
        <v>6.9330412320000008</v>
      </c>
      <c r="G20" s="75">
        <f t="shared" si="0"/>
        <v>83.44501857600001</v>
      </c>
      <c r="H20" s="75">
        <f t="shared" si="0"/>
        <v>208.85450264400001</v>
      </c>
      <c r="I20" s="75">
        <f t="shared" si="0"/>
        <v>0</v>
      </c>
      <c r="J20" s="75">
        <f>J21+J22+J23+J24+J25+J26</f>
        <v>43.817229384000001</v>
      </c>
      <c r="K20" s="75">
        <f t="shared" ref="K20:N20" si="1">K21+K22+K23+K24+K25+K26</f>
        <v>0.95962619999999998</v>
      </c>
      <c r="L20" s="75">
        <f t="shared" si="1"/>
        <v>9.3059244720000009</v>
      </c>
      <c r="M20" s="75">
        <f t="shared" si="1"/>
        <v>33.551678711999998</v>
      </c>
      <c r="N20" s="75">
        <f t="shared" si="1"/>
        <v>0</v>
      </c>
      <c r="O20" s="75">
        <f>O21+O22+O23+O24+O25+O26</f>
        <v>38.294204496000006</v>
      </c>
      <c r="P20" s="76">
        <f t="shared" ref="P20:S20" si="2">P21+P22+P23+P24+P25+P26</f>
        <v>1.018423992</v>
      </c>
      <c r="Q20" s="76">
        <f t="shared" si="2"/>
        <v>22.194927912000001</v>
      </c>
      <c r="R20" s="76">
        <f t="shared" si="2"/>
        <v>15.080852591999998</v>
      </c>
      <c r="S20" s="75">
        <f t="shared" si="2"/>
        <v>0</v>
      </c>
      <c r="T20" s="118">
        <f>T21+T22+T24+T26</f>
        <v>63.579917760000008</v>
      </c>
      <c r="U20" s="118">
        <f t="shared" ref="U20:X20" si="3">U21+U22+U24+U26</f>
        <v>3.1352568960000005</v>
      </c>
      <c r="V20" s="118">
        <f t="shared" si="3"/>
        <v>21.649772927999997</v>
      </c>
      <c r="W20" s="118">
        <f t="shared" si="3"/>
        <v>38.794887936000002</v>
      </c>
      <c r="X20" s="118">
        <f t="shared" si="3"/>
        <v>0</v>
      </c>
      <c r="Y20" s="118">
        <f>Y21+Y22+Y24+Y26</f>
        <v>153.541210812</v>
      </c>
      <c r="Z20" s="118">
        <f t="shared" ref="Z20:AC20" si="4">Z21+Z22+Z24+Z26</f>
        <v>1.8197341439999999</v>
      </c>
      <c r="AA20" s="118">
        <f t="shared" si="4"/>
        <v>30.294393264000004</v>
      </c>
      <c r="AB20" s="118">
        <f t="shared" si="4"/>
        <v>121.427083404</v>
      </c>
      <c r="AC20" s="53">
        <f t="shared" si="4"/>
        <v>0</v>
      </c>
      <c r="AD20" s="35">
        <f>AD21+AD22+AD23+AD24+AD25+AD26</f>
        <v>297.81601549161871</v>
      </c>
      <c r="AE20" s="35">
        <f>AJ20+AO20+AT20+AY20</f>
        <v>277.87595555000001</v>
      </c>
      <c r="AF20" s="35">
        <f t="shared" ref="AF20:AI35" si="5">AK20+AP20+AU20+AZ20</f>
        <v>6.3223840119999997</v>
      </c>
      <c r="AG20" s="35">
        <f t="shared" si="5"/>
        <v>98.474260889999996</v>
      </c>
      <c r="AH20" s="35">
        <f t="shared" si="5"/>
        <v>178.06690648</v>
      </c>
      <c r="AI20" s="35">
        <f t="shared" si="5"/>
        <v>2.4937979159999997</v>
      </c>
      <c r="AJ20" s="35">
        <f>AJ21+AJ22+AJ23+AJ24+AJ25+AJ26</f>
        <v>43.623718589999996</v>
      </c>
      <c r="AK20" s="35">
        <f t="shared" ref="AK20:AN20" si="6">AK21+AK22+AK23+AK24+AK25+AK26</f>
        <v>0.72911919999999997</v>
      </c>
      <c r="AL20" s="35">
        <f t="shared" si="6"/>
        <v>12.35204658</v>
      </c>
      <c r="AM20" s="35">
        <f t="shared" si="6"/>
        <v>30.54255281</v>
      </c>
      <c r="AN20" s="35">
        <f t="shared" si="6"/>
        <v>0</v>
      </c>
      <c r="AO20" s="53">
        <f>AO21+AO22+AO23+AO24+AO25+AO26</f>
        <v>30.007436890000001</v>
      </c>
      <c r="AP20" s="53">
        <f t="shared" ref="AP20:AS20" si="7">AP21+AP22+AP23+AP24+AP25+AP26</f>
        <v>0.71048754600000008</v>
      </c>
      <c r="AQ20" s="53">
        <f t="shared" si="7"/>
        <v>18.891165549999997</v>
      </c>
      <c r="AR20" s="53">
        <f t="shared" si="7"/>
        <v>12.899581710000003</v>
      </c>
      <c r="AS20" s="53">
        <f t="shared" si="7"/>
        <v>2.4937979159999997</v>
      </c>
      <c r="AT20" s="53">
        <f>AT21+AT22+AT23+AT24+AT25+AT26</f>
        <v>49.44534852000001</v>
      </c>
      <c r="AU20" s="53">
        <f t="shared" ref="AU20:AX20" si="8">AU21+AU22+AU23+AU24+AU25+AU26</f>
        <v>1.3715531760000002</v>
      </c>
      <c r="AV20" s="53">
        <f t="shared" si="8"/>
        <v>19.873089030000003</v>
      </c>
      <c r="AW20" s="53">
        <f t="shared" si="8"/>
        <v>30.69450423</v>
      </c>
      <c r="AX20" s="53">
        <f t="shared" si="8"/>
        <v>0</v>
      </c>
      <c r="AY20" s="53">
        <f>AY21+AY22+AY24+AY26</f>
        <v>154.79945155000001</v>
      </c>
      <c r="AZ20" s="53">
        <f t="shared" ref="AZ20:BC20" si="9">AZ21+AZ22+AZ24+AZ26</f>
        <v>3.5112240899999998</v>
      </c>
      <c r="BA20" s="53">
        <f t="shared" si="9"/>
        <v>47.357959729999997</v>
      </c>
      <c r="BB20" s="53">
        <f t="shared" si="9"/>
        <v>103.93026773000001</v>
      </c>
      <c r="BC20" s="53">
        <f t="shared" si="9"/>
        <v>0</v>
      </c>
    </row>
    <row r="21" spans="1:97" s="55" customFormat="1" ht="25.5" customHeight="1" x14ac:dyDescent="0.25">
      <c r="A21" s="71" t="s">
        <v>102</v>
      </c>
      <c r="B21" s="72" t="s">
        <v>103</v>
      </c>
      <c r="C21" s="73" t="s">
        <v>101</v>
      </c>
      <c r="D21" s="74">
        <f>D28</f>
        <v>113.640302873984</v>
      </c>
      <c r="E21" s="75">
        <f t="shared" ref="E21:I73" si="10">J21+O21+T21+Y21</f>
        <v>94.968026160000008</v>
      </c>
      <c r="F21" s="75">
        <f t="shared" ref="F21:I35" si="11">K21+P21+U21+Z21</f>
        <v>4.9784589720000003</v>
      </c>
      <c r="G21" s="75">
        <f t="shared" si="11"/>
        <v>45.478588452000004</v>
      </c>
      <c r="H21" s="75">
        <f t="shared" si="11"/>
        <v>44.510978735999998</v>
      </c>
      <c r="I21" s="75">
        <f t="shared" si="11"/>
        <v>0</v>
      </c>
      <c r="J21" s="75">
        <f>J28</f>
        <v>10.398104916000001</v>
      </c>
      <c r="K21" s="75">
        <f t="shared" ref="K21:N21" si="12">K28</f>
        <v>0.61265256000000001</v>
      </c>
      <c r="L21" s="75">
        <f t="shared" si="12"/>
        <v>4.9081660680000008</v>
      </c>
      <c r="M21" s="75">
        <f t="shared" si="12"/>
        <v>4.8772862879999987</v>
      </c>
      <c r="N21" s="75">
        <f t="shared" si="12"/>
        <v>0</v>
      </c>
      <c r="O21" s="75">
        <f>O28</f>
        <v>23.482189488000003</v>
      </c>
      <c r="P21" s="76">
        <f t="shared" ref="P21:S21" si="13">P28</f>
        <v>0.60269680800000003</v>
      </c>
      <c r="Q21" s="76">
        <f t="shared" si="13"/>
        <v>16.256846328000002</v>
      </c>
      <c r="R21" s="76">
        <f t="shared" si="13"/>
        <v>6.6226463520000012</v>
      </c>
      <c r="S21" s="75">
        <f t="shared" si="13"/>
        <v>0</v>
      </c>
      <c r="T21" s="118">
        <f>T28</f>
        <v>43.384248828000004</v>
      </c>
      <c r="U21" s="118">
        <f t="shared" ref="U21:X21" si="14">U28</f>
        <v>2.6089960440000004</v>
      </c>
      <c r="V21" s="118">
        <f t="shared" si="14"/>
        <v>16.433136527999999</v>
      </c>
      <c r="W21" s="118">
        <f t="shared" si="14"/>
        <v>24.342116256000001</v>
      </c>
      <c r="X21" s="118">
        <f t="shared" si="14"/>
        <v>0</v>
      </c>
      <c r="Y21" s="118">
        <f>Y28</f>
        <v>17.703482928000003</v>
      </c>
      <c r="Z21" s="118">
        <f t="shared" ref="Z21:AC21" si="15">Z28</f>
        <v>1.1541135600000001</v>
      </c>
      <c r="AA21" s="118">
        <f t="shared" si="15"/>
        <v>7.880439528000001</v>
      </c>
      <c r="AB21" s="118">
        <f t="shared" si="15"/>
        <v>8.6689298400000006</v>
      </c>
      <c r="AC21" s="53">
        <f t="shared" si="15"/>
        <v>0</v>
      </c>
      <c r="AD21" s="35">
        <f>AD28</f>
        <v>94.700241279938695</v>
      </c>
      <c r="AE21" s="35">
        <f t="shared" ref="AE21:AI73" si="16">AJ21+AO21+AT21+AY21</f>
        <v>103.96036365000001</v>
      </c>
      <c r="AF21" s="35">
        <f t="shared" si="5"/>
        <v>4.2332589299999999</v>
      </c>
      <c r="AG21" s="35">
        <f t="shared" si="5"/>
        <v>50.048895540000004</v>
      </c>
      <c r="AH21" s="35">
        <f t="shared" si="5"/>
        <v>49.678209180000003</v>
      </c>
      <c r="AI21" s="35">
        <f t="shared" si="5"/>
        <v>0</v>
      </c>
      <c r="AJ21" s="35">
        <f>AJ28</f>
        <v>12.232261580000001</v>
      </c>
      <c r="AK21" s="35">
        <f t="shared" ref="AK21:AN21" si="17">AK28</f>
        <v>0.38703225000000008</v>
      </c>
      <c r="AL21" s="35">
        <f t="shared" si="17"/>
        <v>5.65566324</v>
      </c>
      <c r="AM21" s="35">
        <f t="shared" si="17"/>
        <v>6.1895660899999996</v>
      </c>
      <c r="AN21" s="35">
        <f t="shared" si="17"/>
        <v>0</v>
      </c>
      <c r="AO21" s="53">
        <f>AO28</f>
        <v>17.11922229</v>
      </c>
      <c r="AP21" s="53">
        <f t="shared" ref="AP21:AS21" si="18">AP28</f>
        <v>0.35838892000000006</v>
      </c>
      <c r="AQ21" s="53">
        <f t="shared" si="18"/>
        <v>11.05964546</v>
      </c>
      <c r="AR21" s="53">
        <f t="shared" si="18"/>
        <v>5.7011879100000007</v>
      </c>
      <c r="AS21" s="53">
        <f t="shared" si="18"/>
        <v>0</v>
      </c>
      <c r="AT21" s="53">
        <f>AT28</f>
        <v>33.352740130000008</v>
      </c>
      <c r="AU21" s="53">
        <f t="shared" ref="AU21:AX21" si="19">AU28</f>
        <v>1.1079785000000002</v>
      </c>
      <c r="AV21" s="53">
        <f t="shared" si="19"/>
        <v>12.995394220000001</v>
      </c>
      <c r="AW21" s="53">
        <f t="shared" si="19"/>
        <v>19.249367410000001</v>
      </c>
      <c r="AX21" s="53">
        <f t="shared" si="19"/>
        <v>0</v>
      </c>
      <c r="AY21" s="53">
        <f>AY28</f>
        <v>41.256139650000001</v>
      </c>
      <c r="AZ21" s="53">
        <f t="shared" ref="AZ21:BC21" si="20">AZ28</f>
        <v>2.3798592599999999</v>
      </c>
      <c r="BA21" s="53">
        <f t="shared" si="20"/>
        <v>20.338192620000001</v>
      </c>
      <c r="BB21" s="53">
        <f t="shared" si="20"/>
        <v>18.538087770000001</v>
      </c>
      <c r="BC21" s="53">
        <f t="shared" si="20"/>
        <v>0</v>
      </c>
    </row>
    <row r="22" spans="1:97" s="55" customFormat="1" ht="37.5" customHeight="1" x14ac:dyDescent="0.3">
      <c r="A22" s="71" t="s">
        <v>104</v>
      </c>
      <c r="B22" s="72" t="s">
        <v>105</v>
      </c>
      <c r="C22" s="73" t="s">
        <v>101</v>
      </c>
      <c r="D22" s="74">
        <f>D125</f>
        <v>160.74550229056274</v>
      </c>
      <c r="E22" s="75">
        <f t="shared" si="10"/>
        <v>115.12294576799999</v>
      </c>
      <c r="F22" s="75">
        <f t="shared" si="11"/>
        <v>1.56500226</v>
      </c>
      <c r="G22" s="75">
        <f t="shared" si="11"/>
        <v>32.307248244</v>
      </c>
      <c r="H22" s="75">
        <f t="shared" si="11"/>
        <v>81.250695263999987</v>
      </c>
      <c r="I22" s="75">
        <f t="shared" si="11"/>
        <v>0</v>
      </c>
      <c r="J22" s="75">
        <f>J125</f>
        <v>22.333238231999999</v>
      </c>
      <c r="K22" s="75">
        <f t="shared" ref="K22:N22" si="21">K125</f>
        <v>0.14994014399999997</v>
      </c>
      <c r="L22" s="75">
        <f t="shared" si="21"/>
        <v>3.5844751319999997</v>
      </c>
      <c r="M22" s="75">
        <f t="shared" si="21"/>
        <v>18.598822955999996</v>
      </c>
      <c r="N22" s="75">
        <f t="shared" si="21"/>
        <v>0</v>
      </c>
      <c r="O22" s="75">
        <f>O125</f>
        <v>11.432494152000004</v>
      </c>
      <c r="P22" s="76">
        <f t="shared" ref="P22:S22" si="22">P125</f>
        <v>0.38631748799999999</v>
      </c>
      <c r="Q22" s="76">
        <f t="shared" si="22"/>
        <v>4.0824268799999999</v>
      </c>
      <c r="R22" s="76">
        <f t="shared" si="22"/>
        <v>6.9637497839999973</v>
      </c>
      <c r="S22" s="76">
        <f t="shared" si="22"/>
        <v>0</v>
      </c>
      <c r="T22" s="118">
        <f>T125</f>
        <v>17.201938164000001</v>
      </c>
      <c r="U22" s="118">
        <f t="shared" ref="U22:X22" si="23">U125</f>
        <v>0.437061276</v>
      </c>
      <c r="V22" s="118">
        <f t="shared" si="23"/>
        <v>4.9189594079999992</v>
      </c>
      <c r="W22" s="118">
        <f t="shared" si="23"/>
        <v>11.845917479999999</v>
      </c>
      <c r="X22" s="118">
        <f t="shared" si="23"/>
        <v>0</v>
      </c>
      <c r="Y22" s="118">
        <f>Y125</f>
        <v>64.155275219999993</v>
      </c>
      <c r="Z22" s="118">
        <f t="shared" ref="Z22:AC22" si="24">Z125</f>
        <v>0.59168335199999988</v>
      </c>
      <c r="AA22" s="118">
        <f t="shared" si="24"/>
        <v>19.721386824000003</v>
      </c>
      <c r="AB22" s="118">
        <f t="shared" si="24"/>
        <v>43.842205043999996</v>
      </c>
      <c r="AC22" s="53">
        <f t="shared" si="24"/>
        <v>0</v>
      </c>
      <c r="AD22" s="35">
        <f>AD125</f>
        <v>133.9545862321356</v>
      </c>
      <c r="AE22" s="35">
        <f t="shared" si="16"/>
        <v>99.295148390000008</v>
      </c>
      <c r="AF22" s="35">
        <f t="shared" si="5"/>
        <v>1.6801531819999997</v>
      </c>
      <c r="AG22" s="35">
        <f t="shared" si="5"/>
        <v>43.714891279999996</v>
      </c>
      <c r="AH22" s="35">
        <f t="shared" si="5"/>
        <v>58.887699760000011</v>
      </c>
      <c r="AI22" s="35">
        <f t="shared" si="5"/>
        <v>2.4937979159999997</v>
      </c>
      <c r="AJ22" s="37">
        <f>AJ125</f>
        <v>21.773626309999997</v>
      </c>
      <c r="AK22" s="37">
        <f t="shared" ref="AK22:AN22" si="25">AK125</f>
        <v>0.22102147</v>
      </c>
      <c r="AL22" s="37">
        <f t="shared" si="25"/>
        <v>6.2433836300000003</v>
      </c>
      <c r="AM22" s="37">
        <f t="shared" si="25"/>
        <v>15.30922121</v>
      </c>
      <c r="AN22" s="37">
        <f t="shared" si="25"/>
        <v>0</v>
      </c>
      <c r="AO22" s="53">
        <f>AO125</f>
        <v>9.7814750599999982</v>
      </c>
      <c r="AP22" s="53">
        <f t="shared" ref="AP22:AS22" si="26">AP125</f>
        <v>0.303656806</v>
      </c>
      <c r="AQ22" s="53">
        <f t="shared" si="26"/>
        <v>6.0186027499999994</v>
      </c>
      <c r="AR22" s="53">
        <f t="shared" si="26"/>
        <v>5.9530134200000013</v>
      </c>
      <c r="AS22" s="53">
        <f t="shared" si="26"/>
        <v>2.4937979159999997</v>
      </c>
      <c r="AT22" s="53">
        <f>AT125</f>
        <v>13.646142220000002</v>
      </c>
      <c r="AU22" s="53">
        <f t="shared" ref="AU22:AX22" si="27">AU125</f>
        <v>0.21327595599999999</v>
      </c>
      <c r="AV22" s="53">
        <f t="shared" si="27"/>
        <v>6.6539058600000001</v>
      </c>
      <c r="AW22" s="53">
        <f t="shared" si="27"/>
        <v>9.2727583199999994</v>
      </c>
      <c r="AX22" s="53">
        <f t="shared" si="27"/>
        <v>0</v>
      </c>
      <c r="AY22" s="53">
        <f>AY125</f>
        <v>54.093904800000011</v>
      </c>
      <c r="AZ22" s="53">
        <f t="shared" ref="AZ22:BC22" si="28">AZ125</f>
        <v>0.94219894999999998</v>
      </c>
      <c r="BA22" s="53">
        <f t="shared" si="28"/>
        <v>24.798999039999998</v>
      </c>
      <c r="BB22" s="53">
        <f t="shared" si="28"/>
        <v>28.352706810000008</v>
      </c>
      <c r="BC22" s="53">
        <f t="shared" si="28"/>
        <v>0</v>
      </c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</row>
    <row r="23" spans="1:97" s="55" customFormat="1" ht="50.25" customHeight="1" x14ac:dyDescent="0.25">
      <c r="A23" s="71" t="s">
        <v>106</v>
      </c>
      <c r="B23" s="72" t="s">
        <v>107</v>
      </c>
      <c r="C23" s="73" t="s">
        <v>101</v>
      </c>
      <c r="D23" s="74">
        <v>0</v>
      </c>
      <c r="E23" s="75">
        <f t="shared" si="10"/>
        <v>0</v>
      </c>
      <c r="F23" s="75">
        <f t="shared" si="11"/>
        <v>0</v>
      </c>
      <c r="G23" s="75">
        <f t="shared" si="11"/>
        <v>0</v>
      </c>
      <c r="H23" s="75">
        <f t="shared" si="11"/>
        <v>0</v>
      </c>
      <c r="I23" s="75">
        <f t="shared" si="11"/>
        <v>0</v>
      </c>
      <c r="J23" s="75">
        <f t="shared" ref="J23:J118" si="29">K23+L23+M23+N23</f>
        <v>0</v>
      </c>
      <c r="K23" s="75">
        <v>0</v>
      </c>
      <c r="L23" s="75">
        <v>0</v>
      </c>
      <c r="M23" s="75">
        <v>0</v>
      </c>
      <c r="N23" s="75">
        <f>N396</f>
        <v>0</v>
      </c>
      <c r="O23" s="75">
        <v>0</v>
      </c>
      <c r="P23" s="75">
        <f t="shared" ref="P23" si="30">Q23+R23+S23</f>
        <v>0</v>
      </c>
      <c r="Q23" s="75">
        <v>0</v>
      </c>
      <c r="R23" s="75">
        <v>0</v>
      </c>
      <c r="S23" s="75">
        <f>S396</f>
        <v>0</v>
      </c>
      <c r="T23" s="118">
        <f t="shared" ref="T23" si="31">U23+V23+W23+X23</f>
        <v>0</v>
      </c>
      <c r="U23" s="118">
        <v>0</v>
      </c>
      <c r="V23" s="118">
        <v>0</v>
      </c>
      <c r="W23" s="118">
        <v>0</v>
      </c>
      <c r="X23" s="118">
        <f>X396</f>
        <v>0</v>
      </c>
      <c r="Y23" s="118">
        <f t="shared" ref="Y23" si="32">Z23+AA23+AB23+AC23</f>
        <v>0</v>
      </c>
      <c r="Z23" s="118">
        <v>0</v>
      </c>
      <c r="AA23" s="118">
        <v>0</v>
      </c>
      <c r="AB23" s="118">
        <v>0</v>
      </c>
      <c r="AC23" s="53">
        <f>AC396</f>
        <v>0</v>
      </c>
      <c r="AD23" s="35">
        <v>0</v>
      </c>
      <c r="AE23" s="35">
        <f t="shared" si="16"/>
        <v>0</v>
      </c>
      <c r="AF23" s="35">
        <f t="shared" si="5"/>
        <v>0</v>
      </c>
      <c r="AG23" s="35">
        <f t="shared" si="5"/>
        <v>0</v>
      </c>
      <c r="AH23" s="35">
        <f t="shared" si="5"/>
        <v>0</v>
      </c>
      <c r="AI23" s="35">
        <f t="shared" si="5"/>
        <v>0</v>
      </c>
      <c r="AJ23" s="35">
        <v>0</v>
      </c>
      <c r="AK23" s="35">
        <f t="shared" ref="AK23" si="33">AL23+AM23+AN23</f>
        <v>0</v>
      </c>
      <c r="AL23" s="35">
        <v>0</v>
      </c>
      <c r="AM23" s="35">
        <v>0</v>
      </c>
      <c r="AN23" s="35">
        <f>AN396</f>
        <v>0</v>
      </c>
      <c r="AO23" s="35">
        <v>0</v>
      </c>
      <c r="AP23" s="35">
        <f t="shared" ref="AP23" si="34">AQ23+AR23+AS23</f>
        <v>0</v>
      </c>
      <c r="AQ23" s="35">
        <v>0</v>
      </c>
      <c r="AR23" s="35">
        <v>0</v>
      </c>
      <c r="AS23" s="35">
        <f>AS396</f>
        <v>0</v>
      </c>
      <c r="AT23" s="53">
        <f t="shared" ref="AT23" si="35">AU23+AV23+AW23+AX23</f>
        <v>0</v>
      </c>
      <c r="AU23" s="53">
        <v>0</v>
      </c>
      <c r="AV23" s="53">
        <v>0</v>
      </c>
      <c r="AW23" s="53">
        <v>0</v>
      </c>
      <c r="AX23" s="53">
        <f>AX396</f>
        <v>0</v>
      </c>
      <c r="AY23" s="53">
        <f t="shared" ref="AY23" si="36">AZ23+BA23+BB23+BC23</f>
        <v>0</v>
      </c>
      <c r="AZ23" s="53">
        <v>0</v>
      </c>
      <c r="BA23" s="53">
        <v>0</v>
      </c>
      <c r="BB23" s="53">
        <v>0</v>
      </c>
      <c r="BC23" s="53">
        <f>BC396</f>
        <v>0</v>
      </c>
    </row>
    <row r="24" spans="1:97" s="55" customFormat="1" ht="36.75" customHeight="1" x14ac:dyDescent="0.3">
      <c r="A24" s="71" t="s">
        <v>108</v>
      </c>
      <c r="B24" s="72" t="s">
        <v>109</v>
      </c>
      <c r="C24" s="73" t="s">
        <v>101</v>
      </c>
      <c r="D24" s="74">
        <f>D399</f>
        <v>29.063289575453307</v>
      </c>
      <c r="E24" s="75">
        <f t="shared" si="10"/>
        <v>51.819581147999997</v>
      </c>
      <c r="F24" s="75">
        <f t="shared" si="11"/>
        <v>0.38957999999999993</v>
      </c>
      <c r="G24" s="75">
        <f t="shared" si="11"/>
        <v>5.6591818800000002</v>
      </c>
      <c r="H24" s="75">
        <f t="shared" si="11"/>
        <v>45.770819267999997</v>
      </c>
      <c r="I24" s="75">
        <f t="shared" si="11"/>
        <v>0</v>
      </c>
      <c r="J24" s="75">
        <f>J399</f>
        <v>1.3588357440000003</v>
      </c>
      <c r="K24" s="75">
        <f t="shared" ref="K24:N24" si="37">K399</f>
        <v>0.19703349599999997</v>
      </c>
      <c r="L24" s="75">
        <f t="shared" si="37"/>
        <v>0.81328327199999983</v>
      </c>
      <c r="M24" s="75">
        <f t="shared" si="37"/>
        <v>0.34851897599999998</v>
      </c>
      <c r="N24" s="75">
        <f t="shared" si="37"/>
        <v>0</v>
      </c>
      <c r="O24" s="75">
        <f>O399</f>
        <v>3.5467055880000005</v>
      </c>
      <c r="P24" s="76">
        <f t="shared" ref="P24:S24" si="38">P399</f>
        <v>2.9409695999999999E-2</v>
      </c>
      <c r="Q24" s="76">
        <f t="shared" si="38"/>
        <v>1.8556547040000002</v>
      </c>
      <c r="R24" s="76">
        <f t="shared" si="38"/>
        <v>1.6616411879999999</v>
      </c>
      <c r="S24" s="76">
        <f t="shared" si="38"/>
        <v>0</v>
      </c>
      <c r="T24" s="118">
        <f>T399</f>
        <v>2.9937307679999998</v>
      </c>
      <c r="U24" s="118">
        <f t="shared" ref="U24:X24" si="39">U399</f>
        <v>8.9199576000000003E-2</v>
      </c>
      <c r="V24" s="118">
        <f t="shared" si="39"/>
        <v>0.29767699200000003</v>
      </c>
      <c r="W24" s="118">
        <f t="shared" si="39"/>
        <v>2.6068541999999999</v>
      </c>
      <c r="X24" s="118">
        <f t="shared" si="39"/>
        <v>0</v>
      </c>
      <c r="Y24" s="118">
        <f>Y399</f>
        <v>43.920309048</v>
      </c>
      <c r="Z24" s="118">
        <f t="shared" ref="Z24:AC24" si="40">Z399</f>
        <v>7.3937231999999992E-2</v>
      </c>
      <c r="AA24" s="118">
        <f t="shared" si="40"/>
        <v>2.6925669120000002</v>
      </c>
      <c r="AB24" s="118">
        <f t="shared" si="40"/>
        <v>41.153804903999998</v>
      </c>
      <c r="AC24" s="53">
        <f t="shared" si="40"/>
        <v>0</v>
      </c>
      <c r="AD24" s="35">
        <f>AD399</f>
        <v>24.219407979544425</v>
      </c>
      <c r="AE24" s="35">
        <f t="shared" si="16"/>
        <v>42.871311410000004</v>
      </c>
      <c r="AF24" s="35">
        <f t="shared" si="5"/>
        <v>0.40897190000000005</v>
      </c>
      <c r="AG24" s="35">
        <f t="shared" si="5"/>
        <v>4.7104740699999992</v>
      </c>
      <c r="AH24" s="35">
        <f t="shared" si="5"/>
        <v>37.751865440000003</v>
      </c>
      <c r="AI24" s="35">
        <f t="shared" si="5"/>
        <v>0</v>
      </c>
      <c r="AJ24" s="43">
        <f>AJ399</f>
        <v>0.86449767</v>
      </c>
      <c r="AK24" s="43">
        <f t="shared" ref="AK24:AN24" si="41">AK399</f>
        <v>0.12106548</v>
      </c>
      <c r="AL24" s="43">
        <f t="shared" si="41"/>
        <v>0.45299971000000006</v>
      </c>
      <c r="AM24" s="43">
        <f t="shared" si="41"/>
        <v>0.29043247999999999</v>
      </c>
      <c r="AN24" s="43">
        <f t="shared" si="41"/>
        <v>0</v>
      </c>
      <c r="AO24" s="43">
        <f>AO399</f>
        <v>3.2460601500000004</v>
      </c>
      <c r="AP24" s="43">
        <f t="shared" ref="AP24:AS24" si="42">AP399</f>
        <v>4.8441819999999997E-2</v>
      </c>
      <c r="AQ24" s="43">
        <f t="shared" si="42"/>
        <v>1.8129173399999998</v>
      </c>
      <c r="AR24" s="43">
        <f t="shared" si="42"/>
        <v>1.3847009900000002</v>
      </c>
      <c r="AS24" s="43">
        <f t="shared" si="42"/>
        <v>0</v>
      </c>
      <c r="AT24" s="53">
        <f>AT399</f>
        <v>2.4464661700000003</v>
      </c>
      <c r="AU24" s="53">
        <f t="shared" ref="AU24:AX24" si="43">AU399</f>
        <v>5.0298720000000005E-2</v>
      </c>
      <c r="AV24" s="53">
        <f t="shared" si="43"/>
        <v>0.22378895000000001</v>
      </c>
      <c r="AW24" s="53">
        <f t="shared" si="43"/>
        <v>2.1723784999999998</v>
      </c>
      <c r="AX24" s="53">
        <f t="shared" si="43"/>
        <v>0</v>
      </c>
      <c r="AY24" s="53">
        <f>AY399</f>
        <v>36.314287419999999</v>
      </c>
      <c r="AZ24" s="53">
        <f t="shared" ref="AZ24:BC24" si="44">AZ399</f>
        <v>0.18916588000000004</v>
      </c>
      <c r="BA24" s="53">
        <f t="shared" si="44"/>
        <v>2.2207680699999996</v>
      </c>
      <c r="BB24" s="53">
        <f t="shared" si="44"/>
        <v>33.904353470000004</v>
      </c>
      <c r="BC24" s="53">
        <f t="shared" si="44"/>
        <v>0</v>
      </c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</row>
    <row r="25" spans="1:97" s="55" customFormat="1" ht="39" customHeight="1" x14ac:dyDescent="0.3">
      <c r="A25" s="71" t="s">
        <v>110</v>
      </c>
      <c r="B25" s="72" t="s">
        <v>111</v>
      </c>
      <c r="C25" s="73" t="s">
        <v>101</v>
      </c>
      <c r="D25" s="74">
        <v>0</v>
      </c>
      <c r="E25" s="75">
        <f t="shared" si="10"/>
        <v>0</v>
      </c>
      <c r="F25" s="75">
        <f t="shared" si="11"/>
        <v>0</v>
      </c>
      <c r="G25" s="75">
        <f t="shared" si="11"/>
        <v>0</v>
      </c>
      <c r="H25" s="75">
        <f t="shared" si="11"/>
        <v>0</v>
      </c>
      <c r="I25" s="75">
        <f t="shared" si="11"/>
        <v>0</v>
      </c>
      <c r="J25" s="75">
        <f t="shared" si="29"/>
        <v>0</v>
      </c>
      <c r="K25" s="75">
        <v>0</v>
      </c>
      <c r="L25" s="75">
        <v>0</v>
      </c>
      <c r="M25" s="75">
        <v>0</v>
      </c>
      <c r="N25" s="75">
        <f t="shared" ref="N25:N26" si="45">N443</f>
        <v>0</v>
      </c>
      <c r="O25" s="75">
        <v>0</v>
      </c>
      <c r="P25" s="75">
        <f t="shared" ref="P25" si="46">Q25+R25+S25</f>
        <v>0</v>
      </c>
      <c r="Q25" s="75">
        <v>0</v>
      </c>
      <c r="R25" s="75">
        <v>0</v>
      </c>
      <c r="S25" s="75">
        <f t="shared" ref="S25" si="47">S443</f>
        <v>0</v>
      </c>
      <c r="T25" s="118">
        <f t="shared" ref="T25:T26" si="48">U25+V25+W25+X25</f>
        <v>0</v>
      </c>
      <c r="U25" s="118">
        <v>0</v>
      </c>
      <c r="V25" s="118">
        <v>0</v>
      </c>
      <c r="W25" s="118">
        <v>0</v>
      </c>
      <c r="X25" s="118">
        <f t="shared" ref="X25" si="49">X443</f>
        <v>0</v>
      </c>
      <c r="Y25" s="118">
        <f t="shared" ref="Y25:Y27" si="50">Z25+AA25+AB25+AC25</f>
        <v>0</v>
      </c>
      <c r="Z25" s="118">
        <v>0</v>
      </c>
      <c r="AA25" s="118">
        <v>0</v>
      </c>
      <c r="AB25" s="118">
        <v>0</v>
      </c>
      <c r="AC25" s="53">
        <f t="shared" ref="AC25" si="51">AC443</f>
        <v>0</v>
      </c>
      <c r="AD25" s="35">
        <v>0</v>
      </c>
      <c r="AE25" s="35">
        <f t="shared" si="16"/>
        <v>0</v>
      </c>
      <c r="AF25" s="35">
        <f t="shared" si="5"/>
        <v>0</v>
      </c>
      <c r="AG25" s="35">
        <f t="shared" si="5"/>
        <v>0</v>
      </c>
      <c r="AH25" s="35">
        <f t="shared" si="5"/>
        <v>0</v>
      </c>
      <c r="AI25" s="35">
        <f t="shared" si="5"/>
        <v>0</v>
      </c>
      <c r="AJ25" s="35">
        <v>0</v>
      </c>
      <c r="AK25" s="35">
        <f t="shared" ref="AK25" si="52">AL25+AM25+AN25</f>
        <v>0</v>
      </c>
      <c r="AL25" s="35">
        <v>0</v>
      </c>
      <c r="AM25" s="35">
        <v>0</v>
      </c>
      <c r="AN25" s="35">
        <f t="shared" ref="AN25" si="53">AN443</f>
        <v>0</v>
      </c>
      <c r="AO25" s="35">
        <v>0</v>
      </c>
      <c r="AP25" s="35">
        <f t="shared" ref="AP25" si="54">AQ25+AR25+AS25</f>
        <v>0</v>
      </c>
      <c r="AQ25" s="35">
        <v>0</v>
      </c>
      <c r="AR25" s="35">
        <v>0</v>
      </c>
      <c r="AS25" s="35">
        <f t="shared" ref="AS25" si="55">AS443</f>
        <v>0</v>
      </c>
      <c r="AT25" s="53">
        <f t="shared" ref="AT25:AT27" si="56">AU25+AV25+AW25+AX25</f>
        <v>0</v>
      </c>
      <c r="AU25" s="53">
        <v>0</v>
      </c>
      <c r="AV25" s="53">
        <v>0</v>
      </c>
      <c r="AW25" s="53">
        <v>0</v>
      </c>
      <c r="AX25" s="53">
        <f t="shared" ref="AX25" si="57">AX443</f>
        <v>0</v>
      </c>
      <c r="AY25" s="53">
        <f t="shared" ref="AY25" si="58">AZ25+BA25+BB25+BC25</f>
        <v>0</v>
      </c>
      <c r="AZ25" s="53">
        <v>0</v>
      </c>
      <c r="BA25" s="53">
        <v>0</v>
      </c>
      <c r="BB25" s="53">
        <v>0</v>
      </c>
      <c r="BC25" s="53">
        <f t="shared" ref="BC25:BC26" si="59">BC443</f>
        <v>0</v>
      </c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</row>
    <row r="26" spans="1:97" s="55" customFormat="1" ht="15.75" customHeight="1" x14ac:dyDescent="0.25">
      <c r="A26" s="71" t="s">
        <v>112</v>
      </c>
      <c r="B26" s="72" t="s">
        <v>113</v>
      </c>
      <c r="C26" s="73" t="s">
        <v>101</v>
      </c>
      <c r="D26" s="74">
        <f>D444</f>
        <v>53.930135999999997</v>
      </c>
      <c r="E26" s="75">
        <f t="shared" si="10"/>
        <v>37.322009375999997</v>
      </c>
      <c r="F26" s="75">
        <f t="shared" si="11"/>
        <v>0</v>
      </c>
      <c r="G26" s="75">
        <f t="shared" si="11"/>
        <v>0</v>
      </c>
      <c r="H26" s="75">
        <f t="shared" si="11"/>
        <v>37.322009375999997</v>
      </c>
      <c r="I26" s="75">
        <f t="shared" si="11"/>
        <v>0</v>
      </c>
      <c r="J26" s="75">
        <f t="shared" si="29"/>
        <v>9.727050492</v>
      </c>
      <c r="K26" s="75">
        <v>0</v>
      </c>
      <c r="L26" s="75">
        <v>0</v>
      </c>
      <c r="M26" s="75">
        <v>9.727050492</v>
      </c>
      <c r="N26" s="75">
        <f t="shared" si="45"/>
        <v>0</v>
      </c>
      <c r="O26" s="75">
        <f>O444</f>
        <v>-0.16718473200000003</v>
      </c>
      <c r="P26" s="76">
        <f t="shared" ref="P26:S26" si="60">P444</f>
        <v>0</v>
      </c>
      <c r="Q26" s="76">
        <f t="shared" si="60"/>
        <v>0</v>
      </c>
      <c r="R26" s="76">
        <f t="shared" si="60"/>
        <v>-0.16718473200000003</v>
      </c>
      <c r="S26" s="76">
        <f t="shared" si="60"/>
        <v>0</v>
      </c>
      <c r="T26" s="118">
        <f t="shared" si="48"/>
        <v>0</v>
      </c>
      <c r="U26" s="118">
        <f t="shared" ref="U26:X26" si="61">U444</f>
        <v>0</v>
      </c>
      <c r="V26" s="118">
        <f t="shared" si="61"/>
        <v>0</v>
      </c>
      <c r="W26" s="118">
        <f t="shared" si="61"/>
        <v>0</v>
      </c>
      <c r="X26" s="118">
        <f t="shared" si="61"/>
        <v>0</v>
      </c>
      <c r="Y26" s="118">
        <f t="shared" si="50"/>
        <v>27.762143615999996</v>
      </c>
      <c r="Z26" s="118">
        <f t="shared" ref="Z26:AC26" si="62">Z444</f>
        <v>0</v>
      </c>
      <c r="AA26" s="118">
        <f t="shared" si="62"/>
        <v>0</v>
      </c>
      <c r="AB26" s="118">
        <f t="shared" si="62"/>
        <v>27.762143615999996</v>
      </c>
      <c r="AC26" s="53">
        <f t="shared" si="62"/>
        <v>0</v>
      </c>
      <c r="AD26" s="35">
        <f>AD444</f>
        <v>44.941780000000001</v>
      </c>
      <c r="AE26" s="35">
        <f t="shared" si="16"/>
        <v>31.749132100000004</v>
      </c>
      <c r="AF26" s="35">
        <f t="shared" si="5"/>
        <v>0</v>
      </c>
      <c r="AG26" s="35">
        <f t="shared" si="5"/>
        <v>0</v>
      </c>
      <c r="AH26" s="35">
        <f t="shared" si="5"/>
        <v>31.749132100000004</v>
      </c>
      <c r="AI26" s="35">
        <f t="shared" si="5"/>
        <v>0</v>
      </c>
      <c r="AJ26" s="43">
        <f>AJ444</f>
        <v>8.7533330300000003</v>
      </c>
      <c r="AK26" s="43">
        <f t="shared" ref="AK26:AN26" si="63">AK444</f>
        <v>0</v>
      </c>
      <c r="AL26" s="43">
        <f t="shared" si="63"/>
        <v>0</v>
      </c>
      <c r="AM26" s="43">
        <f t="shared" si="63"/>
        <v>8.7533330300000003</v>
      </c>
      <c r="AN26" s="43">
        <f t="shared" si="63"/>
        <v>0</v>
      </c>
      <c r="AO26" s="43">
        <f>AO444</f>
        <v>-0.13932061000000001</v>
      </c>
      <c r="AP26" s="43">
        <f t="shared" ref="AP26:AS26" si="64">AP444</f>
        <v>0</v>
      </c>
      <c r="AQ26" s="43">
        <f t="shared" si="64"/>
        <v>0</v>
      </c>
      <c r="AR26" s="43">
        <f t="shared" si="64"/>
        <v>-0.13932061000000001</v>
      </c>
      <c r="AS26" s="43">
        <f t="shared" si="64"/>
        <v>0</v>
      </c>
      <c r="AT26" s="53">
        <f t="shared" si="56"/>
        <v>0</v>
      </c>
      <c r="AU26" s="53">
        <f>AU444</f>
        <v>0</v>
      </c>
      <c r="AV26" s="53">
        <f>AV444</f>
        <v>0</v>
      </c>
      <c r="AW26" s="53">
        <f>AW444</f>
        <v>0</v>
      </c>
      <c r="AX26" s="53">
        <f>AX444</f>
        <v>0</v>
      </c>
      <c r="AY26" s="53">
        <f>AY444</f>
        <v>23.135119680000003</v>
      </c>
      <c r="AZ26" s="53">
        <f t="shared" ref="AZ26:BB26" si="65">AZ444</f>
        <v>0</v>
      </c>
      <c r="BA26" s="53">
        <f t="shared" si="65"/>
        <v>0</v>
      </c>
      <c r="BB26" s="53">
        <f t="shared" si="65"/>
        <v>23.135119680000003</v>
      </c>
      <c r="BC26" s="53">
        <f t="shared" si="59"/>
        <v>0</v>
      </c>
    </row>
    <row r="27" spans="1:97" s="55" customFormat="1" ht="22.5" customHeight="1" x14ac:dyDescent="0.25">
      <c r="A27" s="71" t="s">
        <v>114</v>
      </c>
      <c r="B27" s="72" t="s">
        <v>115</v>
      </c>
      <c r="C27" s="73" t="s">
        <v>101</v>
      </c>
      <c r="D27" s="74">
        <v>0</v>
      </c>
      <c r="E27" s="75">
        <f t="shared" si="10"/>
        <v>0</v>
      </c>
      <c r="F27" s="75">
        <f t="shared" si="11"/>
        <v>0</v>
      </c>
      <c r="G27" s="75">
        <f t="shared" si="11"/>
        <v>0</v>
      </c>
      <c r="H27" s="75">
        <f t="shared" si="11"/>
        <v>0</v>
      </c>
      <c r="I27" s="75">
        <f t="shared" si="11"/>
        <v>0</v>
      </c>
      <c r="J27" s="75">
        <f t="shared" si="29"/>
        <v>0</v>
      </c>
      <c r="K27" s="77">
        <v>0</v>
      </c>
      <c r="L27" s="77">
        <v>0</v>
      </c>
      <c r="M27" s="77">
        <v>0</v>
      </c>
      <c r="N27" s="77">
        <v>0</v>
      </c>
      <c r="O27" s="75">
        <v>0</v>
      </c>
      <c r="P27" s="75">
        <f t="shared" ref="P27" si="66">Q27+R27+S27</f>
        <v>0</v>
      </c>
      <c r="Q27" s="75">
        <v>0</v>
      </c>
      <c r="R27" s="75">
        <v>0</v>
      </c>
      <c r="S27" s="75">
        <v>0</v>
      </c>
      <c r="T27" s="118">
        <f t="shared" ref="T27" si="67">U27+V27+W27+X27</f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f t="shared" si="50"/>
        <v>0</v>
      </c>
      <c r="Z27" s="118">
        <v>0</v>
      </c>
      <c r="AA27" s="118">
        <v>0</v>
      </c>
      <c r="AB27" s="118">
        <v>0</v>
      </c>
      <c r="AC27" s="53">
        <v>0</v>
      </c>
      <c r="AD27" s="35">
        <f>D27/1.2</f>
        <v>0</v>
      </c>
      <c r="AE27" s="35">
        <f t="shared" si="16"/>
        <v>0</v>
      </c>
      <c r="AF27" s="35">
        <f t="shared" si="5"/>
        <v>0</v>
      </c>
      <c r="AG27" s="35">
        <f t="shared" si="5"/>
        <v>0</v>
      </c>
      <c r="AH27" s="35">
        <f t="shared" si="5"/>
        <v>0</v>
      </c>
      <c r="AI27" s="35">
        <f t="shared" si="5"/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f t="shared" ref="AP27" si="68">AQ27+AR27+AS27</f>
        <v>0</v>
      </c>
      <c r="AQ27" s="35">
        <v>0</v>
      </c>
      <c r="AR27" s="35">
        <v>0</v>
      </c>
      <c r="AS27" s="35">
        <v>0</v>
      </c>
      <c r="AT27" s="53">
        <f t="shared" si="56"/>
        <v>0</v>
      </c>
      <c r="AU27" s="53">
        <v>0</v>
      </c>
      <c r="AV27" s="53">
        <v>0</v>
      </c>
      <c r="AW27" s="53">
        <v>0</v>
      </c>
      <c r="AX27" s="53">
        <v>0</v>
      </c>
      <c r="AY27" s="53">
        <f t="shared" ref="AY27" si="69">AZ27+BA27+BB27+BC27</f>
        <v>0</v>
      </c>
      <c r="AZ27" s="53">
        <v>0</v>
      </c>
      <c r="BA27" s="53">
        <v>0</v>
      </c>
      <c r="BB27" s="53">
        <v>0</v>
      </c>
      <c r="BC27" s="53">
        <v>0</v>
      </c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</row>
    <row r="28" spans="1:97" s="55" customFormat="1" ht="25.5" customHeight="1" x14ac:dyDescent="0.25">
      <c r="A28" s="71" t="s">
        <v>46</v>
      </c>
      <c r="B28" s="78" t="s">
        <v>116</v>
      </c>
      <c r="C28" s="79" t="s">
        <v>101</v>
      </c>
      <c r="D28" s="80">
        <f>D29+D104</f>
        <v>113.640302873984</v>
      </c>
      <c r="E28" s="75">
        <f t="shared" si="10"/>
        <v>94.968026160000008</v>
      </c>
      <c r="F28" s="75">
        <f t="shared" si="11"/>
        <v>4.9784589720000003</v>
      </c>
      <c r="G28" s="75">
        <f t="shared" si="11"/>
        <v>45.478588452000004</v>
      </c>
      <c r="H28" s="75">
        <f t="shared" si="11"/>
        <v>44.510978735999998</v>
      </c>
      <c r="I28" s="75">
        <f t="shared" si="11"/>
        <v>0</v>
      </c>
      <c r="J28" s="80">
        <f t="shared" ref="J28:AD28" si="70">J29+J104</f>
        <v>10.398104916000001</v>
      </c>
      <c r="K28" s="80">
        <f t="shared" si="70"/>
        <v>0.61265256000000001</v>
      </c>
      <c r="L28" s="80">
        <f t="shared" si="70"/>
        <v>4.9081660680000008</v>
      </c>
      <c r="M28" s="80">
        <f t="shared" si="70"/>
        <v>4.8772862879999987</v>
      </c>
      <c r="N28" s="80">
        <f t="shared" si="70"/>
        <v>0</v>
      </c>
      <c r="O28" s="80">
        <f t="shared" si="70"/>
        <v>23.482189488000003</v>
      </c>
      <c r="P28" s="80">
        <f t="shared" si="70"/>
        <v>0.60269680800000003</v>
      </c>
      <c r="Q28" s="80">
        <f t="shared" si="70"/>
        <v>16.256846328000002</v>
      </c>
      <c r="R28" s="80">
        <f t="shared" si="70"/>
        <v>6.6226463520000012</v>
      </c>
      <c r="S28" s="80">
        <f t="shared" si="70"/>
        <v>0</v>
      </c>
      <c r="T28" s="118">
        <f t="shared" ref="T28:X28" si="71">T29+T104</f>
        <v>43.384248828000004</v>
      </c>
      <c r="U28" s="118">
        <f t="shared" si="71"/>
        <v>2.6089960440000004</v>
      </c>
      <c r="V28" s="118">
        <f t="shared" si="71"/>
        <v>16.433136527999999</v>
      </c>
      <c r="W28" s="118">
        <f t="shared" si="71"/>
        <v>24.342116256000001</v>
      </c>
      <c r="X28" s="118">
        <f t="shared" si="71"/>
        <v>0</v>
      </c>
      <c r="Y28" s="118">
        <f t="shared" si="70"/>
        <v>17.703482928000003</v>
      </c>
      <c r="Z28" s="118">
        <f t="shared" si="70"/>
        <v>1.1541135600000001</v>
      </c>
      <c r="AA28" s="118">
        <f t="shared" si="70"/>
        <v>7.880439528000001</v>
      </c>
      <c r="AB28" s="118">
        <f t="shared" si="70"/>
        <v>8.6689298400000006</v>
      </c>
      <c r="AC28" s="53">
        <f t="shared" si="70"/>
        <v>0</v>
      </c>
      <c r="AD28" s="35">
        <f t="shared" si="70"/>
        <v>94.700241279938695</v>
      </c>
      <c r="AE28" s="35">
        <f t="shared" si="16"/>
        <v>103.96036365000001</v>
      </c>
      <c r="AF28" s="35">
        <f t="shared" si="5"/>
        <v>4.2332589299999999</v>
      </c>
      <c r="AG28" s="35">
        <f t="shared" si="5"/>
        <v>50.048895540000004</v>
      </c>
      <c r="AH28" s="35">
        <f t="shared" si="5"/>
        <v>49.678209180000003</v>
      </c>
      <c r="AI28" s="35">
        <f t="shared" si="5"/>
        <v>0</v>
      </c>
      <c r="AJ28" s="43">
        <f t="shared" ref="AJ28:BC28" si="72">AJ29+AJ104</f>
        <v>12.232261580000001</v>
      </c>
      <c r="AK28" s="43">
        <f t="shared" si="72"/>
        <v>0.38703225000000008</v>
      </c>
      <c r="AL28" s="43">
        <f t="shared" si="72"/>
        <v>5.65566324</v>
      </c>
      <c r="AM28" s="43">
        <f t="shared" si="72"/>
        <v>6.1895660899999996</v>
      </c>
      <c r="AN28" s="43">
        <f t="shared" si="72"/>
        <v>0</v>
      </c>
      <c r="AO28" s="43">
        <f t="shared" si="72"/>
        <v>17.11922229</v>
      </c>
      <c r="AP28" s="43">
        <f t="shared" si="72"/>
        <v>0.35838892000000006</v>
      </c>
      <c r="AQ28" s="43">
        <f t="shared" si="72"/>
        <v>11.05964546</v>
      </c>
      <c r="AR28" s="43">
        <f t="shared" si="72"/>
        <v>5.7011879100000007</v>
      </c>
      <c r="AS28" s="43">
        <f t="shared" si="72"/>
        <v>0</v>
      </c>
      <c r="AT28" s="53">
        <f t="shared" si="72"/>
        <v>33.352740130000008</v>
      </c>
      <c r="AU28" s="53">
        <f t="shared" si="72"/>
        <v>1.1079785000000002</v>
      </c>
      <c r="AV28" s="53">
        <f t="shared" si="72"/>
        <v>12.995394220000001</v>
      </c>
      <c r="AW28" s="53">
        <f t="shared" si="72"/>
        <v>19.249367410000001</v>
      </c>
      <c r="AX28" s="53">
        <f t="shared" si="72"/>
        <v>0</v>
      </c>
      <c r="AY28" s="53">
        <f t="shared" si="72"/>
        <v>41.256139650000001</v>
      </c>
      <c r="AZ28" s="53">
        <f t="shared" si="72"/>
        <v>2.3798592599999999</v>
      </c>
      <c r="BA28" s="53">
        <f t="shared" si="72"/>
        <v>20.338192620000001</v>
      </c>
      <c r="BB28" s="53">
        <f t="shared" si="72"/>
        <v>18.538087770000001</v>
      </c>
      <c r="BC28" s="53">
        <f t="shared" si="72"/>
        <v>0</v>
      </c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</row>
    <row r="29" spans="1:97" s="55" customFormat="1" ht="36" customHeight="1" x14ac:dyDescent="0.25">
      <c r="A29" s="71" t="s">
        <v>47</v>
      </c>
      <c r="B29" s="78" t="s">
        <v>117</v>
      </c>
      <c r="C29" s="79" t="s">
        <v>101</v>
      </c>
      <c r="D29" s="80">
        <f>D31+D39+D45</f>
        <v>110.741792</v>
      </c>
      <c r="E29" s="75">
        <f t="shared" si="10"/>
        <v>93.883652159999997</v>
      </c>
      <c r="F29" s="75">
        <f t="shared" si="11"/>
        <v>4.8471594600000003</v>
      </c>
      <c r="G29" s="75">
        <f t="shared" si="11"/>
        <v>45.055550352000004</v>
      </c>
      <c r="H29" s="75">
        <f t="shared" si="11"/>
        <v>43.980942347999999</v>
      </c>
      <c r="I29" s="75">
        <f t="shared" si="11"/>
        <v>0</v>
      </c>
      <c r="J29" s="80">
        <f t="shared" ref="J29:AD29" si="73">J31+J39+J45</f>
        <v>10.079964540000001</v>
      </c>
      <c r="K29" s="80">
        <f t="shared" si="73"/>
        <v>0.58935751199999997</v>
      </c>
      <c r="L29" s="80">
        <f t="shared" si="73"/>
        <v>4.8212324640000004</v>
      </c>
      <c r="M29" s="80">
        <f t="shared" si="73"/>
        <v>4.6693745639999991</v>
      </c>
      <c r="N29" s="80">
        <f t="shared" si="73"/>
        <v>0</v>
      </c>
      <c r="O29" s="80">
        <f t="shared" si="73"/>
        <v>23.240863908000001</v>
      </c>
      <c r="P29" s="80">
        <f t="shared" si="73"/>
        <v>0.577121208</v>
      </c>
      <c r="Q29" s="80">
        <f t="shared" si="73"/>
        <v>16.173193320000003</v>
      </c>
      <c r="R29" s="80">
        <f t="shared" si="73"/>
        <v>6.4905493800000009</v>
      </c>
      <c r="S29" s="80">
        <f t="shared" si="73"/>
        <v>0</v>
      </c>
      <c r="T29" s="118">
        <f t="shared" ref="T29:X29" si="74">T31+T39+T45</f>
        <v>42.977073300000001</v>
      </c>
      <c r="U29" s="118">
        <f t="shared" si="74"/>
        <v>2.5455871800000005</v>
      </c>
      <c r="V29" s="118">
        <f t="shared" si="74"/>
        <v>16.208676239999999</v>
      </c>
      <c r="W29" s="118">
        <f t="shared" si="74"/>
        <v>24.22280988</v>
      </c>
      <c r="X29" s="118">
        <f t="shared" si="74"/>
        <v>0</v>
      </c>
      <c r="Y29" s="118">
        <f t="shared" si="73"/>
        <v>17.585750412000003</v>
      </c>
      <c r="Z29" s="118">
        <f t="shared" si="73"/>
        <v>1.1350935600000001</v>
      </c>
      <c r="AA29" s="118">
        <f t="shared" si="73"/>
        <v>7.8524483280000013</v>
      </c>
      <c r="AB29" s="118">
        <f t="shared" si="73"/>
        <v>8.5982085240000004</v>
      </c>
      <c r="AC29" s="53">
        <f t="shared" si="73"/>
        <v>0</v>
      </c>
      <c r="AD29" s="35">
        <f t="shared" si="73"/>
        <v>92.284815551618692</v>
      </c>
      <c r="AE29" s="35">
        <f t="shared" si="16"/>
        <v>103.10421235000001</v>
      </c>
      <c r="AF29" s="35">
        <f t="shared" si="5"/>
        <v>4.0877675</v>
      </c>
      <c r="AG29" s="35">
        <f t="shared" si="5"/>
        <v>49.796432610000004</v>
      </c>
      <c r="AH29" s="35">
        <f t="shared" si="5"/>
        <v>49.220012240000003</v>
      </c>
      <c r="AI29" s="35">
        <f t="shared" si="5"/>
        <v>0</v>
      </c>
      <c r="AJ29" s="43">
        <f t="shared" ref="AJ29:BC29" si="75">AJ31+AJ39+AJ45</f>
        <v>11.867591040000001</v>
      </c>
      <c r="AK29" s="43">
        <f t="shared" si="75"/>
        <v>0.30094454000000004</v>
      </c>
      <c r="AL29" s="43">
        <f t="shared" si="75"/>
        <v>5.5668401300000001</v>
      </c>
      <c r="AM29" s="43">
        <f t="shared" si="75"/>
        <v>5.9998063699999999</v>
      </c>
      <c r="AN29" s="43">
        <f t="shared" si="75"/>
        <v>0</v>
      </c>
      <c r="AO29" s="43">
        <f t="shared" si="75"/>
        <v>16.90572332</v>
      </c>
      <c r="AP29" s="43">
        <f t="shared" si="75"/>
        <v>0.32174156000000004</v>
      </c>
      <c r="AQ29" s="43">
        <f t="shared" si="75"/>
        <v>10.99287466</v>
      </c>
      <c r="AR29" s="43">
        <f t="shared" si="75"/>
        <v>5.5911071000000003</v>
      </c>
      <c r="AS29" s="43">
        <f t="shared" si="75"/>
        <v>0</v>
      </c>
      <c r="AT29" s="43">
        <f t="shared" si="75"/>
        <v>33.215925080000005</v>
      </c>
      <c r="AU29" s="43">
        <f t="shared" si="75"/>
        <v>1.1079785000000002</v>
      </c>
      <c r="AV29" s="43">
        <f t="shared" si="75"/>
        <v>12.958001150000001</v>
      </c>
      <c r="AW29" s="43">
        <f t="shared" si="75"/>
        <v>19.149945430000002</v>
      </c>
      <c r="AX29" s="43">
        <f t="shared" si="75"/>
        <v>0</v>
      </c>
      <c r="AY29" s="53">
        <f t="shared" si="75"/>
        <v>41.114972909999999</v>
      </c>
      <c r="AZ29" s="53">
        <f t="shared" si="75"/>
        <v>2.3571029000000001</v>
      </c>
      <c r="BA29" s="53">
        <f t="shared" si="75"/>
        <v>20.278716670000001</v>
      </c>
      <c r="BB29" s="53">
        <f t="shared" si="75"/>
        <v>18.47915334</v>
      </c>
      <c r="BC29" s="53">
        <f t="shared" si="75"/>
        <v>0</v>
      </c>
    </row>
    <row r="30" spans="1:97" s="55" customFormat="1" ht="48.75" customHeight="1" x14ac:dyDescent="0.25">
      <c r="A30" s="71" t="s">
        <v>48</v>
      </c>
      <c r="B30" s="78" t="s">
        <v>118</v>
      </c>
      <c r="C30" s="79" t="s">
        <v>101</v>
      </c>
      <c r="D30" s="80">
        <v>0</v>
      </c>
      <c r="E30" s="75">
        <f t="shared" si="10"/>
        <v>0</v>
      </c>
      <c r="F30" s="75">
        <f t="shared" si="11"/>
        <v>0</v>
      </c>
      <c r="G30" s="75">
        <f t="shared" si="11"/>
        <v>0</v>
      </c>
      <c r="H30" s="75">
        <f t="shared" si="11"/>
        <v>0</v>
      </c>
      <c r="I30" s="75">
        <f t="shared" si="11"/>
        <v>0</v>
      </c>
      <c r="J30" s="75">
        <v>0</v>
      </c>
      <c r="K30" s="77">
        <v>0</v>
      </c>
      <c r="L30" s="77">
        <v>0</v>
      </c>
      <c r="M30" s="77">
        <v>0</v>
      </c>
      <c r="N30" s="77">
        <v>0</v>
      </c>
      <c r="O30" s="75">
        <v>0</v>
      </c>
      <c r="P30" s="76">
        <v>0</v>
      </c>
      <c r="Q30" s="76">
        <v>0</v>
      </c>
      <c r="R30" s="76">
        <v>0</v>
      </c>
      <c r="S30" s="76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53">
        <v>0</v>
      </c>
      <c r="AD30" s="35">
        <f>D30/1.2</f>
        <v>0</v>
      </c>
      <c r="AE30" s="35">
        <f t="shared" si="16"/>
        <v>0</v>
      </c>
      <c r="AF30" s="35">
        <f t="shared" si="5"/>
        <v>0</v>
      </c>
      <c r="AG30" s="35">
        <f t="shared" si="5"/>
        <v>0</v>
      </c>
      <c r="AH30" s="35">
        <f t="shared" si="5"/>
        <v>0</v>
      </c>
      <c r="AI30" s="35">
        <f t="shared" si="5"/>
        <v>0</v>
      </c>
      <c r="AJ30" s="43">
        <v>0</v>
      </c>
      <c r="AK30" s="43">
        <v>0</v>
      </c>
      <c r="AL30" s="43">
        <v>0</v>
      </c>
      <c r="AM30" s="43">
        <v>0</v>
      </c>
      <c r="AN30" s="43">
        <v>0</v>
      </c>
      <c r="AO30" s="43">
        <v>0</v>
      </c>
      <c r="AP30" s="43">
        <v>0</v>
      </c>
      <c r="AQ30" s="43">
        <v>0</v>
      </c>
      <c r="AR30" s="43">
        <v>0</v>
      </c>
      <c r="AS30" s="43">
        <v>0</v>
      </c>
      <c r="AT30" s="53">
        <v>0</v>
      </c>
      <c r="AU30" s="53">
        <v>0</v>
      </c>
      <c r="AV30" s="53">
        <v>0</v>
      </c>
      <c r="AW30" s="53">
        <v>0</v>
      </c>
      <c r="AX30" s="53">
        <v>0</v>
      </c>
      <c r="AY30" s="53">
        <v>0</v>
      </c>
      <c r="AZ30" s="53">
        <v>0</v>
      </c>
      <c r="BA30" s="53">
        <v>0</v>
      </c>
      <c r="BB30" s="53">
        <v>0</v>
      </c>
      <c r="BC30" s="53">
        <v>0</v>
      </c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</row>
    <row r="31" spans="1:97" s="55" customFormat="1" ht="48" customHeight="1" x14ac:dyDescent="0.25">
      <c r="A31" s="81" t="s">
        <v>48</v>
      </c>
      <c r="B31" s="82" t="s">
        <v>119</v>
      </c>
      <c r="C31" s="83" t="s">
        <v>101</v>
      </c>
      <c r="D31" s="84">
        <f>D32+D33+D34+D35+D36</f>
        <v>29.772815999999999</v>
      </c>
      <c r="E31" s="75">
        <f t="shared" si="10"/>
        <v>10.163277563999999</v>
      </c>
      <c r="F31" s="75">
        <f t="shared" si="11"/>
        <v>0.37578979199999996</v>
      </c>
      <c r="G31" s="75">
        <f t="shared" si="11"/>
        <v>3.555399972</v>
      </c>
      <c r="H31" s="75">
        <f t="shared" si="11"/>
        <v>6.2320878000000004</v>
      </c>
      <c r="I31" s="75">
        <f t="shared" si="11"/>
        <v>0</v>
      </c>
      <c r="J31" s="84">
        <f t="shared" ref="J31:X31" si="76">J32+J33+J34+J35+J36</f>
        <v>2.4993948000000001</v>
      </c>
      <c r="K31" s="84">
        <f t="shared" si="76"/>
        <v>6.3224639999999999E-3</v>
      </c>
      <c r="L31" s="84">
        <f t="shared" si="76"/>
        <v>0.91945417200000001</v>
      </c>
      <c r="M31" s="84">
        <f t="shared" si="76"/>
        <v>1.573618164</v>
      </c>
      <c r="N31" s="84">
        <f t="shared" si="76"/>
        <v>0</v>
      </c>
      <c r="O31" s="84">
        <f t="shared" si="76"/>
        <v>2.3436489119999999</v>
      </c>
      <c r="P31" s="84">
        <f t="shared" si="76"/>
        <v>6.7397232000000001E-2</v>
      </c>
      <c r="Q31" s="84">
        <f t="shared" si="76"/>
        <v>0.96381854399999989</v>
      </c>
      <c r="R31" s="84">
        <f t="shared" si="76"/>
        <v>1.3124331360000003</v>
      </c>
      <c r="S31" s="84">
        <f t="shared" si="76"/>
        <v>0</v>
      </c>
      <c r="T31" s="84">
        <f t="shared" si="76"/>
        <v>3.4905766799999993</v>
      </c>
      <c r="U31" s="84">
        <f t="shared" si="76"/>
        <v>0.23493566399999999</v>
      </c>
      <c r="V31" s="84">
        <f t="shared" si="76"/>
        <v>0.98912155199999996</v>
      </c>
      <c r="W31" s="84">
        <f t="shared" si="76"/>
        <v>2.2665194639999999</v>
      </c>
      <c r="X31" s="84">
        <f t="shared" si="76"/>
        <v>0</v>
      </c>
      <c r="Y31" s="84">
        <f t="shared" ref="Y31:AC31" si="77">Y32+Y33+Y34+Y35+Y36</f>
        <v>1.8296571719999999</v>
      </c>
      <c r="Z31" s="84">
        <f t="shared" si="77"/>
        <v>6.7134431999999994E-2</v>
      </c>
      <c r="AA31" s="84">
        <f t="shared" si="77"/>
        <v>0.68300570399999994</v>
      </c>
      <c r="AB31" s="84">
        <f t="shared" si="77"/>
        <v>1.0795170359999999</v>
      </c>
      <c r="AC31" s="33">
        <f t="shared" si="77"/>
        <v>0</v>
      </c>
      <c r="AD31" s="35">
        <f>SUM(AD32:AD36)</f>
        <v>24.810681618741114</v>
      </c>
      <c r="AE31" s="35">
        <f t="shared" si="16"/>
        <v>13.494239129999999</v>
      </c>
      <c r="AF31" s="35">
        <f t="shared" si="5"/>
        <v>0.34938877000000002</v>
      </c>
      <c r="AG31" s="35">
        <f t="shared" si="5"/>
        <v>5.5139678799999992</v>
      </c>
      <c r="AH31" s="35">
        <f t="shared" si="5"/>
        <v>7.6308824800000004</v>
      </c>
      <c r="AI31" s="35">
        <f t="shared" si="5"/>
        <v>0</v>
      </c>
      <c r="AJ31" s="33">
        <f t="shared" ref="AJ31:BC31" si="78">AJ32+AJ33+AJ34+AJ35+AJ36</f>
        <v>7.2734900699999994</v>
      </c>
      <c r="AK31" s="33">
        <f t="shared" si="78"/>
        <v>9.6705260000000001E-2</v>
      </c>
      <c r="AL31" s="33">
        <f t="shared" si="78"/>
        <v>3.2968079299999995</v>
      </c>
      <c r="AM31" s="33">
        <f t="shared" si="78"/>
        <v>3.8799768800000001</v>
      </c>
      <c r="AN31" s="33">
        <f t="shared" si="78"/>
        <v>0</v>
      </c>
      <c r="AO31" s="33">
        <f t="shared" ref="AO31" si="79">AO32+AO33+AO34+AO35+AO36</f>
        <v>1.89366926</v>
      </c>
      <c r="AP31" s="33">
        <f t="shared" si="78"/>
        <v>4.7884790000000003E-2</v>
      </c>
      <c r="AQ31" s="33">
        <f t="shared" si="78"/>
        <v>0.75209018999999999</v>
      </c>
      <c r="AR31" s="33">
        <f t="shared" si="78"/>
        <v>1.0936942800000002</v>
      </c>
      <c r="AS31" s="33">
        <f t="shared" si="78"/>
        <v>0</v>
      </c>
      <c r="AT31" s="33">
        <f t="shared" si="78"/>
        <v>2.5952342399999999</v>
      </c>
      <c r="AU31" s="33">
        <f t="shared" si="78"/>
        <v>9.46182E-2</v>
      </c>
      <c r="AV31" s="33">
        <f t="shared" si="78"/>
        <v>0.74300224999999998</v>
      </c>
      <c r="AW31" s="33">
        <f t="shared" si="78"/>
        <v>1.75761379</v>
      </c>
      <c r="AX31" s="33">
        <f t="shared" si="78"/>
        <v>0</v>
      </c>
      <c r="AY31" s="33">
        <f t="shared" si="78"/>
        <v>1.73184556</v>
      </c>
      <c r="AZ31" s="33">
        <f t="shared" si="78"/>
        <v>0.11018052</v>
      </c>
      <c r="BA31" s="33">
        <f t="shared" si="78"/>
        <v>0.72206750999999991</v>
      </c>
      <c r="BB31" s="33">
        <f t="shared" si="78"/>
        <v>0.89959752999999998</v>
      </c>
      <c r="BC31" s="38">
        <f t="shared" si="78"/>
        <v>0</v>
      </c>
    </row>
    <row r="32" spans="1:97" s="55" customFormat="1" ht="48" customHeight="1" x14ac:dyDescent="0.25">
      <c r="A32" s="85" t="s">
        <v>48</v>
      </c>
      <c r="B32" s="86" t="s">
        <v>607</v>
      </c>
      <c r="C32" s="87" t="s">
        <v>457</v>
      </c>
      <c r="D32" s="88">
        <v>17.99316</v>
      </c>
      <c r="E32" s="29">
        <f t="shared" si="10"/>
        <v>8.1426971039999998</v>
      </c>
      <c r="F32" s="29">
        <f t="shared" si="11"/>
        <v>0.26268652800000003</v>
      </c>
      <c r="G32" s="29">
        <f t="shared" si="11"/>
        <v>3.0597300359999999</v>
      </c>
      <c r="H32" s="29">
        <f t="shared" si="11"/>
        <v>4.8202805400000006</v>
      </c>
      <c r="I32" s="29">
        <f t="shared" si="11"/>
        <v>0</v>
      </c>
      <c r="J32" s="29">
        <v>2.1897477240000001</v>
      </c>
      <c r="K32" s="29">
        <v>6.3224639999999999E-3</v>
      </c>
      <c r="L32" s="29">
        <v>0.78276076799999994</v>
      </c>
      <c r="M32" s="29">
        <v>1.400664492</v>
      </c>
      <c r="N32" s="29">
        <v>0</v>
      </c>
      <c r="O32" s="29">
        <v>2.1823331160000001</v>
      </c>
      <c r="P32" s="29">
        <v>6.7397232000000001E-2</v>
      </c>
      <c r="Q32" s="29">
        <v>0.85821377999999993</v>
      </c>
      <c r="R32" s="29">
        <v>1.2567221040000003</v>
      </c>
      <c r="S32" s="29">
        <v>0</v>
      </c>
      <c r="T32" s="30">
        <f>U32+V32+W32+X32</f>
        <v>2.0441635199999997</v>
      </c>
      <c r="U32" s="30">
        <f>101.527*1.2/1000</f>
        <v>0.12183239999999999</v>
      </c>
      <c r="V32" s="30">
        <f>683.34165*1.2/1000</f>
        <v>0.82000997999999992</v>
      </c>
      <c r="W32" s="30">
        <f>918.60095*1.2/1000</f>
        <v>1.1023211399999999</v>
      </c>
      <c r="X32" s="30">
        <v>0</v>
      </c>
      <c r="Y32" s="30">
        <f>Z32+AA32+AB32+AC32</f>
        <v>1.7264527439999999</v>
      </c>
      <c r="Z32" s="30">
        <v>6.7134431999999994E-2</v>
      </c>
      <c r="AA32" s="30">
        <v>0.59874550799999993</v>
      </c>
      <c r="AB32" s="30">
        <v>1.060572804</v>
      </c>
      <c r="AC32" s="34">
        <v>0</v>
      </c>
      <c r="AD32" s="36">
        <v>14.994298326843811</v>
      </c>
      <c r="AE32" s="36">
        <f t="shared" si="16"/>
        <v>6.9057550699999997</v>
      </c>
      <c r="AF32" s="36">
        <f t="shared" si="5"/>
        <v>0.2680187</v>
      </c>
      <c r="AG32" s="36">
        <f t="shared" si="5"/>
        <v>2.6208359199999998</v>
      </c>
      <c r="AH32" s="36">
        <f t="shared" si="5"/>
        <v>4.0169004500000005</v>
      </c>
      <c r="AI32" s="36">
        <f t="shared" si="5"/>
        <v>0</v>
      </c>
      <c r="AJ32" s="36">
        <v>1.9118386399999996</v>
      </c>
      <c r="AK32" s="36">
        <v>5.6965540000000002E-2</v>
      </c>
      <c r="AL32" s="36">
        <v>0.68765268999999984</v>
      </c>
      <c r="AM32" s="36">
        <v>1.1672204099999999</v>
      </c>
      <c r="AN32" s="36">
        <v>0</v>
      </c>
      <c r="AO32" s="36">
        <v>1.7458513600000001</v>
      </c>
      <c r="AP32" s="36">
        <v>4.4694020000000001E-2</v>
      </c>
      <c r="AQ32" s="36">
        <v>0.65388891999999998</v>
      </c>
      <c r="AR32" s="36">
        <v>1.0472684200000002</v>
      </c>
      <c r="AS32" s="36">
        <v>0</v>
      </c>
      <c r="AT32" s="34">
        <f>AU32+AV32+AW32+AX32</f>
        <v>1.5767555099999999</v>
      </c>
      <c r="AU32" s="34">
        <v>5.6178619999999999E-2</v>
      </c>
      <c r="AV32" s="34">
        <v>0.60197593999999999</v>
      </c>
      <c r="AW32" s="34">
        <v>0.91860094999999997</v>
      </c>
      <c r="AX32" s="34">
        <v>0</v>
      </c>
      <c r="AY32" s="34">
        <f>AZ32+BA32+BB32+BC32</f>
        <v>1.6713095600000001</v>
      </c>
      <c r="AZ32" s="34">
        <v>0.11018052</v>
      </c>
      <c r="BA32" s="34">
        <v>0.67731836999999995</v>
      </c>
      <c r="BB32" s="34">
        <v>0.88381067000000002</v>
      </c>
      <c r="BC32" s="34">
        <v>0</v>
      </c>
    </row>
    <row r="33" spans="1:58" s="55" customFormat="1" ht="48" customHeight="1" x14ac:dyDescent="0.25">
      <c r="A33" s="85" t="s">
        <v>48</v>
      </c>
      <c r="B33" s="86" t="s">
        <v>608</v>
      </c>
      <c r="C33" s="87" t="s">
        <v>458</v>
      </c>
      <c r="D33" s="88">
        <v>3.5741399999999999</v>
      </c>
      <c r="E33" s="29">
        <f t="shared" si="10"/>
        <v>0.55828309200000004</v>
      </c>
      <c r="F33" s="29">
        <f t="shared" si="11"/>
        <v>2.2765176000000002E-2</v>
      </c>
      <c r="G33" s="29">
        <f t="shared" si="11"/>
        <v>0.37994656800000004</v>
      </c>
      <c r="H33" s="29">
        <f t="shared" si="11"/>
        <v>0.155571348</v>
      </c>
      <c r="I33" s="29">
        <f t="shared" si="11"/>
        <v>0</v>
      </c>
      <c r="J33" s="29">
        <v>0.134362392</v>
      </c>
      <c r="K33" s="29">
        <v>0</v>
      </c>
      <c r="L33" s="29">
        <v>0.10360712399999999</v>
      </c>
      <c r="M33" s="29">
        <v>3.0755268000000002E-2</v>
      </c>
      <c r="N33" s="29">
        <v>0</v>
      </c>
      <c r="O33" s="29">
        <v>0.16131579600000001</v>
      </c>
      <c r="P33" s="29">
        <v>0</v>
      </c>
      <c r="Q33" s="29">
        <v>0.105604764</v>
      </c>
      <c r="R33" s="29">
        <v>5.5711032000000001E-2</v>
      </c>
      <c r="S33" s="29">
        <v>0</v>
      </c>
      <c r="T33" s="30">
        <f t="shared" ref="T33:T37" si="80">U33+V33+W33+X33</f>
        <v>0.15940047600000001</v>
      </c>
      <c r="U33" s="30">
        <f>18.97098*1.2/1000</f>
        <v>2.2765176000000002E-2</v>
      </c>
      <c r="V33" s="30">
        <f>72.06207*1.2/1000</f>
        <v>8.6474484000000004E-2</v>
      </c>
      <c r="W33" s="30">
        <f>41.80068*1.2/1000</f>
        <v>5.0160815999999997E-2</v>
      </c>
      <c r="X33" s="30">
        <v>0</v>
      </c>
      <c r="Y33" s="30">
        <f t="shared" ref="Y33:Y37" si="81">Z33+AA33+AB33+AC33</f>
        <v>0.10320442800000001</v>
      </c>
      <c r="Z33" s="30">
        <v>0</v>
      </c>
      <c r="AA33" s="30">
        <v>8.4260196000000009E-2</v>
      </c>
      <c r="AB33" s="30">
        <v>1.8944231999999998E-2</v>
      </c>
      <c r="AC33" s="34">
        <v>0</v>
      </c>
      <c r="AD33" s="36">
        <v>2.978453675323276</v>
      </c>
      <c r="AE33" s="36">
        <f t="shared" si="16"/>
        <v>0.44330034000000001</v>
      </c>
      <c r="AF33" s="36">
        <f t="shared" si="5"/>
        <v>3.1907699999999999E-3</v>
      </c>
      <c r="AG33" s="36">
        <f t="shared" si="5"/>
        <v>0.30711475000000005</v>
      </c>
      <c r="AH33" s="36">
        <f t="shared" si="5"/>
        <v>0.13299482000000001</v>
      </c>
      <c r="AI33" s="36">
        <f t="shared" si="5"/>
        <v>0</v>
      </c>
      <c r="AJ33" s="36">
        <v>0.12098369</v>
      </c>
      <c r="AK33" s="36">
        <v>0</v>
      </c>
      <c r="AL33" s="36">
        <v>9.2002270000000011E-2</v>
      </c>
      <c r="AM33" s="36">
        <v>2.8981420000000001E-2</v>
      </c>
      <c r="AN33" s="36">
        <v>0</v>
      </c>
      <c r="AO33" s="36">
        <v>0.1478179</v>
      </c>
      <c r="AP33" s="36">
        <v>3.1907699999999999E-3</v>
      </c>
      <c r="AQ33" s="36">
        <v>9.8201269999999993E-2</v>
      </c>
      <c r="AR33" s="36">
        <v>4.6425859999999999E-2</v>
      </c>
      <c r="AS33" s="36">
        <v>0</v>
      </c>
      <c r="AT33" s="34">
        <f t="shared" ref="AT33:AT37" si="82">AU33+AV33+AW33+AX33</f>
        <v>0.11396275</v>
      </c>
      <c r="AU33" s="34">
        <v>0</v>
      </c>
      <c r="AV33" s="34">
        <v>7.2162069999999995E-2</v>
      </c>
      <c r="AW33" s="34">
        <v>4.180068E-2</v>
      </c>
      <c r="AX33" s="34">
        <v>0</v>
      </c>
      <c r="AY33" s="34">
        <f t="shared" ref="AY33:AY37" si="83">AZ33+BA33+BB33+BC33</f>
        <v>6.0536E-2</v>
      </c>
      <c r="AZ33" s="34">
        <v>0</v>
      </c>
      <c r="BA33" s="34">
        <v>4.474914E-2</v>
      </c>
      <c r="BB33" s="34">
        <v>1.578686E-2</v>
      </c>
      <c r="BC33" s="34">
        <v>0</v>
      </c>
    </row>
    <row r="34" spans="1:58" s="55" customFormat="1" ht="48" customHeight="1" x14ac:dyDescent="0.25">
      <c r="A34" s="85" t="s">
        <v>48</v>
      </c>
      <c r="B34" s="86" t="s">
        <v>609</v>
      </c>
      <c r="C34" s="87" t="s">
        <v>459</v>
      </c>
      <c r="D34" s="88">
        <v>8.2055159999999994</v>
      </c>
      <c r="E34" s="29">
        <f t="shared" si="10"/>
        <v>0.23804008799999998</v>
      </c>
      <c r="F34" s="29">
        <f t="shared" si="11"/>
        <v>2.7213599999999999E-3</v>
      </c>
      <c r="G34" s="29">
        <f t="shared" si="11"/>
        <v>6.8711304000000001E-2</v>
      </c>
      <c r="H34" s="29">
        <f t="shared" si="11"/>
        <v>0.166607424</v>
      </c>
      <c r="I34" s="29">
        <f t="shared" si="11"/>
        <v>0</v>
      </c>
      <c r="J34" s="29">
        <v>0.175284684</v>
      </c>
      <c r="K34" s="29">
        <v>0</v>
      </c>
      <c r="L34" s="29">
        <v>3.3086280000000003E-2</v>
      </c>
      <c r="M34" s="29">
        <v>0.142198404</v>
      </c>
      <c r="N34" s="29">
        <v>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30">
        <f t="shared" si="80"/>
        <v>6.2755403999999987E-2</v>
      </c>
      <c r="U34" s="30">
        <f>2.2678*1.2/1000</f>
        <v>2.7213599999999999E-3</v>
      </c>
      <c r="V34" s="30">
        <f>29.68752*1.2/1000</f>
        <v>3.5625023999999998E-2</v>
      </c>
      <c r="W34" s="30">
        <f>20.34085*1.2/1000</f>
        <v>2.4409019999999997E-2</v>
      </c>
      <c r="X34" s="30">
        <v>0</v>
      </c>
      <c r="Y34" s="30">
        <f t="shared" si="81"/>
        <v>0</v>
      </c>
      <c r="Z34" s="30">
        <v>0</v>
      </c>
      <c r="AA34" s="30">
        <v>0</v>
      </c>
      <c r="AB34" s="30">
        <v>0</v>
      </c>
      <c r="AC34" s="34">
        <v>0</v>
      </c>
      <c r="AD34" s="36">
        <v>6.8379296165740255</v>
      </c>
      <c r="AE34" s="36">
        <f t="shared" si="16"/>
        <v>5.1481666599999993</v>
      </c>
      <c r="AF34" s="36">
        <f t="shared" si="5"/>
        <v>3.9739719999999999E-2</v>
      </c>
      <c r="AG34" s="36">
        <f t="shared" si="5"/>
        <v>2.4984534699999998</v>
      </c>
      <c r="AH34" s="36">
        <f t="shared" si="5"/>
        <v>2.6099734700000004</v>
      </c>
      <c r="AI34" s="36">
        <f t="shared" si="5"/>
        <v>0</v>
      </c>
      <c r="AJ34" s="36">
        <v>5.0981382899999996</v>
      </c>
      <c r="AK34" s="36">
        <v>3.9739719999999999E-2</v>
      </c>
      <c r="AL34" s="36">
        <v>2.4687659499999999</v>
      </c>
      <c r="AM34" s="36">
        <v>2.5896326200000002</v>
      </c>
      <c r="AN34" s="36">
        <v>0</v>
      </c>
      <c r="AO34" s="36">
        <v>0</v>
      </c>
      <c r="AP34" s="36">
        <v>0</v>
      </c>
      <c r="AQ34" s="36">
        <v>0</v>
      </c>
      <c r="AR34" s="36">
        <v>0</v>
      </c>
      <c r="AS34" s="36">
        <v>0</v>
      </c>
      <c r="AT34" s="34">
        <f t="shared" si="82"/>
        <v>5.0028370000000003E-2</v>
      </c>
      <c r="AU34" s="34">
        <v>0</v>
      </c>
      <c r="AV34" s="34">
        <v>2.9687519999999998E-2</v>
      </c>
      <c r="AW34" s="34">
        <v>2.0340850000000001E-2</v>
      </c>
      <c r="AX34" s="34">
        <v>0</v>
      </c>
      <c r="AY34" s="34">
        <f t="shared" si="83"/>
        <v>0</v>
      </c>
      <c r="AZ34" s="34">
        <v>0</v>
      </c>
      <c r="BA34" s="34">
        <v>0</v>
      </c>
      <c r="BB34" s="34">
        <v>0</v>
      </c>
      <c r="BC34" s="34">
        <v>0</v>
      </c>
    </row>
    <row r="35" spans="1:58" s="55" customFormat="1" ht="48" customHeight="1" x14ac:dyDescent="0.25">
      <c r="A35" s="85" t="s">
        <v>48</v>
      </c>
      <c r="B35" s="86" t="s">
        <v>610</v>
      </c>
      <c r="C35" s="87" t="s">
        <v>460</v>
      </c>
      <c r="D35" s="88">
        <v>0</v>
      </c>
      <c r="E35" s="29">
        <f t="shared" si="10"/>
        <v>1.1827680479999998</v>
      </c>
      <c r="F35" s="29">
        <f t="shared" si="11"/>
        <v>4.6127496000000004E-2</v>
      </c>
      <c r="G35" s="29">
        <f t="shared" si="11"/>
        <v>4.7012063999999999E-2</v>
      </c>
      <c r="H35" s="29">
        <f t="shared" si="11"/>
        <v>1.0896284879999998</v>
      </c>
      <c r="I35" s="29">
        <f t="shared" si="11"/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30">
        <f t="shared" si="80"/>
        <v>1.1827680479999998</v>
      </c>
      <c r="U35" s="30">
        <f>38.43958*1.2/1000</f>
        <v>4.6127496000000004E-2</v>
      </c>
      <c r="V35" s="30">
        <f>39.17672*1.2/1000</f>
        <v>4.7012063999999999E-2</v>
      </c>
      <c r="W35" s="30">
        <f>908.02374*1.2/1000</f>
        <v>1.0896284879999998</v>
      </c>
      <c r="X35" s="30">
        <v>0</v>
      </c>
      <c r="Y35" s="30">
        <f t="shared" si="81"/>
        <v>0</v>
      </c>
      <c r="Z35" s="30">
        <v>0</v>
      </c>
      <c r="AA35" s="30">
        <v>0</v>
      </c>
      <c r="AB35" s="30">
        <v>0</v>
      </c>
      <c r="AC35" s="34">
        <v>0</v>
      </c>
      <c r="AD35" s="36">
        <f>D35/1.2</f>
        <v>0</v>
      </c>
      <c r="AE35" s="36">
        <f t="shared" si="16"/>
        <v>0.9970170599999999</v>
      </c>
      <c r="AF35" s="36">
        <f t="shared" si="5"/>
        <v>3.8439580000000001E-2</v>
      </c>
      <c r="AG35" s="36">
        <f t="shared" si="5"/>
        <v>8.7563740000000001E-2</v>
      </c>
      <c r="AH35" s="36">
        <f t="shared" si="5"/>
        <v>0.87101373999999998</v>
      </c>
      <c r="AI35" s="36">
        <f t="shared" si="5"/>
        <v>0</v>
      </c>
      <c r="AJ35" s="36">
        <v>0.14252945</v>
      </c>
      <c r="AK35" s="36">
        <v>0</v>
      </c>
      <c r="AL35" s="36">
        <v>4.8387020000000003E-2</v>
      </c>
      <c r="AM35" s="36">
        <v>9.4142429999999985E-2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4">
        <f t="shared" si="82"/>
        <v>0.85448760999999995</v>
      </c>
      <c r="AU35" s="34">
        <v>3.8439580000000001E-2</v>
      </c>
      <c r="AV35" s="34">
        <v>3.9176720000000005E-2</v>
      </c>
      <c r="AW35" s="34">
        <v>0.77687130999999998</v>
      </c>
      <c r="AX35" s="34">
        <v>0</v>
      </c>
      <c r="AY35" s="34">
        <f t="shared" si="83"/>
        <v>0</v>
      </c>
      <c r="AZ35" s="34">
        <v>0</v>
      </c>
      <c r="BA35" s="34">
        <v>0</v>
      </c>
      <c r="BB35" s="34">
        <v>0</v>
      </c>
      <c r="BC35" s="34">
        <v>0</v>
      </c>
    </row>
    <row r="36" spans="1:58" s="55" customFormat="1" ht="48" customHeight="1" x14ac:dyDescent="0.25">
      <c r="A36" s="85" t="s">
        <v>48</v>
      </c>
      <c r="B36" s="86" t="s">
        <v>461</v>
      </c>
      <c r="C36" s="87" t="s">
        <v>462</v>
      </c>
      <c r="D36" s="88">
        <v>0</v>
      </c>
      <c r="E36" s="29">
        <f t="shared" si="10"/>
        <v>4.1489231999999994E-2</v>
      </c>
      <c r="F36" s="29">
        <f t="shared" si="10"/>
        <v>4.1489231999999994E-2</v>
      </c>
      <c r="G36" s="29">
        <f t="shared" si="10"/>
        <v>0</v>
      </c>
      <c r="H36" s="29">
        <f t="shared" si="10"/>
        <v>0</v>
      </c>
      <c r="I36" s="29">
        <f t="shared" si="10"/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30">
        <f t="shared" si="80"/>
        <v>4.1489231999999994E-2</v>
      </c>
      <c r="U36" s="30">
        <f>34.57436*1.2/1000</f>
        <v>4.1489231999999994E-2</v>
      </c>
      <c r="V36" s="30">
        <v>0</v>
      </c>
      <c r="W36" s="30">
        <v>0</v>
      </c>
      <c r="X36" s="30">
        <v>0</v>
      </c>
      <c r="Y36" s="30">
        <f t="shared" si="81"/>
        <v>0</v>
      </c>
      <c r="Z36" s="30">
        <v>0</v>
      </c>
      <c r="AA36" s="30">
        <v>0</v>
      </c>
      <c r="AB36" s="30">
        <v>0</v>
      </c>
      <c r="AC36" s="34">
        <v>0</v>
      </c>
      <c r="AD36" s="36">
        <f>D36/1.2</f>
        <v>0</v>
      </c>
      <c r="AE36" s="36">
        <f t="shared" si="16"/>
        <v>0</v>
      </c>
      <c r="AF36" s="36">
        <f t="shared" si="16"/>
        <v>0</v>
      </c>
      <c r="AG36" s="36">
        <f t="shared" si="16"/>
        <v>0</v>
      </c>
      <c r="AH36" s="36">
        <f t="shared" si="16"/>
        <v>0</v>
      </c>
      <c r="AI36" s="36">
        <f t="shared" si="16"/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4">
        <f t="shared" si="82"/>
        <v>0</v>
      </c>
      <c r="AU36" s="34">
        <v>0</v>
      </c>
      <c r="AV36" s="34">
        <v>0</v>
      </c>
      <c r="AW36" s="34">
        <v>0</v>
      </c>
      <c r="AX36" s="34">
        <v>0</v>
      </c>
      <c r="AY36" s="34">
        <f t="shared" si="83"/>
        <v>0</v>
      </c>
      <c r="AZ36" s="34">
        <v>0</v>
      </c>
      <c r="BA36" s="34">
        <v>0</v>
      </c>
      <c r="BB36" s="34">
        <v>0</v>
      </c>
      <c r="BC36" s="34">
        <v>0</v>
      </c>
    </row>
    <row r="37" spans="1:58" s="55" customFormat="1" ht="49.5" customHeight="1" x14ac:dyDescent="0.25">
      <c r="A37" s="81" t="s">
        <v>48</v>
      </c>
      <c r="B37" s="82" t="s">
        <v>120</v>
      </c>
      <c r="C37" s="83" t="s">
        <v>101</v>
      </c>
      <c r="D37" s="84">
        <v>0</v>
      </c>
      <c r="E37" s="75">
        <f t="shared" si="10"/>
        <v>0</v>
      </c>
      <c r="F37" s="75">
        <f t="shared" si="10"/>
        <v>0</v>
      </c>
      <c r="G37" s="75">
        <f t="shared" si="10"/>
        <v>0</v>
      </c>
      <c r="H37" s="75">
        <f t="shared" si="10"/>
        <v>0</v>
      </c>
      <c r="I37" s="75">
        <f t="shared" si="10"/>
        <v>0</v>
      </c>
      <c r="J37" s="75">
        <f t="shared" si="29"/>
        <v>0</v>
      </c>
      <c r="K37" s="75">
        <v>0</v>
      </c>
      <c r="L37" s="75">
        <v>0</v>
      </c>
      <c r="M37" s="75">
        <v>0</v>
      </c>
      <c r="N37" s="75">
        <v>0</v>
      </c>
      <c r="O37" s="75">
        <v>0</v>
      </c>
      <c r="P37" s="75">
        <f t="shared" ref="P37" si="84">Q37+R37+S37</f>
        <v>0</v>
      </c>
      <c r="Q37" s="75">
        <v>0</v>
      </c>
      <c r="R37" s="75">
        <v>0</v>
      </c>
      <c r="S37" s="75">
        <v>0</v>
      </c>
      <c r="T37" s="118">
        <f t="shared" si="80"/>
        <v>0</v>
      </c>
      <c r="U37" s="118">
        <v>0</v>
      </c>
      <c r="V37" s="118">
        <v>0</v>
      </c>
      <c r="W37" s="118">
        <v>0</v>
      </c>
      <c r="X37" s="118">
        <v>0</v>
      </c>
      <c r="Y37" s="118">
        <f t="shared" si="81"/>
        <v>0</v>
      </c>
      <c r="Z37" s="118">
        <v>0</v>
      </c>
      <c r="AA37" s="118">
        <v>0</v>
      </c>
      <c r="AB37" s="118">
        <v>0</v>
      </c>
      <c r="AC37" s="53">
        <v>0</v>
      </c>
      <c r="AD37" s="35">
        <f>D37/1.2</f>
        <v>0</v>
      </c>
      <c r="AE37" s="35">
        <f t="shared" si="16"/>
        <v>0</v>
      </c>
      <c r="AF37" s="35">
        <f t="shared" si="16"/>
        <v>0</v>
      </c>
      <c r="AG37" s="35">
        <f t="shared" si="16"/>
        <v>0</v>
      </c>
      <c r="AH37" s="35">
        <f t="shared" si="16"/>
        <v>0</v>
      </c>
      <c r="AI37" s="35">
        <f t="shared" si="16"/>
        <v>0</v>
      </c>
      <c r="AJ37" s="35">
        <v>0</v>
      </c>
      <c r="AK37" s="35">
        <v>0</v>
      </c>
      <c r="AL37" s="35">
        <v>0</v>
      </c>
      <c r="AM37" s="35">
        <v>0</v>
      </c>
      <c r="AN37" s="35">
        <v>0</v>
      </c>
      <c r="AO37" s="35">
        <v>0</v>
      </c>
      <c r="AP37" s="35">
        <f t="shared" ref="AP37" si="85">AQ37+AR37+AS37</f>
        <v>0</v>
      </c>
      <c r="AQ37" s="35">
        <v>0</v>
      </c>
      <c r="AR37" s="35">
        <v>0</v>
      </c>
      <c r="AS37" s="35">
        <v>0</v>
      </c>
      <c r="AT37" s="53">
        <f t="shared" si="82"/>
        <v>0</v>
      </c>
      <c r="AU37" s="53">
        <v>0</v>
      </c>
      <c r="AV37" s="53">
        <v>0</v>
      </c>
      <c r="AW37" s="53">
        <v>0</v>
      </c>
      <c r="AX37" s="53">
        <v>0</v>
      </c>
      <c r="AY37" s="53">
        <f t="shared" si="83"/>
        <v>0</v>
      </c>
      <c r="AZ37" s="53">
        <v>0</v>
      </c>
      <c r="BA37" s="53">
        <v>0</v>
      </c>
      <c r="BB37" s="53">
        <v>0</v>
      </c>
      <c r="BC37" s="53">
        <v>0</v>
      </c>
    </row>
    <row r="38" spans="1:58" s="55" customFormat="1" ht="48.75" customHeight="1" x14ac:dyDescent="0.25">
      <c r="A38" s="71" t="s">
        <v>49</v>
      </c>
      <c r="B38" s="78" t="s">
        <v>121</v>
      </c>
      <c r="C38" s="79" t="s">
        <v>101</v>
      </c>
      <c r="D38" s="84">
        <v>0</v>
      </c>
      <c r="E38" s="75">
        <f t="shared" si="10"/>
        <v>0</v>
      </c>
      <c r="F38" s="75">
        <f t="shared" si="10"/>
        <v>0</v>
      </c>
      <c r="G38" s="75">
        <f t="shared" si="10"/>
        <v>0</v>
      </c>
      <c r="H38" s="75">
        <f t="shared" si="10"/>
        <v>0</v>
      </c>
      <c r="I38" s="75">
        <f t="shared" si="10"/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84">
        <v>0</v>
      </c>
      <c r="AA38" s="84">
        <v>0</v>
      </c>
      <c r="AB38" s="84">
        <v>0</v>
      </c>
      <c r="AC38" s="33">
        <v>0</v>
      </c>
      <c r="AD38" s="33">
        <v>0</v>
      </c>
      <c r="AE38" s="35">
        <f t="shared" si="16"/>
        <v>0</v>
      </c>
      <c r="AF38" s="35">
        <f t="shared" si="16"/>
        <v>0</v>
      </c>
      <c r="AG38" s="35">
        <f t="shared" si="16"/>
        <v>0</v>
      </c>
      <c r="AH38" s="35">
        <f t="shared" si="16"/>
        <v>0</v>
      </c>
      <c r="AI38" s="35">
        <f t="shared" si="16"/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33">
        <v>0</v>
      </c>
      <c r="AV38" s="33">
        <v>0</v>
      </c>
      <c r="AW38" s="33">
        <v>0</v>
      </c>
      <c r="AX38" s="33">
        <v>0</v>
      </c>
      <c r="AY38" s="33">
        <v>0</v>
      </c>
      <c r="AZ38" s="33">
        <v>0</v>
      </c>
      <c r="BA38" s="33">
        <v>0</v>
      </c>
      <c r="BB38" s="33">
        <v>0</v>
      </c>
      <c r="BC38" s="38">
        <v>0</v>
      </c>
    </row>
    <row r="39" spans="1:58" s="55" customFormat="1" ht="48.75" customHeight="1" x14ac:dyDescent="0.25">
      <c r="A39" s="81" t="s">
        <v>49</v>
      </c>
      <c r="B39" s="82" t="s">
        <v>122</v>
      </c>
      <c r="C39" s="83" t="s">
        <v>101</v>
      </c>
      <c r="D39" s="84">
        <f>SUM(D40:D44)</f>
        <v>18.981767999999999</v>
      </c>
      <c r="E39" s="75">
        <f t="shared" si="10"/>
        <v>44.103798191999999</v>
      </c>
      <c r="F39" s="75">
        <f t="shared" si="10"/>
        <v>3.9966048960000005</v>
      </c>
      <c r="G39" s="75">
        <f t="shared" si="10"/>
        <v>21.968880252000002</v>
      </c>
      <c r="H39" s="75">
        <f t="shared" si="10"/>
        <v>18.138313044</v>
      </c>
      <c r="I39" s="75">
        <f t="shared" si="10"/>
        <v>0</v>
      </c>
      <c r="J39" s="75">
        <f t="shared" ref="J39:AD39" si="86">SUM(J40:J44)</f>
        <v>5.8191848880000006</v>
      </c>
      <c r="K39" s="75">
        <f t="shared" si="86"/>
        <v>0.55711624799999993</v>
      </c>
      <c r="L39" s="75">
        <f t="shared" si="86"/>
        <v>2.4095026080000004</v>
      </c>
      <c r="M39" s="75">
        <f t="shared" si="86"/>
        <v>2.8525660319999999</v>
      </c>
      <c r="N39" s="75">
        <f t="shared" si="86"/>
        <v>0</v>
      </c>
      <c r="O39" s="75">
        <f t="shared" si="86"/>
        <v>7.8729189359999996</v>
      </c>
      <c r="P39" s="75">
        <f t="shared" si="86"/>
        <v>0.39515791199999994</v>
      </c>
      <c r="Q39" s="75">
        <f t="shared" si="86"/>
        <v>5.861190348</v>
      </c>
      <c r="R39" s="75">
        <f t="shared" si="86"/>
        <v>1.616570676</v>
      </c>
      <c r="S39" s="75">
        <f t="shared" si="86"/>
        <v>0</v>
      </c>
      <c r="T39" s="75">
        <f t="shared" si="86"/>
        <v>17.748483732</v>
      </c>
      <c r="U39" s="75">
        <f t="shared" si="86"/>
        <v>2.1603129000000005</v>
      </c>
      <c r="V39" s="75">
        <f t="shared" si="86"/>
        <v>7.4305735200000003</v>
      </c>
      <c r="W39" s="75">
        <f t="shared" si="86"/>
        <v>8.157597312</v>
      </c>
      <c r="X39" s="75">
        <f t="shared" si="86"/>
        <v>0</v>
      </c>
      <c r="Y39" s="118">
        <f t="shared" si="86"/>
        <v>12.663210636000002</v>
      </c>
      <c r="Z39" s="118">
        <f t="shared" si="86"/>
        <v>0.88401783599999995</v>
      </c>
      <c r="AA39" s="118">
        <f t="shared" si="86"/>
        <v>6.267613776000001</v>
      </c>
      <c r="AB39" s="118">
        <f t="shared" si="86"/>
        <v>5.5115790239999995</v>
      </c>
      <c r="AC39" s="53">
        <f t="shared" si="86"/>
        <v>0</v>
      </c>
      <c r="AD39" s="35">
        <f t="shared" si="86"/>
        <v>15.818143820539476</v>
      </c>
      <c r="AE39" s="35">
        <f t="shared" si="16"/>
        <v>30.832032270000003</v>
      </c>
      <c r="AF39" s="35">
        <f t="shared" si="16"/>
        <v>1.3633718099999999</v>
      </c>
      <c r="AG39" s="35">
        <f t="shared" si="16"/>
        <v>14.29148288</v>
      </c>
      <c r="AH39" s="35">
        <f t="shared" si="16"/>
        <v>15.17717758</v>
      </c>
      <c r="AI39" s="35">
        <f t="shared" si="16"/>
        <v>0</v>
      </c>
      <c r="AJ39" s="35">
        <f t="shared" ref="AJ39:BC39" si="87">SUM(AJ40:AJ44)</f>
        <v>3.58026899</v>
      </c>
      <c r="AK39" s="35">
        <f t="shared" si="87"/>
        <v>0.13706047000000002</v>
      </c>
      <c r="AL39" s="35">
        <f t="shared" si="87"/>
        <v>1.5260376700000002</v>
      </c>
      <c r="AM39" s="35">
        <f t="shared" si="87"/>
        <v>1.91717085</v>
      </c>
      <c r="AN39" s="35">
        <f t="shared" si="87"/>
        <v>0</v>
      </c>
      <c r="AO39" s="35">
        <f t="shared" si="87"/>
        <v>4.8332406799999994</v>
      </c>
      <c r="AP39" s="35">
        <f t="shared" si="87"/>
        <v>0.17792003000000001</v>
      </c>
      <c r="AQ39" s="35">
        <f t="shared" si="87"/>
        <v>3.1258624700000004</v>
      </c>
      <c r="AR39" s="35">
        <f t="shared" si="87"/>
        <v>1.52945818</v>
      </c>
      <c r="AS39" s="35">
        <f t="shared" si="87"/>
        <v>0</v>
      </c>
      <c r="AT39" s="35">
        <f t="shared" si="87"/>
        <v>10.960798190000002</v>
      </c>
      <c r="AU39" s="35">
        <f t="shared" si="87"/>
        <v>0.20568951000000002</v>
      </c>
      <c r="AV39" s="35">
        <f t="shared" si="87"/>
        <v>4.8616879600000003</v>
      </c>
      <c r="AW39" s="35">
        <f t="shared" si="87"/>
        <v>5.8934207200000008</v>
      </c>
      <c r="AX39" s="35">
        <f t="shared" si="87"/>
        <v>0</v>
      </c>
      <c r="AY39" s="53">
        <f t="shared" si="87"/>
        <v>11.457724410000001</v>
      </c>
      <c r="AZ39" s="53">
        <f t="shared" si="87"/>
        <v>0.84270179999999995</v>
      </c>
      <c r="BA39" s="53">
        <f t="shared" si="87"/>
        <v>4.7778947799999996</v>
      </c>
      <c r="BB39" s="53">
        <f t="shared" si="87"/>
        <v>5.83712783</v>
      </c>
      <c r="BC39" s="53">
        <f t="shared" si="87"/>
        <v>0</v>
      </c>
    </row>
    <row r="40" spans="1:58" s="55" customFormat="1" ht="48.75" customHeight="1" x14ac:dyDescent="0.25">
      <c r="A40" s="31" t="s">
        <v>49</v>
      </c>
      <c r="B40" s="89" t="s">
        <v>617</v>
      </c>
      <c r="C40" s="90" t="s">
        <v>693</v>
      </c>
      <c r="D40" s="88">
        <v>0</v>
      </c>
      <c r="E40" s="29">
        <f t="shared" si="10"/>
        <v>1.1816853959999998</v>
      </c>
      <c r="F40" s="29">
        <f t="shared" si="10"/>
        <v>6.0000000000000001E-3</v>
      </c>
      <c r="G40" s="29">
        <f t="shared" si="10"/>
        <v>2.7263484000000001E-2</v>
      </c>
      <c r="H40" s="29">
        <f t="shared" si="10"/>
        <v>1.1484219119999999</v>
      </c>
      <c r="I40" s="29">
        <f t="shared" si="10"/>
        <v>0</v>
      </c>
      <c r="J40" s="29">
        <f t="shared" ref="J40" si="88">K40+L40+M40+N40</f>
        <v>0</v>
      </c>
      <c r="K40" s="29">
        <v>0</v>
      </c>
      <c r="L40" s="29">
        <v>0</v>
      </c>
      <c r="M40" s="29">
        <v>0</v>
      </c>
      <c r="N40" s="29">
        <v>0</v>
      </c>
      <c r="O40" s="29">
        <f t="shared" ref="O40" si="89">P40+Q40+R40+S40</f>
        <v>0</v>
      </c>
      <c r="P40" s="29">
        <v>0</v>
      </c>
      <c r="Q40" s="29">
        <v>0</v>
      </c>
      <c r="R40" s="29">
        <v>0</v>
      </c>
      <c r="S40" s="29">
        <v>0</v>
      </c>
      <c r="T40" s="30">
        <f t="shared" ref="T40" si="90">U40+V40+W40+X40</f>
        <v>0.57910361999999993</v>
      </c>
      <c r="U40" s="30">
        <v>0</v>
      </c>
      <c r="V40" s="30">
        <v>0</v>
      </c>
      <c r="W40" s="30">
        <v>0.57910361999999993</v>
      </c>
      <c r="X40" s="30">
        <v>0</v>
      </c>
      <c r="Y40" s="30">
        <f t="shared" ref="Y40:Y44" si="91">Z40+AA40+AB40+AC40</f>
        <v>0.60258177599999996</v>
      </c>
      <c r="Z40" s="30">
        <v>6.0000000000000001E-3</v>
      </c>
      <c r="AA40" s="30">
        <v>2.7263484000000001E-2</v>
      </c>
      <c r="AB40" s="30">
        <v>0.56931829199999995</v>
      </c>
      <c r="AC40" s="34">
        <v>0</v>
      </c>
      <c r="AD40" s="36">
        <f>D40/1.2</f>
        <v>0</v>
      </c>
      <c r="AE40" s="36">
        <f t="shared" si="16"/>
        <v>1.0065491899999999</v>
      </c>
      <c r="AF40" s="36">
        <f t="shared" si="16"/>
        <v>2.6811359999999999E-2</v>
      </c>
      <c r="AG40" s="36">
        <f t="shared" si="16"/>
        <v>2.2719570000000001E-2</v>
      </c>
      <c r="AH40" s="36">
        <f t="shared" si="16"/>
        <v>0.9570182599999999</v>
      </c>
      <c r="AI40" s="36">
        <f t="shared" si="16"/>
        <v>0</v>
      </c>
      <c r="AJ40" s="36">
        <f t="shared" ref="AJ40" si="92">AK40+AL40+AM40+AN40</f>
        <v>0</v>
      </c>
      <c r="AK40" s="36">
        <v>0</v>
      </c>
      <c r="AL40" s="36">
        <v>0</v>
      </c>
      <c r="AM40" s="36">
        <v>0</v>
      </c>
      <c r="AN40" s="36">
        <v>0</v>
      </c>
      <c r="AO40" s="34">
        <f t="shared" ref="AO40" si="93">AP40+AQ40+AR40+AS40</f>
        <v>0</v>
      </c>
      <c r="AP40" s="34">
        <v>0</v>
      </c>
      <c r="AQ40" s="34">
        <v>0</v>
      </c>
      <c r="AR40" s="34">
        <v>0</v>
      </c>
      <c r="AS40" s="34">
        <v>0</v>
      </c>
      <c r="AT40" s="34">
        <f t="shared" ref="AT40" si="94">AU40+AV40+AW40+AX40</f>
        <v>0.48258635</v>
      </c>
      <c r="AU40" s="34">
        <v>0</v>
      </c>
      <c r="AV40" s="34">
        <v>0</v>
      </c>
      <c r="AW40" s="34">
        <v>0.48258635</v>
      </c>
      <c r="AX40" s="34">
        <v>0</v>
      </c>
      <c r="AY40" s="34">
        <f t="shared" ref="AY40" si="95">AZ40+BA40+BB40+BC40</f>
        <v>0.52396283999999993</v>
      </c>
      <c r="AZ40" s="34">
        <v>2.6811359999999999E-2</v>
      </c>
      <c r="BA40" s="34">
        <v>2.2719570000000001E-2</v>
      </c>
      <c r="BB40" s="34">
        <v>0.47443190999999996</v>
      </c>
      <c r="BC40" s="34">
        <v>0</v>
      </c>
    </row>
    <row r="41" spans="1:58" s="55" customFormat="1" ht="48.75" customHeight="1" x14ac:dyDescent="0.25">
      <c r="A41" s="31" t="s">
        <v>49</v>
      </c>
      <c r="B41" s="89" t="s">
        <v>611</v>
      </c>
      <c r="C41" s="90" t="s">
        <v>612</v>
      </c>
      <c r="D41" s="88">
        <v>1.2205920000000001</v>
      </c>
      <c r="E41" s="29">
        <f t="shared" si="10"/>
        <v>4.515393972</v>
      </c>
      <c r="F41" s="29">
        <f t="shared" si="10"/>
        <v>0.21043049999999996</v>
      </c>
      <c r="G41" s="29">
        <f t="shared" si="10"/>
        <v>2.7348870960000005</v>
      </c>
      <c r="H41" s="29">
        <f t="shared" si="10"/>
        <v>1.5700763759999998</v>
      </c>
      <c r="I41" s="29">
        <f t="shared" si="10"/>
        <v>0</v>
      </c>
      <c r="J41" s="29">
        <f t="shared" ref="J41:J44" si="96">K41+L41+M41+N41</f>
        <v>0.33969806400000002</v>
      </c>
      <c r="K41" s="29">
        <v>6.42012E-2</v>
      </c>
      <c r="L41" s="29">
        <v>7.9171536000000001E-2</v>
      </c>
      <c r="M41" s="29">
        <v>0.19632532800000002</v>
      </c>
      <c r="N41" s="29">
        <v>0</v>
      </c>
      <c r="O41" s="29">
        <f>P41+Q41+R41+S41</f>
        <v>0.89355231599999985</v>
      </c>
      <c r="P41" s="29">
        <f>0.9/1000*1.2</f>
        <v>1.08E-3</v>
      </c>
      <c r="Q41" s="29">
        <f>508.55586/1000*1.2</f>
        <v>0.61026703199999999</v>
      </c>
      <c r="R41" s="29">
        <f>235.17107/1000*1.2</f>
        <v>0.28220528399999995</v>
      </c>
      <c r="S41" s="29">
        <v>0</v>
      </c>
      <c r="T41" s="30">
        <f>U41+V41+W41+X41</f>
        <v>0.55873935599999991</v>
      </c>
      <c r="U41" s="30">
        <v>8.6946911999999987E-2</v>
      </c>
      <c r="V41" s="30">
        <v>0.22401812399999996</v>
      </c>
      <c r="W41" s="30">
        <v>0.24777431999999996</v>
      </c>
      <c r="X41" s="30">
        <v>0</v>
      </c>
      <c r="Y41" s="30">
        <f t="shared" si="91"/>
        <v>2.7234042360000004</v>
      </c>
      <c r="Z41" s="30">
        <v>5.8202388000000001E-2</v>
      </c>
      <c r="AA41" s="30">
        <v>1.8214304040000002</v>
      </c>
      <c r="AB41" s="30">
        <v>0.84377144399999993</v>
      </c>
      <c r="AC41" s="34">
        <v>0</v>
      </c>
      <c r="AD41" s="36">
        <v>1.0171570904272806</v>
      </c>
      <c r="AE41" s="36">
        <f t="shared" si="16"/>
        <v>5.3495579199999996</v>
      </c>
      <c r="AF41" s="36">
        <f t="shared" si="16"/>
        <v>0.25335150000000001</v>
      </c>
      <c r="AG41" s="36">
        <f t="shared" si="16"/>
        <v>2.5257090799999999</v>
      </c>
      <c r="AH41" s="36">
        <f t="shared" si="16"/>
        <v>2.5704973400000002</v>
      </c>
      <c r="AI41" s="36">
        <f t="shared" si="16"/>
        <v>0</v>
      </c>
      <c r="AJ41" s="36">
        <f t="shared" ref="AJ41:AJ44" si="97">AK41+AL41+AM41+AN41</f>
        <v>0.29602147000000001</v>
      </c>
      <c r="AK41" s="36">
        <v>3.649736E-2</v>
      </c>
      <c r="AL41" s="36">
        <v>9.5919669999999999E-2</v>
      </c>
      <c r="AM41" s="36">
        <v>0.16360444000000002</v>
      </c>
      <c r="AN41" s="36">
        <v>0</v>
      </c>
      <c r="AO41" s="34">
        <f>AP41+AQ41+AR41+AS41</f>
        <v>0.38527674000000001</v>
      </c>
      <c r="AP41" s="34">
        <f>34.60446/1000</f>
        <v>3.4604460000000004E-2</v>
      </c>
      <c r="AQ41" s="34">
        <f>115.50121/1000</f>
        <v>0.11550121000000001</v>
      </c>
      <c r="AR41" s="34">
        <f>235.17107/1000</f>
        <v>0.23517106999999998</v>
      </c>
      <c r="AS41" s="34">
        <v>0</v>
      </c>
      <c r="AT41" s="34">
        <f>AU41+AV41+AW41+AX41</f>
        <v>0.40991638999999996</v>
      </c>
      <c r="AU41" s="34">
        <v>5.2616000000000003E-2</v>
      </c>
      <c r="AV41" s="34">
        <v>0.15082178999999998</v>
      </c>
      <c r="AW41" s="34">
        <v>0.20647859999999998</v>
      </c>
      <c r="AX41" s="34">
        <v>0</v>
      </c>
      <c r="AY41" s="34">
        <f>AZ41+BA41+BB41+BC41</f>
        <v>4.2583433199999998</v>
      </c>
      <c r="AZ41" s="34">
        <v>0.12963368</v>
      </c>
      <c r="BA41" s="34">
        <v>2.1634664099999998</v>
      </c>
      <c r="BB41" s="34">
        <v>1.96524323</v>
      </c>
      <c r="BC41" s="34">
        <v>0</v>
      </c>
    </row>
    <row r="42" spans="1:58" s="55" customFormat="1" ht="48.75" customHeight="1" x14ac:dyDescent="0.25">
      <c r="A42" s="31" t="s">
        <v>49</v>
      </c>
      <c r="B42" s="89" t="s">
        <v>613</v>
      </c>
      <c r="C42" s="90" t="s">
        <v>614</v>
      </c>
      <c r="D42" s="88">
        <v>11.093064</v>
      </c>
      <c r="E42" s="29">
        <f t="shared" si="10"/>
        <v>22.890924792</v>
      </c>
      <c r="F42" s="29">
        <f t="shared" si="10"/>
        <v>1.4647094279999999</v>
      </c>
      <c r="G42" s="29">
        <f t="shared" si="10"/>
        <v>13.425329424000003</v>
      </c>
      <c r="H42" s="29">
        <f t="shared" si="10"/>
        <v>8.0008859399999999</v>
      </c>
      <c r="I42" s="29">
        <f t="shared" si="10"/>
        <v>0</v>
      </c>
      <c r="J42" s="29">
        <f t="shared" si="96"/>
        <v>4.1703643800000005</v>
      </c>
      <c r="K42" s="29">
        <v>0.24444789599999997</v>
      </c>
      <c r="L42" s="29">
        <v>2.1279577200000004</v>
      </c>
      <c r="M42" s="29">
        <v>1.7979587639999999</v>
      </c>
      <c r="N42" s="29">
        <v>0</v>
      </c>
      <c r="O42" s="29">
        <f t="shared" ref="O42:O44" si="98">P42+Q42+R42+S42</f>
        <v>5.5817898960000001</v>
      </c>
      <c r="P42" s="29">
        <f>183.38663/1000*1.2</f>
        <v>0.22006395599999998</v>
      </c>
      <c r="Q42" s="29">
        <f>3639.33221/1000*1.2</f>
        <v>4.3671986519999999</v>
      </c>
      <c r="R42" s="29">
        <f>828.77274/1000*1.2</f>
        <v>0.99452728800000001</v>
      </c>
      <c r="S42" s="29">
        <v>0</v>
      </c>
      <c r="T42" s="30">
        <f t="shared" ref="T42:T44" si="99">U42+V42+W42+X42</f>
        <v>10.071730080000002</v>
      </c>
      <c r="U42" s="30">
        <v>0.599366328</v>
      </c>
      <c r="V42" s="30">
        <v>5.450767764000001</v>
      </c>
      <c r="W42" s="30">
        <v>4.0215959879999996</v>
      </c>
      <c r="X42" s="30">
        <v>0</v>
      </c>
      <c r="Y42" s="30">
        <f t="shared" si="91"/>
        <v>3.0670404360000001</v>
      </c>
      <c r="Z42" s="30">
        <v>0.40083124799999997</v>
      </c>
      <c r="AA42" s="30">
        <v>1.4794052879999999</v>
      </c>
      <c r="AB42" s="30">
        <v>1.1868038999999999</v>
      </c>
      <c r="AC42" s="34">
        <v>0</v>
      </c>
      <c r="AD42" s="36">
        <v>9.2442232441932148</v>
      </c>
      <c r="AE42" s="36">
        <f t="shared" si="16"/>
        <v>14.40354857</v>
      </c>
      <c r="AF42" s="36">
        <f t="shared" si="16"/>
        <v>0.79393029000000004</v>
      </c>
      <c r="AG42" s="36">
        <f t="shared" si="16"/>
        <v>8.2046780100000003</v>
      </c>
      <c r="AH42" s="36">
        <f t="shared" si="16"/>
        <v>5.4049402700000009</v>
      </c>
      <c r="AI42" s="36">
        <f t="shared" si="16"/>
        <v>0</v>
      </c>
      <c r="AJ42" s="36">
        <f t="shared" si="97"/>
        <v>2.54201838</v>
      </c>
      <c r="AK42" s="36">
        <v>9.9663109999999999E-2</v>
      </c>
      <c r="AL42" s="36">
        <v>1.4040238100000002</v>
      </c>
      <c r="AM42" s="36">
        <v>1.03833146</v>
      </c>
      <c r="AN42" s="36">
        <v>0</v>
      </c>
      <c r="AO42" s="34">
        <f t="shared" ref="AO42:AO44" si="100">AP42+AQ42+AR42+AS42</f>
        <v>4.4243623999999997</v>
      </c>
      <c r="AP42" s="34">
        <f>143.31557/1000</f>
        <v>0.14331557</v>
      </c>
      <c r="AQ42" s="34">
        <f>2992.30658/1000</f>
        <v>2.9923065800000002</v>
      </c>
      <c r="AR42" s="34">
        <f>1288.74025/1000</f>
        <v>1.28874025</v>
      </c>
      <c r="AS42" s="34">
        <v>0</v>
      </c>
      <c r="AT42" s="34">
        <f t="shared" ref="AT42:AT44" si="101">AU42+AV42+AW42+AX42</f>
        <v>5.0905257600000002</v>
      </c>
      <c r="AU42" s="34">
        <v>5.9444819999999995E-2</v>
      </c>
      <c r="AV42" s="34">
        <v>2.9422156299999997</v>
      </c>
      <c r="AW42" s="34">
        <v>2.0888653100000001</v>
      </c>
      <c r="AX42" s="34">
        <v>0</v>
      </c>
      <c r="AY42" s="34">
        <f t="shared" ref="AY42:AY44" si="102">AZ42+BA42+BB42+BC42</f>
        <v>2.3466420299999999</v>
      </c>
      <c r="AZ42" s="34">
        <v>0.49150679000000003</v>
      </c>
      <c r="BA42" s="34">
        <v>0.86613198999999996</v>
      </c>
      <c r="BB42" s="34">
        <v>0.98900325000000011</v>
      </c>
      <c r="BC42" s="34">
        <v>0</v>
      </c>
    </row>
    <row r="43" spans="1:58" s="55" customFormat="1" ht="48.75" customHeight="1" x14ac:dyDescent="0.25">
      <c r="A43" s="31" t="s">
        <v>49</v>
      </c>
      <c r="B43" s="89" t="s">
        <v>615</v>
      </c>
      <c r="C43" s="90" t="s">
        <v>616</v>
      </c>
      <c r="D43" s="88">
        <v>6.6681119999999998</v>
      </c>
      <c r="E43" s="29">
        <f t="shared" si="10"/>
        <v>13.990107132</v>
      </c>
      <c r="F43" s="29">
        <f t="shared" si="10"/>
        <v>0.8987564400000001</v>
      </c>
      <c r="G43" s="29">
        <f t="shared" si="10"/>
        <v>5.6724218759999996</v>
      </c>
      <c r="H43" s="29">
        <f t="shared" si="10"/>
        <v>7.4189288159999993</v>
      </c>
      <c r="I43" s="29">
        <f t="shared" si="10"/>
        <v>0</v>
      </c>
      <c r="J43" s="29">
        <f t="shared" si="96"/>
        <v>1.2496179479999998</v>
      </c>
      <c r="K43" s="29">
        <v>0.18896265600000001</v>
      </c>
      <c r="L43" s="29">
        <v>0.20237335199999998</v>
      </c>
      <c r="M43" s="29">
        <v>0.8582819399999998</v>
      </c>
      <c r="N43" s="29">
        <v>0</v>
      </c>
      <c r="O43" s="29">
        <f t="shared" si="98"/>
        <v>1.3889367239999999</v>
      </c>
      <c r="P43" s="29">
        <f>(132.81163+5)/1000*1.2</f>
        <v>0.16537395600000002</v>
      </c>
      <c r="Q43" s="29">
        <f>736.43722/1000*1.2</f>
        <v>0.88372466399999994</v>
      </c>
      <c r="R43" s="29">
        <f>283.19842/1000*1.2</f>
        <v>0.33983810399999997</v>
      </c>
      <c r="S43" s="29">
        <v>0</v>
      </c>
      <c r="T43" s="30">
        <f t="shared" si="99"/>
        <v>5.2561811279999997</v>
      </c>
      <c r="U43" s="30">
        <v>0.23465002800000001</v>
      </c>
      <c r="V43" s="30">
        <v>1.7124077159999997</v>
      </c>
      <c r="W43" s="30">
        <v>3.3091233840000003</v>
      </c>
      <c r="X43" s="30">
        <v>0</v>
      </c>
      <c r="Y43" s="30">
        <f t="shared" si="91"/>
        <v>6.0953713320000009</v>
      </c>
      <c r="Z43" s="30">
        <v>0.30976980000000004</v>
      </c>
      <c r="AA43" s="30">
        <v>2.8739161440000003</v>
      </c>
      <c r="AB43" s="30">
        <v>2.911685388</v>
      </c>
      <c r="AC43" s="34">
        <v>0</v>
      </c>
      <c r="AD43" s="36">
        <v>5.5567634859189798</v>
      </c>
      <c r="AE43" s="36">
        <f t="shared" si="16"/>
        <v>10.072376590000001</v>
      </c>
      <c r="AF43" s="36">
        <f t="shared" si="16"/>
        <v>0.28927866000000002</v>
      </c>
      <c r="AG43" s="36">
        <f t="shared" si="16"/>
        <v>3.53837622</v>
      </c>
      <c r="AH43" s="36">
        <f t="shared" si="16"/>
        <v>6.2447217100000012</v>
      </c>
      <c r="AI43" s="36">
        <f t="shared" si="16"/>
        <v>0</v>
      </c>
      <c r="AJ43" s="36">
        <f t="shared" si="97"/>
        <v>0.74222913999999995</v>
      </c>
      <c r="AK43" s="36">
        <v>8.9999999999999998E-4</v>
      </c>
      <c r="AL43" s="36">
        <v>2.6094189999999996E-2</v>
      </c>
      <c r="AM43" s="36">
        <v>0.71523494999999992</v>
      </c>
      <c r="AN43" s="36">
        <v>0</v>
      </c>
      <c r="AO43" s="34">
        <f t="shared" si="100"/>
        <v>2.3601540000000001E-2</v>
      </c>
      <c r="AP43" s="34">
        <v>0</v>
      </c>
      <c r="AQ43" s="34">
        <f>18.05468/1000</f>
        <v>1.805468E-2</v>
      </c>
      <c r="AR43" s="34">
        <f>5.54686/1000</f>
        <v>5.5468599999999998E-3</v>
      </c>
      <c r="AS43" s="34">
        <v>0</v>
      </c>
      <c r="AT43" s="34">
        <f t="shared" si="101"/>
        <v>4.9777696900000006</v>
      </c>
      <c r="AU43" s="34">
        <v>9.3628690000000001E-2</v>
      </c>
      <c r="AV43" s="34">
        <v>1.7686505400000001</v>
      </c>
      <c r="AW43" s="34">
        <v>3.1154904600000006</v>
      </c>
      <c r="AX43" s="34">
        <v>0</v>
      </c>
      <c r="AY43" s="34">
        <f t="shared" si="102"/>
        <v>4.32877622</v>
      </c>
      <c r="AZ43" s="34">
        <v>0.19474996999999999</v>
      </c>
      <c r="BA43" s="34">
        <v>1.72557681</v>
      </c>
      <c r="BB43" s="34">
        <v>2.4084494400000005</v>
      </c>
      <c r="BC43" s="34">
        <v>0</v>
      </c>
    </row>
    <row r="44" spans="1:58" s="55" customFormat="1" ht="44.25" customHeight="1" x14ac:dyDescent="0.25">
      <c r="A44" s="31" t="s">
        <v>49</v>
      </c>
      <c r="B44" s="89" t="s">
        <v>461</v>
      </c>
      <c r="C44" s="90" t="s">
        <v>463</v>
      </c>
      <c r="D44" s="88">
        <v>0</v>
      </c>
      <c r="E44" s="29">
        <f t="shared" si="10"/>
        <v>1.5256869000000002</v>
      </c>
      <c r="F44" s="29">
        <f t="shared" si="10"/>
        <v>1.4167085280000002</v>
      </c>
      <c r="G44" s="29">
        <f t="shared" si="10"/>
        <v>0.108978372</v>
      </c>
      <c r="H44" s="29">
        <f t="shared" si="10"/>
        <v>0</v>
      </c>
      <c r="I44" s="29">
        <f t="shared" si="10"/>
        <v>0</v>
      </c>
      <c r="J44" s="29">
        <f t="shared" si="96"/>
        <v>5.9504495999999997E-2</v>
      </c>
      <c r="K44" s="29">
        <v>5.9504495999999997E-2</v>
      </c>
      <c r="L44" s="29">
        <v>0</v>
      </c>
      <c r="M44" s="29">
        <v>0</v>
      </c>
      <c r="N44" s="29">
        <v>0</v>
      </c>
      <c r="O44" s="29">
        <f t="shared" si="98"/>
        <v>8.6400000000000001E-3</v>
      </c>
      <c r="P44" s="29">
        <f>7.2/1000*1.2</f>
        <v>8.6400000000000001E-3</v>
      </c>
      <c r="Q44" s="29">
        <v>0</v>
      </c>
      <c r="R44" s="29">
        <v>0</v>
      </c>
      <c r="S44" s="29">
        <v>0</v>
      </c>
      <c r="T44" s="30">
        <f t="shared" si="99"/>
        <v>1.2827295480000003</v>
      </c>
      <c r="U44" s="30">
        <v>1.2393496320000004</v>
      </c>
      <c r="V44" s="30">
        <v>4.3379916000000004E-2</v>
      </c>
      <c r="W44" s="30">
        <v>0</v>
      </c>
      <c r="X44" s="30">
        <v>0</v>
      </c>
      <c r="Y44" s="30">
        <f t="shared" si="91"/>
        <v>0.17481285599999999</v>
      </c>
      <c r="Z44" s="30">
        <v>0.10921439999999999</v>
      </c>
      <c r="AA44" s="30">
        <v>6.5598455999999999E-2</v>
      </c>
      <c r="AB44" s="30">
        <v>0</v>
      </c>
      <c r="AC44" s="34">
        <v>0</v>
      </c>
      <c r="AD44" s="36">
        <f>D44/1.2</f>
        <v>0</v>
      </c>
      <c r="AE44" s="36">
        <f t="shared" si="16"/>
        <v>0</v>
      </c>
      <c r="AF44" s="36">
        <f t="shared" si="16"/>
        <v>0</v>
      </c>
      <c r="AG44" s="36">
        <f t="shared" si="16"/>
        <v>0</v>
      </c>
      <c r="AH44" s="36">
        <f t="shared" si="16"/>
        <v>0</v>
      </c>
      <c r="AI44" s="36">
        <f t="shared" si="16"/>
        <v>0</v>
      </c>
      <c r="AJ44" s="36">
        <f t="shared" si="97"/>
        <v>0</v>
      </c>
      <c r="AK44" s="36">
        <v>0</v>
      </c>
      <c r="AL44" s="36">
        <v>0</v>
      </c>
      <c r="AM44" s="36">
        <v>0</v>
      </c>
      <c r="AN44" s="36">
        <v>0</v>
      </c>
      <c r="AO44" s="34">
        <f t="shared" si="100"/>
        <v>0</v>
      </c>
      <c r="AP44" s="34">
        <v>0</v>
      </c>
      <c r="AQ44" s="34">
        <v>0</v>
      </c>
      <c r="AR44" s="34">
        <v>0</v>
      </c>
      <c r="AS44" s="34">
        <v>0</v>
      </c>
      <c r="AT44" s="34">
        <f t="shared" si="101"/>
        <v>0</v>
      </c>
      <c r="AU44" s="34">
        <v>0</v>
      </c>
      <c r="AV44" s="34">
        <v>0</v>
      </c>
      <c r="AW44" s="34">
        <v>0</v>
      </c>
      <c r="AX44" s="34">
        <v>0</v>
      </c>
      <c r="AY44" s="34">
        <f t="shared" si="102"/>
        <v>0</v>
      </c>
      <c r="AZ44" s="34">
        <v>0</v>
      </c>
      <c r="BA44" s="34">
        <v>0</v>
      </c>
      <c r="BB44" s="34">
        <v>0</v>
      </c>
      <c r="BC44" s="34">
        <v>0</v>
      </c>
    </row>
    <row r="45" spans="1:58" s="55" customFormat="1" ht="35.25" customHeight="1" x14ac:dyDescent="0.25">
      <c r="A45" s="71" t="s">
        <v>50</v>
      </c>
      <c r="B45" s="78" t="s">
        <v>123</v>
      </c>
      <c r="C45" s="79" t="s">
        <v>101</v>
      </c>
      <c r="D45" s="84">
        <f>D46</f>
        <v>61.987208000000003</v>
      </c>
      <c r="E45" s="75">
        <f t="shared" si="10"/>
        <v>39.616576404</v>
      </c>
      <c r="F45" s="75">
        <f t="shared" si="10"/>
        <v>0.474764772</v>
      </c>
      <c r="G45" s="75">
        <f t="shared" si="10"/>
        <v>19.531270128000003</v>
      </c>
      <c r="H45" s="75">
        <f t="shared" si="10"/>
        <v>19.610541504</v>
      </c>
      <c r="I45" s="75">
        <f t="shared" si="10"/>
        <v>0</v>
      </c>
      <c r="J45" s="75">
        <f>SUM(J46:J91)</f>
        <v>1.7613848520000002</v>
      </c>
      <c r="K45" s="75">
        <f t="shared" ref="K45:N45" si="103">SUM(K46:K91)</f>
        <v>2.5918799999999999E-2</v>
      </c>
      <c r="L45" s="75">
        <f t="shared" si="103"/>
        <v>1.492275684</v>
      </c>
      <c r="M45" s="75">
        <f t="shared" si="103"/>
        <v>0.24319036800000002</v>
      </c>
      <c r="N45" s="75">
        <f t="shared" si="103"/>
        <v>0</v>
      </c>
      <c r="O45" s="75">
        <f t="shared" ref="O45:R45" si="104">SUM(O46:O82)</f>
        <v>13.024296059999999</v>
      </c>
      <c r="P45" s="75">
        <f t="shared" si="104"/>
        <v>0.11456606400000001</v>
      </c>
      <c r="Q45" s="75">
        <f t="shared" si="104"/>
        <v>9.3481844280000015</v>
      </c>
      <c r="R45" s="75">
        <f t="shared" si="104"/>
        <v>3.5615455680000001</v>
      </c>
      <c r="S45" s="75">
        <f>SUM(S47:S69)</f>
        <v>0</v>
      </c>
      <c r="T45" s="118">
        <f t="shared" ref="T45:X45" si="105">SUM(T46:T91)</f>
        <v>21.738012888</v>
      </c>
      <c r="U45" s="118">
        <f t="shared" si="105"/>
        <v>0.15033861600000001</v>
      </c>
      <c r="V45" s="118">
        <f t="shared" si="105"/>
        <v>7.7889811679999985</v>
      </c>
      <c r="W45" s="118">
        <f t="shared" si="105"/>
        <v>13.798693104</v>
      </c>
      <c r="X45" s="118">
        <f t="shared" si="105"/>
        <v>0</v>
      </c>
      <c r="Y45" s="118">
        <f t="shared" ref="Y45:AD45" si="106">SUM(Y46:Y91)</f>
        <v>3.0928826039999997</v>
      </c>
      <c r="Z45" s="118">
        <f t="shared" si="106"/>
        <v>0.18394129200000001</v>
      </c>
      <c r="AA45" s="118">
        <f t="shared" si="106"/>
        <v>0.90182884800000007</v>
      </c>
      <c r="AB45" s="118">
        <f t="shared" si="106"/>
        <v>2.007112464</v>
      </c>
      <c r="AC45" s="53">
        <f t="shared" si="106"/>
        <v>0</v>
      </c>
      <c r="AD45" s="35">
        <f t="shared" si="106"/>
        <v>51.655990112338102</v>
      </c>
      <c r="AE45" s="35">
        <f t="shared" si="16"/>
        <v>58.777940950000001</v>
      </c>
      <c r="AF45" s="35">
        <f t="shared" si="16"/>
        <v>2.3750069200000001</v>
      </c>
      <c r="AG45" s="35">
        <f t="shared" si="16"/>
        <v>29.990981850000001</v>
      </c>
      <c r="AH45" s="35">
        <f t="shared" si="16"/>
        <v>26.41195218</v>
      </c>
      <c r="AI45" s="35">
        <f t="shared" si="16"/>
        <v>0</v>
      </c>
      <c r="AJ45" s="43">
        <f t="shared" ref="AJ45:BC45" si="107">SUM(AJ46:AJ91)</f>
        <v>1.01383198</v>
      </c>
      <c r="AK45" s="43">
        <f t="shared" si="107"/>
        <v>6.7178810000000005E-2</v>
      </c>
      <c r="AL45" s="43">
        <f t="shared" si="107"/>
        <v>0.74399452999999993</v>
      </c>
      <c r="AM45" s="43">
        <f t="shared" si="107"/>
        <v>0.20265864000000003</v>
      </c>
      <c r="AN45" s="43">
        <f t="shared" si="107"/>
        <v>0</v>
      </c>
      <c r="AO45" s="43">
        <f t="shared" si="107"/>
        <v>10.178813379999999</v>
      </c>
      <c r="AP45" s="43">
        <f t="shared" si="107"/>
        <v>9.5936740000000006E-2</v>
      </c>
      <c r="AQ45" s="43">
        <f t="shared" si="107"/>
        <v>7.114922</v>
      </c>
      <c r="AR45" s="43">
        <f t="shared" si="107"/>
        <v>2.9679546400000003</v>
      </c>
      <c r="AS45" s="43">
        <f t="shared" si="107"/>
        <v>0</v>
      </c>
      <c r="AT45" s="43">
        <f t="shared" si="107"/>
        <v>19.65989265</v>
      </c>
      <c r="AU45" s="43">
        <f t="shared" si="107"/>
        <v>0.80767079000000008</v>
      </c>
      <c r="AV45" s="43">
        <f t="shared" si="107"/>
        <v>7.3533109400000001</v>
      </c>
      <c r="AW45" s="43">
        <f t="shared" si="107"/>
        <v>11.49891092</v>
      </c>
      <c r="AX45" s="43">
        <f t="shared" si="107"/>
        <v>0</v>
      </c>
      <c r="AY45" s="53">
        <f t="shared" si="107"/>
        <v>27.925402939999998</v>
      </c>
      <c r="AZ45" s="53">
        <f t="shared" si="107"/>
        <v>1.4042205800000001</v>
      </c>
      <c r="BA45" s="53">
        <f t="shared" si="107"/>
        <v>14.778754380000001</v>
      </c>
      <c r="BB45" s="53">
        <f t="shared" si="107"/>
        <v>11.74242798</v>
      </c>
      <c r="BC45" s="53">
        <f t="shared" si="107"/>
        <v>0</v>
      </c>
    </row>
    <row r="46" spans="1:58" s="55" customFormat="1" ht="48.75" customHeight="1" x14ac:dyDescent="0.25">
      <c r="A46" s="31" t="s">
        <v>50</v>
      </c>
      <c r="B46" s="91" t="s">
        <v>618</v>
      </c>
      <c r="C46" s="90" t="s">
        <v>619</v>
      </c>
      <c r="D46" s="88">
        <f>61.987188+0.00002</f>
        <v>61.987208000000003</v>
      </c>
      <c r="E46" s="29">
        <f t="shared" si="10"/>
        <v>0</v>
      </c>
      <c r="F46" s="29">
        <f t="shared" si="10"/>
        <v>0</v>
      </c>
      <c r="G46" s="29">
        <f t="shared" si="10"/>
        <v>0</v>
      </c>
      <c r="H46" s="29">
        <f t="shared" si="10"/>
        <v>0</v>
      </c>
      <c r="I46" s="29">
        <f t="shared" si="10"/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>
        <v>0</v>
      </c>
      <c r="R46" s="29">
        <v>0</v>
      </c>
      <c r="S46" s="29">
        <v>0</v>
      </c>
      <c r="T46" s="30">
        <f>U46+V46+W46</f>
        <v>0</v>
      </c>
      <c r="U46" s="30">
        <v>0</v>
      </c>
      <c r="V46" s="30">
        <v>0</v>
      </c>
      <c r="W46" s="30">
        <v>0</v>
      </c>
      <c r="X46" s="30">
        <v>0</v>
      </c>
      <c r="Y46" s="30">
        <f t="shared" ref="Y46:Y91" si="108">Z46+AA46+AB46+AC46</f>
        <v>0</v>
      </c>
      <c r="Z46" s="30">
        <v>0</v>
      </c>
      <c r="AA46" s="30">
        <v>0</v>
      </c>
      <c r="AB46" s="30">
        <v>0</v>
      </c>
      <c r="AC46" s="34">
        <v>0</v>
      </c>
      <c r="AD46" s="36">
        <v>51.655990112338102</v>
      </c>
      <c r="AE46" s="36">
        <f t="shared" si="16"/>
        <v>0</v>
      </c>
      <c r="AF46" s="36">
        <f t="shared" si="16"/>
        <v>0</v>
      </c>
      <c r="AG46" s="36">
        <f t="shared" si="16"/>
        <v>0</v>
      </c>
      <c r="AH46" s="36">
        <f t="shared" si="16"/>
        <v>0</v>
      </c>
      <c r="AI46" s="36">
        <f t="shared" si="16"/>
        <v>0</v>
      </c>
      <c r="AJ46" s="44">
        <v>0</v>
      </c>
      <c r="AK46" s="44">
        <v>0</v>
      </c>
      <c r="AL46" s="44">
        <v>0</v>
      </c>
      <c r="AM46" s="44">
        <v>0</v>
      </c>
      <c r="AN46" s="44">
        <v>0</v>
      </c>
      <c r="AO46" s="44">
        <v>0</v>
      </c>
      <c r="AP46" s="44">
        <v>0</v>
      </c>
      <c r="AQ46" s="44">
        <v>0</v>
      </c>
      <c r="AR46" s="44">
        <v>0</v>
      </c>
      <c r="AS46" s="44">
        <v>0</v>
      </c>
      <c r="AT46" s="34">
        <v>0</v>
      </c>
      <c r="AU46" s="34">
        <v>0</v>
      </c>
      <c r="AV46" s="34">
        <v>0</v>
      </c>
      <c r="AW46" s="34">
        <v>0</v>
      </c>
      <c r="AX46" s="34">
        <v>0</v>
      </c>
      <c r="AY46" s="34">
        <f>AZ46+BA46+BB46</f>
        <v>0</v>
      </c>
      <c r="AZ46" s="34">
        <v>0</v>
      </c>
      <c r="BA46" s="34">
        <v>0</v>
      </c>
      <c r="BB46" s="34">
        <v>0</v>
      </c>
      <c r="BC46" s="34">
        <v>0</v>
      </c>
      <c r="BE46" s="61"/>
      <c r="BF46" s="61"/>
    </row>
    <row r="47" spans="1:58" s="55" customFormat="1" ht="53.25" customHeight="1" x14ac:dyDescent="0.25">
      <c r="A47" s="31" t="s">
        <v>50</v>
      </c>
      <c r="B47" s="91" t="s">
        <v>464</v>
      </c>
      <c r="C47" s="90" t="s">
        <v>465</v>
      </c>
      <c r="D47" s="88">
        <v>0</v>
      </c>
      <c r="E47" s="29">
        <f t="shared" si="10"/>
        <v>-1.56E-3</v>
      </c>
      <c r="F47" s="29">
        <f t="shared" si="10"/>
        <v>-1.56E-3</v>
      </c>
      <c r="G47" s="29">
        <f t="shared" si="10"/>
        <v>0</v>
      </c>
      <c r="H47" s="29">
        <f t="shared" si="10"/>
        <v>0</v>
      </c>
      <c r="I47" s="29">
        <f t="shared" si="10"/>
        <v>0</v>
      </c>
      <c r="J47" s="29">
        <f t="shared" si="29"/>
        <v>-1.56E-3</v>
      </c>
      <c r="K47" s="29">
        <v>-1.56E-3</v>
      </c>
      <c r="L47" s="29">
        <v>0</v>
      </c>
      <c r="M47" s="29">
        <v>0</v>
      </c>
      <c r="N47" s="29">
        <v>0</v>
      </c>
      <c r="O47" s="29">
        <f>P47+Q47+R47+S47</f>
        <v>0</v>
      </c>
      <c r="P47" s="29">
        <v>0</v>
      </c>
      <c r="Q47" s="29">
        <v>0</v>
      </c>
      <c r="R47" s="29">
        <v>0</v>
      </c>
      <c r="S47" s="29">
        <f>U47+V47+W47+X47</f>
        <v>0</v>
      </c>
      <c r="T47" s="30">
        <f t="shared" ref="T47:T84" si="109">U47+V47+W47</f>
        <v>0</v>
      </c>
      <c r="U47" s="30">
        <v>0</v>
      </c>
      <c r="V47" s="30">
        <v>0</v>
      </c>
      <c r="W47" s="30">
        <v>0</v>
      </c>
      <c r="X47" s="30">
        <v>0</v>
      </c>
      <c r="Y47" s="30">
        <f t="shared" si="108"/>
        <v>0</v>
      </c>
      <c r="Z47" s="30">
        <v>0</v>
      </c>
      <c r="AA47" s="30">
        <v>0</v>
      </c>
      <c r="AB47" s="30">
        <v>0</v>
      </c>
      <c r="AC47" s="34">
        <v>0</v>
      </c>
      <c r="AD47" s="36">
        <f t="shared" ref="AD47:AD57" si="110">D47/1.2</f>
        <v>0</v>
      </c>
      <c r="AE47" s="36">
        <f t="shared" si="16"/>
        <v>0</v>
      </c>
      <c r="AF47" s="36">
        <f t="shared" si="16"/>
        <v>0</v>
      </c>
      <c r="AG47" s="36">
        <f t="shared" si="16"/>
        <v>0</v>
      </c>
      <c r="AH47" s="36">
        <f t="shared" si="16"/>
        <v>0</v>
      </c>
      <c r="AI47" s="36">
        <f t="shared" si="16"/>
        <v>0</v>
      </c>
      <c r="AJ47" s="36">
        <f t="shared" ref="AJ47:AJ119" si="111">AK47+AL47+AM47+AN47</f>
        <v>0</v>
      </c>
      <c r="AK47" s="36">
        <v>0</v>
      </c>
      <c r="AL47" s="36">
        <v>0</v>
      </c>
      <c r="AM47" s="36">
        <v>0</v>
      </c>
      <c r="AN47" s="36">
        <v>0</v>
      </c>
      <c r="AO47" s="34">
        <f>AP47+AQ47+AR47+AS47</f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f t="shared" ref="AT47:AT103" si="112">AU47+AV47+AW47+AX47</f>
        <v>0</v>
      </c>
      <c r="AU47" s="34">
        <v>0</v>
      </c>
      <c r="AV47" s="34">
        <v>0</v>
      </c>
      <c r="AW47" s="34">
        <v>0</v>
      </c>
      <c r="AX47" s="34">
        <v>0</v>
      </c>
      <c r="AY47" s="34">
        <f t="shared" ref="AY47:AY91" si="113">AZ47+BA47+BB47</f>
        <v>0</v>
      </c>
      <c r="AZ47" s="34">
        <v>0</v>
      </c>
      <c r="BA47" s="34">
        <v>0</v>
      </c>
      <c r="BB47" s="34">
        <v>0</v>
      </c>
      <c r="BC47" s="34">
        <v>0</v>
      </c>
    </row>
    <row r="48" spans="1:58" s="55" customFormat="1" ht="53.25" customHeight="1" x14ac:dyDescent="0.25">
      <c r="A48" s="31" t="s">
        <v>50</v>
      </c>
      <c r="B48" s="91" t="s">
        <v>466</v>
      </c>
      <c r="C48" s="90" t="s">
        <v>467</v>
      </c>
      <c r="D48" s="88">
        <v>0</v>
      </c>
      <c r="E48" s="29">
        <f t="shared" si="10"/>
        <v>11.206508784</v>
      </c>
      <c r="F48" s="29">
        <f t="shared" si="10"/>
        <v>0</v>
      </c>
      <c r="G48" s="29">
        <f t="shared" si="10"/>
        <v>7.9144738079999994</v>
      </c>
      <c r="H48" s="29">
        <f t="shared" si="10"/>
        <v>3.2920349760000001</v>
      </c>
      <c r="I48" s="29">
        <f t="shared" si="10"/>
        <v>0</v>
      </c>
      <c r="J48" s="29">
        <f t="shared" si="29"/>
        <v>0.17834620799999998</v>
      </c>
      <c r="K48" s="29">
        <v>0</v>
      </c>
      <c r="L48" s="29">
        <v>0.17834620799999998</v>
      </c>
      <c r="M48" s="29">
        <v>0</v>
      </c>
      <c r="N48" s="29">
        <v>0</v>
      </c>
      <c r="O48" s="29">
        <f t="shared" ref="O48:O69" si="114">P48+Q48+R48+S48</f>
        <v>11.028162576</v>
      </c>
      <c r="P48" s="29">
        <v>0</v>
      </c>
      <c r="Q48" s="29">
        <f>6446773/1000000*1.2</f>
        <v>7.7361275999999997</v>
      </c>
      <c r="R48" s="29">
        <f>2743362.48/1000000*1.2</f>
        <v>3.2920349760000001</v>
      </c>
      <c r="S48" s="29">
        <v>0</v>
      </c>
      <c r="T48" s="30">
        <f t="shared" si="109"/>
        <v>0</v>
      </c>
      <c r="U48" s="30">
        <v>0</v>
      </c>
      <c r="V48" s="30">
        <v>0</v>
      </c>
      <c r="W48" s="30">
        <v>0</v>
      </c>
      <c r="X48" s="30">
        <v>0</v>
      </c>
      <c r="Y48" s="30">
        <f t="shared" si="108"/>
        <v>0</v>
      </c>
      <c r="Z48" s="30">
        <v>0</v>
      </c>
      <c r="AA48" s="30">
        <v>0</v>
      </c>
      <c r="AB48" s="30">
        <v>0</v>
      </c>
      <c r="AC48" s="34">
        <v>0</v>
      </c>
      <c r="AD48" s="36">
        <f t="shared" si="110"/>
        <v>0</v>
      </c>
      <c r="AE48" s="36">
        <f t="shared" si="16"/>
        <v>9.7795455699999998</v>
      </c>
      <c r="AF48" s="36">
        <f t="shared" si="16"/>
        <v>7.6890380000000008E-2</v>
      </c>
      <c r="AG48" s="36">
        <f t="shared" si="16"/>
        <v>6.9592927099999997</v>
      </c>
      <c r="AH48" s="36">
        <f t="shared" si="16"/>
        <v>2.74336248</v>
      </c>
      <c r="AI48" s="36">
        <f t="shared" si="16"/>
        <v>0</v>
      </c>
      <c r="AJ48" s="36">
        <f t="shared" si="111"/>
        <v>0</v>
      </c>
      <c r="AK48" s="36">
        <v>0</v>
      </c>
      <c r="AL48" s="36">
        <v>0</v>
      </c>
      <c r="AM48" s="36">
        <v>0</v>
      </c>
      <c r="AN48" s="36">
        <v>0</v>
      </c>
      <c r="AO48" s="34">
        <f t="shared" ref="AO48:AO69" si="115">AP48+AQ48+AR48+AS48</f>
        <v>9.7795455699999998</v>
      </c>
      <c r="AP48" s="34">
        <f>76890.38/1000000</f>
        <v>7.6890380000000008E-2</v>
      </c>
      <c r="AQ48" s="34">
        <f>6959292.71/1000000</f>
        <v>6.9592927099999997</v>
      </c>
      <c r="AR48" s="34">
        <f>2743362.48/1000000</f>
        <v>2.74336248</v>
      </c>
      <c r="AS48" s="34">
        <v>0</v>
      </c>
      <c r="AT48" s="34">
        <f t="shared" si="112"/>
        <v>0</v>
      </c>
      <c r="AU48" s="34">
        <v>0</v>
      </c>
      <c r="AV48" s="34">
        <v>0</v>
      </c>
      <c r="AW48" s="34">
        <v>0</v>
      </c>
      <c r="AX48" s="34">
        <v>0</v>
      </c>
      <c r="AY48" s="34">
        <f t="shared" si="113"/>
        <v>0</v>
      </c>
      <c r="AZ48" s="34">
        <v>0</v>
      </c>
      <c r="BA48" s="34">
        <v>0</v>
      </c>
      <c r="BB48" s="34">
        <v>0</v>
      </c>
      <c r="BC48" s="34">
        <v>0</v>
      </c>
    </row>
    <row r="49" spans="1:55" s="55" customFormat="1" ht="53.25" customHeight="1" x14ac:dyDescent="0.25">
      <c r="A49" s="31" t="s">
        <v>50</v>
      </c>
      <c r="B49" s="91" t="s">
        <v>468</v>
      </c>
      <c r="C49" s="90" t="s">
        <v>469</v>
      </c>
      <c r="D49" s="88">
        <v>0</v>
      </c>
      <c r="E49" s="29">
        <f t="shared" si="10"/>
        <v>1.0689042600000001</v>
      </c>
      <c r="F49" s="29">
        <f t="shared" si="10"/>
        <v>0</v>
      </c>
      <c r="G49" s="29">
        <f t="shared" si="10"/>
        <v>0.84369971999999993</v>
      </c>
      <c r="H49" s="29">
        <f t="shared" si="10"/>
        <v>0.22520454000000001</v>
      </c>
      <c r="I49" s="29">
        <f t="shared" si="10"/>
        <v>0</v>
      </c>
      <c r="J49" s="29">
        <f t="shared" si="29"/>
        <v>1.0689042600000001</v>
      </c>
      <c r="K49" s="29">
        <v>0</v>
      </c>
      <c r="L49" s="29">
        <v>0.84369971999999993</v>
      </c>
      <c r="M49" s="29">
        <v>0.22520454000000001</v>
      </c>
      <c r="N49" s="29">
        <v>0</v>
      </c>
      <c r="O49" s="29">
        <f t="shared" si="114"/>
        <v>0</v>
      </c>
      <c r="P49" s="29">
        <v>0</v>
      </c>
      <c r="Q49" s="29">
        <v>0</v>
      </c>
      <c r="R49" s="29">
        <v>0</v>
      </c>
      <c r="S49" s="29">
        <v>0</v>
      </c>
      <c r="T49" s="30">
        <f t="shared" si="109"/>
        <v>0</v>
      </c>
      <c r="U49" s="30">
        <v>0</v>
      </c>
      <c r="V49" s="30">
        <v>0</v>
      </c>
      <c r="W49" s="30">
        <v>0</v>
      </c>
      <c r="X49" s="30">
        <v>0</v>
      </c>
      <c r="Y49" s="30">
        <f t="shared" si="108"/>
        <v>0</v>
      </c>
      <c r="Z49" s="30">
        <v>0</v>
      </c>
      <c r="AA49" s="30">
        <v>0</v>
      </c>
      <c r="AB49" s="30">
        <v>0</v>
      </c>
      <c r="AC49" s="34">
        <v>0</v>
      </c>
      <c r="AD49" s="36">
        <f t="shared" si="110"/>
        <v>0</v>
      </c>
      <c r="AE49" s="36">
        <f t="shared" si="16"/>
        <v>0.95793236000000004</v>
      </c>
      <c r="AF49" s="36">
        <f t="shared" si="16"/>
        <v>6.7178810000000005E-2</v>
      </c>
      <c r="AG49" s="36">
        <f t="shared" si="16"/>
        <v>0.70308309999999996</v>
      </c>
      <c r="AH49" s="36">
        <f t="shared" si="16"/>
        <v>0.18767045000000002</v>
      </c>
      <c r="AI49" s="36">
        <f t="shared" si="16"/>
        <v>0</v>
      </c>
      <c r="AJ49" s="36">
        <f t="shared" si="111"/>
        <v>0.95793236000000004</v>
      </c>
      <c r="AK49" s="36">
        <v>6.7178810000000005E-2</v>
      </c>
      <c r="AL49" s="36">
        <v>0.70308309999999996</v>
      </c>
      <c r="AM49" s="36">
        <v>0.18767045000000002</v>
      </c>
      <c r="AN49" s="36">
        <v>0</v>
      </c>
      <c r="AO49" s="34">
        <f t="shared" si="115"/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f t="shared" si="112"/>
        <v>0</v>
      </c>
      <c r="AU49" s="34">
        <v>0</v>
      </c>
      <c r="AV49" s="34">
        <v>0</v>
      </c>
      <c r="AW49" s="34">
        <v>0</v>
      </c>
      <c r="AX49" s="34">
        <v>0</v>
      </c>
      <c r="AY49" s="34">
        <f t="shared" si="113"/>
        <v>0</v>
      </c>
      <c r="AZ49" s="34">
        <v>0</v>
      </c>
      <c r="BA49" s="34">
        <v>0</v>
      </c>
      <c r="BB49" s="34">
        <v>0</v>
      </c>
      <c r="BC49" s="34">
        <v>0</v>
      </c>
    </row>
    <row r="50" spans="1:55" s="55" customFormat="1" ht="53.25" customHeight="1" x14ac:dyDescent="0.25">
      <c r="A50" s="31" t="s">
        <v>50</v>
      </c>
      <c r="B50" s="91" t="s">
        <v>470</v>
      </c>
      <c r="C50" s="90" t="s">
        <v>471</v>
      </c>
      <c r="D50" s="88">
        <v>0</v>
      </c>
      <c r="E50" s="29">
        <f t="shared" si="10"/>
        <v>6.7079544000000005E-2</v>
      </c>
      <c r="F50" s="29">
        <f t="shared" si="10"/>
        <v>0</v>
      </c>
      <c r="G50" s="29">
        <f t="shared" si="10"/>
        <v>4.9093716000000003E-2</v>
      </c>
      <c r="H50" s="29">
        <f t="shared" si="10"/>
        <v>1.7985828000000002E-2</v>
      </c>
      <c r="I50" s="29">
        <f t="shared" si="10"/>
        <v>0</v>
      </c>
      <c r="J50" s="29">
        <f t="shared" si="29"/>
        <v>6.7079544000000005E-2</v>
      </c>
      <c r="K50" s="29">
        <v>0</v>
      </c>
      <c r="L50" s="29">
        <v>4.9093716000000003E-2</v>
      </c>
      <c r="M50" s="29">
        <v>1.7985828000000002E-2</v>
      </c>
      <c r="N50" s="29">
        <v>0</v>
      </c>
      <c r="O50" s="29">
        <f t="shared" si="114"/>
        <v>0</v>
      </c>
      <c r="P50" s="29">
        <v>0</v>
      </c>
      <c r="Q50" s="29">
        <v>0</v>
      </c>
      <c r="R50" s="29">
        <v>0</v>
      </c>
      <c r="S50" s="29">
        <v>0</v>
      </c>
      <c r="T50" s="30">
        <f t="shared" si="109"/>
        <v>0</v>
      </c>
      <c r="U50" s="30">
        <v>0</v>
      </c>
      <c r="V50" s="30">
        <v>0</v>
      </c>
      <c r="W50" s="30">
        <v>0</v>
      </c>
      <c r="X50" s="30">
        <v>0</v>
      </c>
      <c r="Y50" s="30">
        <f t="shared" si="108"/>
        <v>0</v>
      </c>
      <c r="Z50" s="30">
        <v>0</v>
      </c>
      <c r="AA50" s="30">
        <v>0</v>
      </c>
      <c r="AB50" s="30">
        <v>0</v>
      </c>
      <c r="AC50" s="34">
        <v>0</v>
      </c>
      <c r="AD50" s="36">
        <f t="shared" si="110"/>
        <v>0</v>
      </c>
      <c r="AE50" s="36">
        <f t="shared" si="16"/>
        <v>5.5899620000000011E-2</v>
      </c>
      <c r="AF50" s="36">
        <f t="shared" si="16"/>
        <v>0</v>
      </c>
      <c r="AG50" s="36">
        <f t="shared" si="16"/>
        <v>4.0911430000000006E-2</v>
      </c>
      <c r="AH50" s="36">
        <f t="shared" si="16"/>
        <v>1.4988190000000002E-2</v>
      </c>
      <c r="AI50" s="36">
        <f t="shared" si="16"/>
        <v>0</v>
      </c>
      <c r="AJ50" s="36">
        <f t="shared" si="111"/>
        <v>5.5899620000000011E-2</v>
      </c>
      <c r="AK50" s="36">
        <v>0</v>
      </c>
      <c r="AL50" s="36">
        <v>4.0911430000000006E-2</v>
      </c>
      <c r="AM50" s="36">
        <v>1.4988190000000002E-2</v>
      </c>
      <c r="AN50" s="36">
        <v>0</v>
      </c>
      <c r="AO50" s="34">
        <f t="shared" si="115"/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f t="shared" si="112"/>
        <v>0</v>
      </c>
      <c r="AU50" s="34">
        <v>0</v>
      </c>
      <c r="AV50" s="34">
        <v>0</v>
      </c>
      <c r="AW50" s="34">
        <v>0</v>
      </c>
      <c r="AX50" s="34">
        <v>0</v>
      </c>
      <c r="AY50" s="34">
        <f t="shared" si="113"/>
        <v>0</v>
      </c>
      <c r="AZ50" s="34">
        <v>0</v>
      </c>
      <c r="BA50" s="34">
        <v>0</v>
      </c>
      <c r="BB50" s="34">
        <v>0</v>
      </c>
      <c r="BC50" s="34">
        <v>0</v>
      </c>
    </row>
    <row r="51" spans="1:55" s="55" customFormat="1" ht="53.25" customHeight="1" x14ac:dyDescent="0.25">
      <c r="A51" s="31" t="s">
        <v>50</v>
      </c>
      <c r="B51" s="91" t="s">
        <v>472</v>
      </c>
      <c r="C51" s="90" t="s">
        <v>473</v>
      </c>
      <c r="D51" s="88">
        <v>0</v>
      </c>
      <c r="E51" s="29">
        <f t="shared" si="10"/>
        <v>8.9803331999999986E-2</v>
      </c>
      <c r="F51" s="29">
        <f t="shared" si="10"/>
        <v>3.6880032E-2</v>
      </c>
      <c r="G51" s="29">
        <f t="shared" si="10"/>
        <v>5.2923299999999993E-2</v>
      </c>
      <c r="H51" s="29">
        <f t="shared" si="10"/>
        <v>0</v>
      </c>
      <c r="I51" s="29">
        <f t="shared" si="10"/>
        <v>0</v>
      </c>
      <c r="J51" s="29">
        <f t="shared" si="29"/>
        <v>4.5197736000000002E-2</v>
      </c>
      <c r="K51" s="29">
        <v>2.1478799999999999E-2</v>
      </c>
      <c r="L51" s="29">
        <v>2.3718935999999999E-2</v>
      </c>
      <c r="M51" s="29">
        <v>0</v>
      </c>
      <c r="N51" s="29">
        <v>0</v>
      </c>
      <c r="O51" s="29">
        <f t="shared" si="114"/>
        <v>3.1585595999999994E-2</v>
      </c>
      <c r="P51" s="29">
        <f>1984.36/1000000*1.2</f>
        <v>2.3812320000000001E-3</v>
      </c>
      <c r="Q51" s="29">
        <f>24336.97/1000000*1.2</f>
        <v>2.9204363999999997E-2</v>
      </c>
      <c r="R51" s="29">
        <v>0</v>
      </c>
      <c r="S51" s="29">
        <v>0</v>
      </c>
      <c r="T51" s="30">
        <f t="shared" si="109"/>
        <v>1.0199999999999999E-3</v>
      </c>
      <c r="U51" s="30">
        <f>0.00085*1.2</f>
        <v>1.0199999999999999E-3</v>
      </c>
      <c r="V51" s="30">
        <v>0</v>
      </c>
      <c r="W51" s="30">
        <v>0</v>
      </c>
      <c r="X51" s="30">
        <v>0</v>
      </c>
      <c r="Y51" s="30">
        <f t="shared" si="108"/>
        <v>1.2E-2</v>
      </c>
      <c r="Z51" s="30">
        <v>1.2E-2</v>
      </c>
      <c r="AA51" s="30">
        <v>0</v>
      </c>
      <c r="AB51" s="30">
        <v>0</v>
      </c>
      <c r="AC51" s="34">
        <v>0</v>
      </c>
      <c r="AD51" s="36">
        <f t="shared" si="110"/>
        <v>0</v>
      </c>
      <c r="AE51" s="36">
        <f t="shared" si="16"/>
        <v>0</v>
      </c>
      <c r="AF51" s="36">
        <f t="shared" si="16"/>
        <v>0</v>
      </c>
      <c r="AG51" s="36">
        <f t="shared" si="16"/>
        <v>0</v>
      </c>
      <c r="AH51" s="36">
        <f t="shared" si="16"/>
        <v>0</v>
      </c>
      <c r="AI51" s="36">
        <f t="shared" si="16"/>
        <v>0</v>
      </c>
      <c r="AJ51" s="36">
        <f t="shared" si="111"/>
        <v>0</v>
      </c>
      <c r="AK51" s="36">
        <v>0</v>
      </c>
      <c r="AL51" s="36">
        <v>0</v>
      </c>
      <c r="AM51" s="36">
        <v>0</v>
      </c>
      <c r="AN51" s="36">
        <v>0</v>
      </c>
      <c r="AO51" s="34">
        <f t="shared" si="115"/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f t="shared" si="112"/>
        <v>0</v>
      </c>
      <c r="AU51" s="34">
        <v>0</v>
      </c>
      <c r="AV51" s="34">
        <v>0</v>
      </c>
      <c r="AW51" s="34">
        <v>0</v>
      </c>
      <c r="AX51" s="34">
        <v>0</v>
      </c>
      <c r="AY51" s="34">
        <f t="shared" si="113"/>
        <v>0</v>
      </c>
      <c r="AZ51" s="34">
        <v>0</v>
      </c>
      <c r="BA51" s="34">
        <v>0</v>
      </c>
      <c r="BB51" s="34">
        <v>0</v>
      </c>
      <c r="BC51" s="34">
        <v>0</v>
      </c>
    </row>
    <row r="52" spans="1:55" s="55" customFormat="1" ht="53.25" customHeight="1" x14ac:dyDescent="0.25">
      <c r="A52" s="31" t="s">
        <v>50</v>
      </c>
      <c r="B52" s="91" t="s">
        <v>474</v>
      </c>
      <c r="C52" s="90" t="s">
        <v>475</v>
      </c>
      <c r="D52" s="88">
        <v>0</v>
      </c>
      <c r="E52" s="29">
        <f t="shared" si="10"/>
        <v>6.0000000000000001E-3</v>
      </c>
      <c r="F52" s="29">
        <f t="shared" si="10"/>
        <v>6.0000000000000001E-3</v>
      </c>
      <c r="G52" s="29">
        <f t="shared" si="10"/>
        <v>0</v>
      </c>
      <c r="H52" s="29">
        <f t="shared" si="10"/>
        <v>0</v>
      </c>
      <c r="I52" s="29">
        <f t="shared" si="10"/>
        <v>0</v>
      </c>
      <c r="J52" s="29">
        <f t="shared" si="29"/>
        <v>6.0000000000000001E-3</v>
      </c>
      <c r="K52" s="29">
        <v>6.0000000000000001E-3</v>
      </c>
      <c r="L52" s="29">
        <v>0</v>
      </c>
      <c r="M52" s="29">
        <v>0</v>
      </c>
      <c r="N52" s="29">
        <v>0</v>
      </c>
      <c r="O52" s="29">
        <f t="shared" si="114"/>
        <v>0</v>
      </c>
      <c r="P52" s="29">
        <v>0</v>
      </c>
      <c r="Q52" s="29">
        <v>0</v>
      </c>
      <c r="R52" s="29">
        <v>0</v>
      </c>
      <c r="S52" s="29">
        <v>0</v>
      </c>
      <c r="T52" s="30">
        <f t="shared" si="109"/>
        <v>0</v>
      </c>
      <c r="U52" s="30">
        <v>0</v>
      </c>
      <c r="V52" s="30">
        <v>0</v>
      </c>
      <c r="W52" s="30">
        <v>0</v>
      </c>
      <c r="X52" s="30">
        <v>0</v>
      </c>
      <c r="Y52" s="30">
        <f t="shared" si="108"/>
        <v>0</v>
      </c>
      <c r="Z52" s="30">
        <v>0</v>
      </c>
      <c r="AA52" s="30">
        <v>0</v>
      </c>
      <c r="AB52" s="30">
        <v>0</v>
      </c>
      <c r="AC52" s="34">
        <v>0</v>
      </c>
      <c r="AD52" s="36">
        <f t="shared" si="110"/>
        <v>0</v>
      </c>
      <c r="AE52" s="36">
        <f t="shared" si="16"/>
        <v>0</v>
      </c>
      <c r="AF52" s="36">
        <f t="shared" si="16"/>
        <v>0</v>
      </c>
      <c r="AG52" s="36">
        <f t="shared" si="16"/>
        <v>0</v>
      </c>
      <c r="AH52" s="36">
        <f t="shared" si="16"/>
        <v>0</v>
      </c>
      <c r="AI52" s="36">
        <f t="shared" si="16"/>
        <v>0</v>
      </c>
      <c r="AJ52" s="36">
        <f t="shared" si="111"/>
        <v>0</v>
      </c>
      <c r="AK52" s="36">
        <v>0</v>
      </c>
      <c r="AL52" s="36">
        <v>0</v>
      </c>
      <c r="AM52" s="36">
        <v>0</v>
      </c>
      <c r="AN52" s="36">
        <v>0</v>
      </c>
      <c r="AO52" s="34">
        <f t="shared" si="115"/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f t="shared" si="112"/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f t="shared" si="113"/>
        <v>0</v>
      </c>
      <c r="AZ52" s="34">
        <v>0</v>
      </c>
      <c r="BA52" s="34">
        <v>0</v>
      </c>
      <c r="BB52" s="34">
        <v>0</v>
      </c>
      <c r="BC52" s="34">
        <v>0</v>
      </c>
    </row>
    <row r="53" spans="1:55" s="55" customFormat="1" ht="53.25" customHeight="1" x14ac:dyDescent="0.25">
      <c r="A53" s="31" t="s">
        <v>50</v>
      </c>
      <c r="B53" s="91" t="s">
        <v>476</v>
      </c>
      <c r="C53" s="90" t="s">
        <v>477</v>
      </c>
      <c r="D53" s="88">
        <v>0</v>
      </c>
      <c r="E53" s="29">
        <f t="shared" si="10"/>
        <v>0.39741710400000002</v>
      </c>
      <c r="F53" s="29">
        <f t="shared" si="10"/>
        <v>0</v>
      </c>
      <c r="G53" s="29">
        <f t="shared" si="10"/>
        <v>0.39741710400000002</v>
      </c>
      <c r="H53" s="29">
        <f t="shared" si="10"/>
        <v>0</v>
      </c>
      <c r="I53" s="29">
        <f t="shared" si="10"/>
        <v>0</v>
      </c>
      <c r="J53" s="29">
        <f t="shared" si="29"/>
        <v>0.39741710400000002</v>
      </c>
      <c r="K53" s="29">
        <v>0</v>
      </c>
      <c r="L53" s="29">
        <v>0.39741710400000002</v>
      </c>
      <c r="M53" s="29">
        <v>0</v>
      </c>
      <c r="N53" s="29">
        <v>0</v>
      </c>
      <c r="O53" s="29">
        <f t="shared" si="114"/>
        <v>0</v>
      </c>
      <c r="P53" s="29">
        <v>0</v>
      </c>
      <c r="Q53" s="29">
        <v>0</v>
      </c>
      <c r="R53" s="29">
        <v>0</v>
      </c>
      <c r="S53" s="29">
        <v>0</v>
      </c>
      <c r="T53" s="30">
        <f t="shared" si="109"/>
        <v>0</v>
      </c>
      <c r="U53" s="30">
        <v>0</v>
      </c>
      <c r="V53" s="30">
        <v>0</v>
      </c>
      <c r="W53" s="30">
        <v>0</v>
      </c>
      <c r="X53" s="30">
        <v>0</v>
      </c>
      <c r="Y53" s="30">
        <f t="shared" si="108"/>
        <v>0</v>
      </c>
      <c r="Z53" s="30">
        <v>0</v>
      </c>
      <c r="AA53" s="30">
        <v>0</v>
      </c>
      <c r="AB53" s="30">
        <v>0</v>
      </c>
      <c r="AC53" s="34">
        <v>0</v>
      </c>
      <c r="AD53" s="36">
        <f t="shared" si="110"/>
        <v>0</v>
      </c>
      <c r="AE53" s="36">
        <f t="shared" si="16"/>
        <v>0</v>
      </c>
      <c r="AF53" s="36">
        <f t="shared" si="16"/>
        <v>0</v>
      </c>
      <c r="AG53" s="36">
        <f t="shared" si="16"/>
        <v>0</v>
      </c>
      <c r="AH53" s="36">
        <f t="shared" si="16"/>
        <v>0</v>
      </c>
      <c r="AI53" s="36">
        <f t="shared" si="16"/>
        <v>0</v>
      </c>
      <c r="AJ53" s="36">
        <f t="shared" si="111"/>
        <v>0</v>
      </c>
      <c r="AK53" s="36">
        <v>0</v>
      </c>
      <c r="AL53" s="36">
        <v>0</v>
      </c>
      <c r="AM53" s="36">
        <v>0</v>
      </c>
      <c r="AN53" s="36">
        <v>0</v>
      </c>
      <c r="AO53" s="34">
        <f t="shared" si="115"/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f t="shared" si="112"/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f t="shared" si="113"/>
        <v>0</v>
      </c>
      <c r="AZ53" s="34">
        <v>0</v>
      </c>
      <c r="BA53" s="34">
        <v>0</v>
      </c>
      <c r="BB53" s="34">
        <v>0</v>
      </c>
      <c r="BC53" s="34">
        <v>0</v>
      </c>
    </row>
    <row r="54" spans="1:55" s="55" customFormat="1" ht="53.25" customHeight="1" x14ac:dyDescent="0.25">
      <c r="A54" s="31" t="s">
        <v>50</v>
      </c>
      <c r="B54" s="91" t="s">
        <v>585</v>
      </c>
      <c r="C54" s="90" t="s">
        <v>586</v>
      </c>
      <c r="D54" s="88">
        <v>0</v>
      </c>
      <c r="E54" s="29">
        <f t="shared" si="10"/>
        <v>3.1335768E-2</v>
      </c>
      <c r="F54" s="29">
        <f t="shared" si="10"/>
        <v>0</v>
      </c>
      <c r="G54" s="29">
        <f t="shared" si="10"/>
        <v>1.7061515999999999E-2</v>
      </c>
      <c r="H54" s="29">
        <f t="shared" si="10"/>
        <v>1.4274251999999999E-2</v>
      </c>
      <c r="I54" s="29">
        <f t="shared" si="10"/>
        <v>0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9">
        <f t="shared" si="114"/>
        <v>3.1335768E-2</v>
      </c>
      <c r="P54" s="29">
        <v>0</v>
      </c>
      <c r="Q54" s="29">
        <f>14217.93/1000000*1.2</f>
        <v>1.7061515999999999E-2</v>
      </c>
      <c r="R54" s="29">
        <f>11895.21/1000000*1.2</f>
        <v>1.4274251999999999E-2</v>
      </c>
      <c r="S54" s="29">
        <v>0</v>
      </c>
      <c r="T54" s="30">
        <f t="shared" si="109"/>
        <v>0</v>
      </c>
      <c r="U54" s="30">
        <v>0</v>
      </c>
      <c r="V54" s="30">
        <v>0</v>
      </c>
      <c r="W54" s="30">
        <v>0</v>
      </c>
      <c r="X54" s="30">
        <v>0</v>
      </c>
      <c r="Y54" s="30">
        <f t="shared" si="108"/>
        <v>0</v>
      </c>
      <c r="Z54" s="30">
        <v>0</v>
      </c>
      <c r="AA54" s="30">
        <v>0</v>
      </c>
      <c r="AB54" s="30">
        <v>0</v>
      </c>
      <c r="AC54" s="34">
        <v>0</v>
      </c>
      <c r="AD54" s="36">
        <f t="shared" si="110"/>
        <v>0</v>
      </c>
      <c r="AE54" s="36">
        <f t="shared" si="16"/>
        <v>2.611314E-2</v>
      </c>
      <c r="AF54" s="36">
        <f t="shared" si="16"/>
        <v>0</v>
      </c>
      <c r="AG54" s="36">
        <f t="shared" si="16"/>
        <v>1.421793E-2</v>
      </c>
      <c r="AH54" s="36">
        <f t="shared" si="16"/>
        <v>1.189521E-2</v>
      </c>
      <c r="AI54" s="36">
        <f t="shared" si="16"/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4">
        <f t="shared" si="115"/>
        <v>2.611314E-2</v>
      </c>
      <c r="AP54" s="34">
        <v>0</v>
      </c>
      <c r="AQ54" s="34">
        <f>14217.93/1000000</f>
        <v>1.421793E-2</v>
      </c>
      <c r="AR54" s="34">
        <f>11895.21/1000000</f>
        <v>1.189521E-2</v>
      </c>
      <c r="AS54" s="34">
        <v>0</v>
      </c>
      <c r="AT54" s="34">
        <f t="shared" si="112"/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f t="shared" si="113"/>
        <v>0</v>
      </c>
      <c r="AZ54" s="34">
        <v>0</v>
      </c>
      <c r="BA54" s="34">
        <v>0</v>
      </c>
      <c r="BB54" s="34">
        <v>0</v>
      </c>
      <c r="BC54" s="34">
        <v>0</v>
      </c>
    </row>
    <row r="55" spans="1:55" s="55" customFormat="1" ht="53.25" customHeight="1" x14ac:dyDescent="0.25">
      <c r="A55" s="31" t="s">
        <v>50</v>
      </c>
      <c r="B55" s="91" t="s">
        <v>871</v>
      </c>
      <c r="C55" s="90" t="s">
        <v>872</v>
      </c>
      <c r="D55" s="88">
        <v>0</v>
      </c>
      <c r="E55" s="29">
        <f t="shared" si="10"/>
        <v>8.9999999999999993E-3</v>
      </c>
      <c r="F55" s="29">
        <f t="shared" si="10"/>
        <v>8.9999999999999993E-3</v>
      </c>
      <c r="G55" s="29">
        <f t="shared" si="10"/>
        <v>0</v>
      </c>
      <c r="H55" s="29">
        <f t="shared" si="10"/>
        <v>0</v>
      </c>
      <c r="I55" s="29">
        <f t="shared" si="10"/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30">
        <f t="shared" si="108"/>
        <v>8.9999999999999993E-3</v>
      </c>
      <c r="Z55" s="30">
        <v>8.9999999999999993E-3</v>
      </c>
      <c r="AA55" s="30">
        <v>0</v>
      </c>
      <c r="AB55" s="30">
        <v>0</v>
      </c>
      <c r="AC55" s="34">
        <v>0</v>
      </c>
      <c r="AD55" s="36">
        <f t="shared" si="110"/>
        <v>0</v>
      </c>
      <c r="AE55" s="36">
        <f t="shared" si="16"/>
        <v>0</v>
      </c>
      <c r="AF55" s="36">
        <f t="shared" si="16"/>
        <v>0</v>
      </c>
      <c r="AG55" s="36">
        <f t="shared" si="16"/>
        <v>0</v>
      </c>
      <c r="AH55" s="36">
        <f t="shared" si="16"/>
        <v>0</v>
      </c>
      <c r="AI55" s="36">
        <f t="shared" si="16"/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>
        <v>0</v>
      </c>
      <c r="AW55" s="36">
        <v>0</v>
      </c>
      <c r="AX55" s="36">
        <v>0</v>
      </c>
      <c r="AY55" s="34">
        <f t="shared" si="113"/>
        <v>0</v>
      </c>
      <c r="AZ55" s="34">
        <v>0</v>
      </c>
      <c r="BA55" s="34">
        <v>0</v>
      </c>
      <c r="BB55" s="34">
        <v>0</v>
      </c>
      <c r="BC55" s="34">
        <v>0</v>
      </c>
    </row>
    <row r="56" spans="1:55" s="55" customFormat="1" ht="53.25" customHeight="1" x14ac:dyDescent="0.25">
      <c r="A56" s="31" t="s">
        <v>50</v>
      </c>
      <c r="B56" s="91" t="s">
        <v>587</v>
      </c>
      <c r="C56" s="90" t="s">
        <v>588</v>
      </c>
      <c r="D56" s="88">
        <v>0</v>
      </c>
      <c r="E56" s="29">
        <f t="shared" si="10"/>
        <v>0.17371684800000001</v>
      </c>
      <c r="F56" s="29">
        <f t="shared" si="10"/>
        <v>6.0000000000000001E-3</v>
      </c>
      <c r="G56" s="29">
        <f t="shared" si="10"/>
        <v>0.167716848</v>
      </c>
      <c r="H56" s="29">
        <f t="shared" si="10"/>
        <v>0</v>
      </c>
      <c r="I56" s="29">
        <f t="shared" si="10"/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f t="shared" si="114"/>
        <v>0.17371684800000001</v>
      </c>
      <c r="P56" s="29">
        <f>5000/1000000*1.2</f>
        <v>6.0000000000000001E-3</v>
      </c>
      <c r="Q56" s="29">
        <f>139764.04/1000000*1.2</f>
        <v>0.167716848</v>
      </c>
      <c r="R56" s="29">
        <v>0</v>
      </c>
      <c r="S56" s="29">
        <v>0</v>
      </c>
      <c r="T56" s="30">
        <f t="shared" si="109"/>
        <v>0</v>
      </c>
      <c r="U56" s="30">
        <v>0</v>
      </c>
      <c r="V56" s="30">
        <v>0</v>
      </c>
      <c r="W56" s="30">
        <v>0</v>
      </c>
      <c r="X56" s="30">
        <v>0</v>
      </c>
      <c r="Y56" s="30">
        <f t="shared" si="108"/>
        <v>0</v>
      </c>
      <c r="Z56" s="30">
        <v>0</v>
      </c>
      <c r="AA56" s="30">
        <v>0</v>
      </c>
      <c r="AB56" s="30">
        <v>0</v>
      </c>
      <c r="AC56" s="34">
        <v>0</v>
      </c>
      <c r="AD56" s="36">
        <f t="shared" si="110"/>
        <v>0</v>
      </c>
      <c r="AE56" s="36">
        <f t="shared" si="16"/>
        <v>0</v>
      </c>
      <c r="AF56" s="36">
        <f t="shared" si="16"/>
        <v>0</v>
      </c>
      <c r="AG56" s="36">
        <f t="shared" si="16"/>
        <v>0</v>
      </c>
      <c r="AH56" s="36">
        <f t="shared" si="16"/>
        <v>0</v>
      </c>
      <c r="AI56" s="36">
        <f t="shared" si="16"/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4">
        <f t="shared" si="115"/>
        <v>0</v>
      </c>
      <c r="AP56" s="34">
        <v>0</v>
      </c>
      <c r="AQ56" s="34">
        <v>0</v>
      </c>
      <c r="AR56" s="34">
        <v>0</v>
      </c>
      <c r="AS56" s="34">
        <v>0</v>
      </c>
      <c r="AT56" s="34">
        <f t="shared" si="112"/>
        <v>0</v>
      </c>
      <c r="AU56" s="34">
        <v>0</v>
      </c>
      <c r="AV56" s="34">
        <v>0</v>
      </c>
      <c r="AW56" s="34">
        <v>0</v>
      </c>
      <c r="AX56" s="34">
        <v>0</v>
      </c>
      <c r="AY56" s="34">
        <f t="shared" si="113"/>
        <v>0</v>
      </c>
      <c r="AZ56" s="34">
        <v>0</v>
      </c>
      <c r="BA56" s="34">
        <v>0</v>
      </c>
      <c r="BB56" s="34">
        <v>0</v>
      </c>
      <c r="BC56" s="34">
        <v>0</v>
      </c>
    </row>
    <row r="57" spans="1:55" s="55" customFormat="1" ht="53.25" customHeight="1" x14ac:dyDescent="0.25">
      <c r="A57" s="31" t="s">
        <v>50</v>
      </c>
      <c r="B57" s="91" t="s">
        <v>875</v>
      </c>
      <c r="C57" s="90" t="s">
        <v>876</v>
      </c>
      <c r="D57" s="88">
        <v>0</v>
      </c>
      <c r="E57" s="29">
        <f t="shared" si="10"/>
        <v>8.9999999999999993E-3</v>
      </c>
      <c r="F57" s="29">
        <f t="shared" si="10"/>
        <v>8.9999999999999993E-3</v>
      </c>
      <c r="G57" s="29">
        <f t="shared" si="10"/>
        <v>0</v>
      </c>
      <c r="H57" s="29">
        <f t="shared" si="10"/>
        <v>0</v>
      </c>
      <c r="I57" s="29">
        <f t="shared" si="10"/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f t="shared" si="108"/>
        <v>8.9999999999999993E-3</v>
      </c>
      <c r="Z57" s="30">
        <v>8.9999999999999993E-3</v>
      </c>
      <c r="AA57" s="30">
        <v>0</v>
      </c>
      <c r="AB57" s="30">
        <v>0</v>
      </c>
      <c r="AC57" s="34">
        <v>0</v>
      </c>
      <c r="AD57" s="36">
        <f t="shared" si="110"/>
        <v>0</v>
      </c>
      <c r="AE57" s="36">
        <f t="shared" si="16"/>
        <v>0</v>
      </c>
      <c r="AF57" s="36">
        <f t="shared" si="16"/>
        <v>0</v>
      </c>
      <c r="AG57" s="36">
        <f t="shared" si="16"/>
        <v>0</v>
      </c>
      <c r="AH57" s="36">
        <f t="shared" si="16"/>
        <v>0</v>
      </c>
      <c r="AI57" s="36">
        <f t="shared" si="16"/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4">
        <v>0</v>
      </c>
      <c r="AP57" s="34">
        <v>0</v>
      </c>
      <c r="AQ57" s="34">
        <v>0</v>
      </c>
      <c r="AR57" s="34">
        <v>0</v>
      </c>
      <c r="AS57" s="34">
        <v>0</v>
      </c>
      <c r="AT57" s="34">
        <v>0</v>
      </c>
      <c r="AU57" s="34">
        <v>0</v>
      </c>
      <c r="AV57" s="34">
        <v>0</v>
      </c>
      <c r="AW57" s="34">
        <v>0</v>
      </c>
      <c r="AX57" s="34">
        <v>0</v>
      </c>
      <c r="AY57" s="34">
        <f t="shared" si="113"/>
        <v>0</v>
      </c>
      <c r="AZ57" s="34">
        <v>0</v>
      </c>
      <c r="BA57" s="34">
        <v>0</v>
      </c>
      <c r="BB57" s="34">
        <v>0</v>
      </c>
      <c r="BC57" s="34">
        <v>0</v>
      </c>
    </row>
    <row r="58" spans="1:55" s="55" customFormat="1" ht="53.25" customHeight="1" x14ac:dyDescent="0.25">
      <c r="A58" s="31" t="s">
        <v>50</v>
      </c>
      <c r="B58" s="91" t="s">
        <v>873</v>
      </c>
      <c r="C58" s="90" t="s">
        <v>874</v>
      </c>
      <c r="D58" s="88">
        <v>0</v>
      </c>
      <c r="E58" s="29">
        <f t="shared" si="10"/>
        <v>8.9999999999999993E-3</v>
      </c>
      <c r="F58" s="29">
        <f t="shared" si="10"/>
        <v>8.9999999999999993E-3</v>
      </c>
      <c r="G58" s="29">
        <f t="shared" si="10"/>
        <v>0</v>
      </c>
      <c r="H58" s="29">
        <f t="shared" si="10"/>
        <v>0</v>
      </c>
      <c r="I58" s="29">
        <f t="shared" si="10"/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f t="shared" si="108"/>
        <v>8.9999999999999993E-3</v>
      </c>
      <c r="Z58" s="30">
        <v>8.9999999999999993E-3</v>
      </c>
      <c r="AA58" s="30">
        <v>0</v>
      </c>
      <c r="AB58" s="30">
        <v>0</v>
      </c>
      <c r="AC58" s="34">
        <v>0</v>
      </c>
      <c r="AD58" s="36">
        <v>0</v>
      </c>
      <c r="AE58" s="36">
        <f t="shared" si="16"/>
        <v>0</v>
      </c>
      <c r="AF58" s="36">
        <f t="shared" si="16"/>
        <v>0</v>
      </c>
      <c r="AG58" s="36">
        <f t="shared" si="16"/>
        <v>0</v>
      </c>
      <c r="AH58" s="36">
        <f t="shared" si="16"/>
        <v>0</v>
      </c>
      <c r="AI58" s="36">
        <f t="shared" si="16"/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4">
        <v>0</v>
      </c>
      <c r="AP58" s="34">
        <v>0</v>
      </c>
      <c r="AQ58" s="34">
        <v>0</v>
      </c>
      <c r="AR58" s="34">
        <v>0</v>
      </c>
      <c r="AS58" s="34">
        <v>0</v>
      </c>
      <c r="AT58" s="34">
        <v>0</v>
      </c>
      <c r="AU58" s="34">
        <v>0</v>
      </c>
      <c r="AV58" s="34">
        <v>0</v>
      </c>
      <c r="AW58" s="34">
        <v>0</v>
      </c>
      <c r="AX58" s="34">
        <v>0</v>
      </c>
      <c r="AY58" s="34">
        <f t="shared" si="113"/>
        <v>0</v>
      </c>
      <c r="AZ58" s="34">
        <v>0</v>
      </c>
      <c r="BA58" s="34">
        <v>0</v>
      </c>
      <c r="BB58" s="34">
        <v>0</v>
      </c>
      <c r="BC58" s="34">
        <v>0</v>
      </c>
    </row>
    <row r="59" spans="1:55" s="55" customFormat="1" ht="53.25" customHeight="1" x14ac:dyDescent="0.25">
      <c r="A59" s="31" t="s">
        <v>50</v>
      </c>
      <c r="B59" s="91" t="s">
        <v>877</v>
      </c>
      <c r="C59" s="90" t="s">
        <v>878</v>
      </c>
      <c r="D59" s="88">
        <v>0</v>
      </c>
      <c r="E59" s="29">
        <f t="shared" si="10"/>
        <v>8.9999999999999993E-3</v>
      </c>
      <c r="F59" s="29">
        <f t="shared" si="10"/>
        <v>8.9999999999999993E-3</v>
      </c>
      <c r="G59" s="29">
        <f t="shared" si="10"/>
        <v>0</v>
      </c>
      <c r="H59" s="29">
        <f t="shared" si="10"/>
        <v>0</v>
      </c>
      <c r="I59" s="29">
        <f t="shared" si="10"/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f t="shared" si="108"/>
        <v>8.9999999999999993E-3</v>
      </c>
      <c r="Z59" s="30">
        <v>8.9999999999999993E-3</v>
      </c>
      <c r="AA59" s="30">
        <v>0</v>
      </c>
      <c r="AB59" s="30">
        <v>0</v>
      </c>
      <c r="AC59" s="34">
        <v>0</v>
      </c>
      <c r="AD59" s="36">
        <v>0</v>
      </c>
      <c r="AE59" s="36">
        <f t="shared" si="16"/>
        <v>0</v>
      </c>
      <c r="AF59" s="36">
        <f t="shared" si="16"/>
        <v>0</v>
      </c>
      <c r="AG59" s="36">
        <f t="shared" si="16"/>
        <v>0</v>
      </c>
      <c r="AH59" s="36">
        <f t="shared" si="16"/>
        <v>0</v>
      </c>
      <c r="AI59" s="36">
        <f t="shared" si="16"/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4">
        <v>0</v>
      </c>
      <c r="AP59" s="34">
        <v>0</v>
      </c>
      <c r="AQ59" s="34">
        <v>0</v>
      </c>
      <c r="AR59" s="34">
        <v>0</v>
      </c>
      <c r="AS59" s="34">
        <v>0</v>
      </c>
      <c r="AT59" s="34">
        <v>0</v>
      </c>
      <c r="AU59" s="34">
        <v>0</v>
      </c>
      <c r="AV59" s="34">
        <v>0</v>
      </c>
      <c r="AW59" s="34">
        <v>0</v>
      </c>
      <c r="AX59" s="34">
        <v>0</v>
      </c>
      <c r="AY59" s="34">
        <f t="shared" si="113"/>
        <v>0</v>
      </c>
      <c r="AZ59" s="34">
        <v>0</v>
      </c>
      <c r="BA59" s="34">
        <v>0</v>
      </c>
      <c r="BB59" s="34">
        <v>0</v>
      </c>
      <c r="BC59" s="34">
        <v>0</v>
      </c>
    </row>
    <row r="60" spans="1:55" s="55" customFormat="1" ht="96.75" customHeight="1" x14ac:dyDescent="0.25">
      <c r="A60" s="31" t="s">
        <v>50</v>
      </c>
      <c r="B60" s="91" t="s">
        <v>879</v>
      </c>
      <c r="C60" s="90" t="s">
        <v>880</v>
      </c>
      <c r="D60" s="88">
        <v>0</v>
      </c>
      <c r="E60" s="29">
        <f t="shared" si="10"/>
        <v>1.4190482520000001</v>
      </c>
      <c r="F60" s="29">
        <f t="shared" si="10"/>
        <v>0</v>
      </c>
      <c r="G60" s="29">
        <f t="shared" si="10"/>
        <v>0.27399314400000002</v>
      </c>
      <c r="H60" s="29">
        <f t="shared" si="10"/>
        <v>1.145055108</v>
      </c>
      <c r="I60" s="29">
        <f t="shared" si="10"/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f t="shared" si="108"/>
        <v>1.4190482520000001</v>
      </c>
      <c r="Z60" s="30">
        <v>0</v>
      </c>
      <c r="AA60" s="30">
        <v>0.27399314400000002</v>
      </c>
      <c r="AB60" s="30">
        <v>1.145055108</v>
      </c>
      <c r="AC60" s="34">
        <v>0</v>
      </c>
      <c r="AD60" s="36">
        <v>0</v>
      </c>
      <c r="AE60" s="36">
        <f t="shared" si="16"/>
        <v>27.925402939999998</v>
      </c>
      <c r="AF60" s="36">
        <f t="shared" si="16"/>
        <v>1.4042205800000001</v>
      </c>
      <c r="AG60" s="36">
        <f t="shared" si="16"/>
        <v>14.778754380000001</v>
      </c>
      <c r="AH60" s="36">
        <f t="shared" si="16"/>
        <v>11.74242798</v>
      </c>
      <c r="AI60" s="36">
        <f t="shared" si="16"/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f t="shared" si="113"/>
        <v>27.925402939999998</v>
      </c>
      <c r="AZ60" s="34">
        <v>1.4042205800000001</v>
      </c>
      <c r="BA60" s="34">
        <v>14.778754380000001</v>
      </c>
      <c r="BB60" s="34">
        <v>11.74242798</v>
      </c>
      <c r="BC60" s="34">
        <v>0</v>
      </c>
    </row>
    <row r="61" spans="1:55" s="55" customFormat="1" ht="53.25" customHeight="1" x14ac:dyDescent="0.25">
      <c r="A61" s="31" t="s">
        <v>50</v>
      </c>
      <c r="B61" s="91" t="s">
        <v>589</v>
      </c>
      <c r="C61" s="90" t="s">
        <v>590</v>
      </c>
      <c r="D61" s="88">
        <v>0</v>
      </c>
      <c r="E61" s="29">
        <f t="shared" si="10"/>
        <v>7.8241487999999998E-2</v>
      </c>
      <c r="F61" s="29">
        <f t="shared" si="10"/>
        <v>4.9037124000000001E-2</v>
      </c>
      <c r="G61" s="29">
        <f t="shared" si="10"/>
        <v>2.9204363999999997E-2</v>
      </c>
      <c r="H61" s="29">
        <f t="shared" si="10"/>
        <v>0</v>
      </c>
      <c r="I61" s="29">
        <f t="shared" si="10"/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f t="shared" si="114"/>
        <v>6.1672763999999998E-2</v>
      </c>
      <c r="P61" s="29">
        <f>27057/1000000*1.2</f>
        <v>3.2468400000000001E-2</v>
      </c>
      <c r="Q61" s="29">
        <f>24336.97/1000000*1.2</f>
        <v>2.9204363999999997E-2</v>
      </c>
      <c r="R61" s="29">
        <v>0</v>
      </c>
      <c r="S61" s="29">
        <v>0</v>
      </c>
      <c r="T61" s="30">
        <f t="shared" si="109"/>
        <v>0</v>
      </c>
      <c r="U61" s="30">
        <v>0</v>
      </c>
      <c r="V61" s="30">
        <v>0</v>
      </c>
      <c r="W61" s="30">
        <v>0</v>
      </c>
      <c r="X61" s="30">
        <v>0</v>
      </c>
      <c r="Y61" s="30">
        <f t="shared" si="108"/>
        <v>1.6568724E-2</v>
      </c>
      <c r="Z61" s="30">
        <v>1.6568724E-2</v>
      </c>
      <c r="AA61" s="30">
        <v>0</v>
      </c>
      <c r="AB61" s="30">
        <v>0</v>
      </c>
      <c r="AC61" s="34">
        <v>0</v>
      </c>
      <c r="AD61" s="36">
        <f t="shared" ref="AD61:AD69" si="116">D61/1.2</f>
        <v>0</v>
      </c>
      <c r="AE61" s="36">
        <f t="shared" si="16"/>
        <v>0</v>
      </c>
      <c r="AF61" s="36">
        <f t="shared" si="16"/>
        <v>0</v>
      </c>
      <c r="AG61" s="36">
        <f t="shared" si="16"/>
        <v>0</v>
      </c>
      <c r="AH61" s="36">
        <f t="shared" si="16"/>
        <v>0</v>
      </c>
      <c r="AI61" s="36">
        <f t="shared" si="16"/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4">
        <f t="shared" si="115"/>
        <v>0</v>
      </c>
      <c r="AP61" s="34">
        <v>0</v>
      </c>
      <c r="AQ61" s="34">
        <v>0</v>
      </c>
      <c r="AR61" s="34">
        <v>0</v>
      </c>
      <c r="AS61" s="34">
        <v>0</v>
      </c>
      <c r="AT61" s="34">
        <f t="shared" si="112"/>
        <v>0</v>
      </c>
      <c r="AU61" s="34">
        <v>0</v>
      </c>
      <c r="AV61" s="34">
        <v>0</v>
      </c>
      <c r="AW61" s="34">
        <v>0</v>
      </c>
      <c r="AX61" s="34">
        <v>0</v>
      </c>
      <c r="AY61" s="34">
        <f t="shared" si="113"/>
        <v>0</v>
      </c>
      <c r="AZ61" s="34">
        <v>0</v>
      </c>
      <c r="BA61" s="34">
        <v>0</v>
      </c>
      <c r="BB61" s="34">
        <v>0</v>
      </c>
      <c r="BC61" s="34">
        <v>0</v>
      </c>
    </row>
    <row r="62" spans="1:55" s="55" customFormat="1" ht="67.5" customHeight="1" x14ac:dyDescent="0.25">
      <c r="A62" s="31" t="s">
        <v>50</v>
      </c>
      <c r="B62" s="91" t="s">
        <v>591</v>
      </c>
      <c r="C62" s="90" t="s">
        <v>592</v>
      </c>
      <c r="D62" s="88">
        <v>0</v>
      </c>
      <c r="E62" s="29">
        <f t="shared" si="10"/>
        <v>2.3935823999999998E-2</v>
      </c>
      <c r="F62" s="29">
        <f t="shared" si="10"/>
        <v>4.1999999999999997E-3</v>
      </c>
      <c r="G62" s="29">
        <f t="shared" si="10"/>
        <v>1.9735823999999999E-2</v>
      </c>
      <c r="H62" s="29">
        <f t="shared" si="10"/>
        <v>0</v>
      </c>
      <c r="I62" s="29">
        <f t="shared" si="10"/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f t="shared" si="114"/>
        <v>1.9735823999999999E-2</v>
      </c>
      <c r="P62" s="29">
        <v>0</v>
      </c>
      <c r="Q62" s="29">
        <f>16446.52/1000000*1.2</f>
        <v>1.9735823999999999E-2</v>
      </c>
      <c r="R62" s="29">
        <v>0</v>
      </c>
      <c r="S62" s="29">
        <v>0</v>
      </c>
      <c r="T62" s="30">
        <f t="shared" si="109"/>
        <v>0</v>
      </c>
      <c r="U62" s="30">
        <v>0</v>
      </c>
      <c r="V62" s="30">
        <v>0</v>
      </c>
      <c r="W62" s="30">
        <v>0</v>
      </c>
      <c r="X62" s="30">
        <v>0</v>
      </c>
      <c r="Y62" s="30">
        <f t="shared" si="108"/>
        <v>4.1999999999999997E-3</v>
      </c>
      <c r="Z62" s="30">
        <v>4.1999999999999997E-3</v>
      </c>
      <c r="AA62" s="30">
        <v>0</v>
      </c>
      <c r="AB62" s="30">
        <v>0</v>
      </c>
      <c r="AC62" s="34">
        <v>0</v>
      </c>
      <c r="AD62" s="36">
        <f t="shared" si="116"/>
        <v>0</v>
      </c>
      <c r="AE62" s="36">
        <f t="shared" si="16"/>
        <v>0</v>
      </c>
      <c r="AF62" s="36">
        <f t="shared" si="16"/>
        <v>0</v>
      </c>
      <c r="AG62" s="36">
        <f t="shared" si="16"/>
        <v>0</v>
      </c>
      <c r="AH62" s="36">
        <f t="shared" si="16"/>
        <v>0</v>
      </c>
      <c r="AI62" s="36">
        <f t="shared" si="16"/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4">
        <f t="shared" si="115"/>
        <v>0</v>
      </c>
      <c r="AP62" s="34">
        <v>0</v>
      </c>
      <c r="AQ62" s="34">
        <v>0</v>
      </c>
      <c r="AR62" s="34">
        <v>0</v>
      </c>
      <c r="AS62" s="34">
        <v>0</v>
      </c>
      <c r="AT62" s="34">
        <f t="shared" si="112"/>
        <v>0</v>
      </c>
      <c r="AU62" s="34">
        <v>0</v>
      </c>
      <c r="AV62" s="34">
        <v>0</v>
      </c>
      <c r="AW62" s="34">
        <v>0</v>
      </c>
      <c r="AX62" s="34">
        <v>0</v>
      </c>
      <c r="AY62" s="34">
        <f t="shared" si="113"/>
        <v>0</v>
      </c>
      <c r="AZ62" s="34">
        <v>0</v>
      </c>
      <c r="BA62" s="34">
        <v>0</v>
      </c>
      <c r="BB62" s="34">
        <v>0</v>
      </c>
      <c r="BC62" s="34">
        <v>0</v>
      </c>
    </row>
    <row r="63" spans="1:55" s="55" customFormat="1" ht="53.25" customHeight="1" x14ac:dyDescent="0.25">
      <c r="A63" s="31" t="s">
        <v>50</v>
      </c>
      <c r="B63" s="91" t="s">
        <v>593</v>
      </c>
      <c r="C63" s="90" t="s">
        <v>594</v>
      </c>
      <c r="D63" s="88">
        <v>0</v>
      </c>
      <c r="E63" s="29">
        <f t="shared" si="10"/>
        <v>3.7917815999999993E-2</v>
      </c>
      <c r="F63" s="29">
        <f t="shared" si="10"/>
        <v>8.713452E-3</v>
      </c>
      <c r="G63" s="29">
        <f t="shared" si="10"/>
        <v>2.9204363999999997E-2</v>
      </c>
      <c r="H63" s="29">
        <f t="shared" si="10"/>
        <v>0</v>
      </c>
      <c r="I63" s="29">
        <f t="shared" si="10"/>
        <v>0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f t="shared" si="114"/>
        <v>2.9204363999999997E-2</v>
      </c>
      <c r="P63" s="29">
        <v>0</v>
      </c>
      <c r="Q63" s="29">
        <f>24336.97/1000000*1.2</f>
        <v>2.9204363999999997E-2</v>
      </c>
      <c r="R63" s="29">
        <v>0</v>
      </c>
      <c r="S63" s="29">
        <v>0</v>
      </c>
      <c r="T63" s="30">
        <f t="shared" si="109"/>
        <v>0</v>
      </c>
      <c r="U63" s="30">
        <v>0</v>
      </c>
      <c r="V63" s="30">
        <v>0</v>
      </c>
      <c r="W63" s="30">
        <v>0</v>
      </c>
      <c r="X63" s="30">
        <v>0</v>
      </c>
      <c r="Y63" s="30">
        <f t="shared" si="108"/>
        <v>8.713452E-3</v>
      </c>
      <c r="Z63" s="30">
        <v>8.713452E-3</v>
      </c>
      <c r="AA63" s="30">
        <v>0</v>
      </c>
      <c r="AB63" s="30">
        <v>0</v>
      </c>
      <c r="AC63" s="34">
        <v>0</v>
      </c>
      <c r="AD63" s="36">
        <f t="shared" si="116"/>
        <v>0</v>
      </c>
      <c r="AE63" s="36">
        <f t="shared" si="16"/>
        <v>0</v>
      </c>
      <c r="AF63" s="36">
        <f t="shared" si="16"/>
        <v>0</v>
      </c>
      <c r="AG63" s="36">
        <f t="shared" si="16"/>
        <v>0</v>
      </c>
      <c r="AH63" s="36">
        <f t="shared" si="16"/>
        <v>0</v>
      </c>
      <c r="AI63" s="36">
        <f t="shared" si="16"/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4">
        <f t="shared" si="115"/>
        <v>0</v>
      </c>
      <c r="AP63" s="34">
        <v>0</v>
      </c>
      <c r="AQ63" s="34">
        <v>0</v>
      </c>
      <c r="AR63" s="34">
        <v>0</v>
      </c>
      <c r="AS63" s="34">
        <v>0</v>
      </c>
      <c r="AT63" s="34">
        <f t="shared" si="112"/>
        <v>0</v>
      </c>
      <c r="AU63" s="34">
        <v>0</v>
      </c>
      <c r="AV63" s="34">
        <v>0</v>
      </c>
      <c r="AW63" s="34">
        <v>0</v>
      </c>
      <c r="AX63" s="34">
        <v>0</v>
      </c>
      <c r="AY63" s="34">
        <f t="shared" si="113"/>
        <v>0</v>
      </c>
      <c r="AZ63" s="34">
        <v>0</v>
      </c>
      <c r="BA63" s="34">
        <v>0</v>
      </c>
      <c r="BB63" s="34">
        <v>0</v>
      </c>
      <c r="BC63" s="34">
        <v>0</v>
      </c>
    </row>
    <row r="64" spans="1:55" s="55" customFormat="1" ht="53.25" customHeight="1" x14ac:dyDescent="0.25">
      <c r="A64" s="31" t="s">
        <v>50</v>
      </c>
      <c r="B64" s="91" t="s">
        <v>605</v>
      </c>
      <c r="C64" s="90" t="s">
        <v>602</v>
      </c>
      <c r="D64" s="88">
        <v>0</v>
      </c>
      <c r="E64" s="29">
        <f t="shared" si="10"/>
        <v>4.1457815999999995E-2</v>
      </c>
      <c r="F64" s="29">
        <f t="shared" si="10"/>
        <v>1.2253452E-2</v>
      </c>
      <c r="G64" s="29">
        <f t="shared" si="10"/>
        <v>2.9204363999999997E-2</v>
      </c>
      <c r="H64" s="29">
        <f t="shared" si="10"/>
        <v>0</v>
      </c>
      <c r="I64" s="29">
        <f t="shared" si="10"/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f t="shared" si="114"/>
        <v>2.9204363999999997E-2</v>
      </c>
      <c r="P64" s="29">
        <v>0</v>
      </c>
      <c r="Q64" s="29">
        <f>24336.97/1000000*1.2</f>
        <v>2.9204363999999997E-2</v>
      </c>
      <c r="R64" s="29">
        <v>0</v>
      </c>
      <c r="S64" s="29">
        <v>0</v>
      </c>
      <c r="T64" s="30">
        <f t="shared" si="109"/>
        <v>0</v>
      </c>
      <c r="U64" s="30">
        <v>0</v>
      </c>
      <c r="V64" s="30">
        <v>0</v>
      </c>
      <c r="W64" s="30">
        <v>0</v>
      </c>
      <c r="X64" s="30">
        <v>0</v>
      </c>
      <c r="Y64" s="30">
        <f t="shared" si="108"/>
        <v>1.2253452E-2</v>
      </c>
      <c r="Z64" s="30">
        <v>1.2253452E-2</v>
      </c>
      <c r="AA64" s="30">
        <v>0</v>
      </c>
      <c r="AB64" s="30">
        <v>0</v>
      </c>
      <c r="AC64" s="34">
        <v>0</v>
      </c>
      <c r="AD64" s="36">
        <f t="shared" si="116"/>
        <v>0</v>
      </c>
      <c r="AE64" s="36">
        <f t="shared" si="16"/>
        <v>0</v>
      </c>
      <c r="AF64" s="36">
        <f t="shared" si="16"/>
        <v>0</v>
      </c>
      <c r="AG64" s="36">
        <f t="shared" si="16"/>
        <v>0</v>
      </c>
      <c r="AH64" s="36">
        <f t="shared" si="16"/>
        <v>0</v>
      </c>
      <c r="AI64" s="36">
        <f t="shared" si="16"/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4">
        <f t="shared" si="115"/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f t="shared" si="112"/>
        <v>0</v>
      </c>
      <c r="AU64" s="34">
        <v>0</v>
      </c>
      <c r="AV64" s="34">
        <v>0</v>
      </c>
      <c r="AW64" s="34">
        <v>0</v>
      </c>
      <c r="AX64" s="34">
        <v>0</v>
      </c>
      <c r="AY64" s="34">
        <f t="shared" si="113"/>
        <v>0</v>
      </c>
      <c r="AZ64" s="34">
        <v>0</v>
      </c>
      <c r="BA64" s="34">
        <v>0</v>
      </c>
      <c r="BB64" s="34">
        <v>0</v>
      </c>
      <c r="BC64" s="34">
        <v>0</v>
      </c>
    </row>
    <row r="65" spans="1:55" s="55" customFormat="1" ht="53.25" customHeight="1" x14ac:dyDescent="0.25">
      <c r="A65" s="31" t="s">
        <v>50</v>
      </c>
      <c r="B65" s="91" t="s">
        <v>595</v>
      </c>
      <c r="C65" s="90" t="s">
        <v>596</v>
      </c>
      <c r="D65" s="88">
        <v>0</v>
      </c>
      <c r="E65" s="29">
        <f t="shared" si="10"/>
        <v>4.6575107999999997E-2</v>
      </c>
      <c r="F65" s="29">
        <f t="shared" si="10"/>
        <v>0</v>
      </c>
      <c r="G65" s="29">
        <f t="shared" si="10"/>
        <v>2.6071523999999999E-2</v>
      </c>
      <c r="H65" s="29">
        <f t="shared" si="10"/>
        <v>2.0503583999999998E-2</v>
      </c>
      <c r="I65" s="29">
        <f t="shared" si="10"/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f t="shared" si="114"/>
        <v>4.6575107999999997E-2</v>
      </c>
      <c r="P65" s="29">
        <v>0</v>
      </c>
      <c r="Q65" s="29">
        <f>21726.27/1000000*1.2</f>
        <v>2.6071523999999999E-2</v>
      </c>
      <c r="R65" s="29">
        <f>17086.32/1000000*1.2</f>
        <v>2.0503583999999998E-2</v>
      </c>
      <c r="S65" s="29">
        <v>0</v>
      </c>
      <c r="T65" s="30">
        <f t="shared" si="109"/>
        <v>0</v>
      </c>
      <c r="U65" s="30">
        <v>0</v>
      </c>
      <c r="V65" s="30">
        <v>0</v>
      </c>
      <c r="W65" s="30">
        <v>0</v>
      </c>
      <c r="X65" s="30">
        <v>0</v>
      </c>
      <c r="Y65" s="30">
        <f t="shared" si="108"/>
        <v>0</v>
      </c>
      <c r="Z65" s="30">
        <v>0</v>
      </c>
      <c r="AA65" s="30">
        <v>0</v>
      </c>
      <c r="AB65" s="30">
        <v>0</v>
      </c>
      <c r="AC65" s="34">
        <v>0</v>
      </c>
      <c r="AD65" s="36">
        <f t="shared" si="116"/>
        <v>0</v>
      </c>
      <c r="AE65" s="36">
        <f t="shared" si="16"/>
        <v>3.8812589999999994E-2</v>
      </c>
      <c r="AF65" s="36">
        <f t="shared" si="16"/>
        <v>0</v>
      </c>
      <c r="AG65" s="36">
        <f t="shared" si="16"/>
        <v>2.1726269999999999E-2</v>
      </c>
      <c r="AH65" s="36">
        <f t="shared" si="16"/>
        <v>1.7086319999999999E-2</v>
      </c>
      <c r="AI65" s="36">
        <f t="shared" si="16"/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4">
        <f t="shared" si="115"/>
        <v>3.8812589999999994E-2</v>
      </c>
      <c r="AP65" s="34">
        <v>0</v>
      </c>
      <c r="AQ65" s="34">
        <f>21726.27/1000000</f>
        <v>2.1726269999999999E-2</v>
      </c>
      <c r="AR65" s="34">
        <f>17086.32/1000000</f>
        <v>1.7086319999999999E-2</v>
      </c>
      <c r="AS65" s="34">
        <v>0</v>
      </c>
      <c r="AT65" s="34">
        <f t="shared" si="112"/>
        <v>0</v>
      </c>
      <c r="AU65" s="34">
        <v>0</v>
      </c>
      <c r="AV65" s="34">
        <v>0</v>
      </c>
      <c r="AW65" s="34">
        <v>0</v>
      </c>
      <c r="AX65" s="34">
        <v>0</v>
      </c>
      <c r="AY65" s="34">
        <f t="shared" si="113"/>
        <v>0</v>
      </c>
      <c r="AZ65" s="34">
        <v>0</v>
      </c>
      <c r="BA65" s="34">
        <v>0</v>
      </c>
      <c r="BB65" s="34">
        <v>0</v>
      </c>
      <c r="BC65" s="34">
        <v>0</v>
      </c>
    </row>
    <row r="66" spans="1:55" s="55" customFormat="1" ht="53.25" customHeight="1" x14ac:dyDescent="0.25">
      <c r="A66" s="31" t="s">
        <v>50</v>
      </c>
      <c r="B66" s="91" t="s">
        <v>597</v>
      </c>
      <c r="C66" s="90" t="s">
        <v>598</v>
      </c>
      <c r="D66" s="88">
        <v>0</v>
      </c>
      <c r="E66" s="29">
        <f t="shared" si="10"/>
        <v>1.0918271879999999</v>
      </c>
      <c r="F66" s="29">
        <f t="shared" si="10"/>
        <v>0</v>
      </c>
      <c r="G66" s="29">
        <f t="shared" si="10"/>
        <v>1.0918271879999999</v>
      </c>
      <c r="H66" s="29">
        <f t="shared" si="10"/>
        <v>0</v>
      </c>
      <c r="I66" s="29">
        <f t="shared" si="10"/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f t="shared" si="114"/>
        <v>1.0918271879999999</v>
      </c>
      <c r="P66" s="29">
        <v>0</v>
      </c>
      <c r="Q66" s="29">
        <f>909855.99/1000000*1.2</f>
        <v>1.0918271879999999</v>
      </c>
      <c r="R66" s="29">
        <v>0</v>
      </c>
      <c r="S66" s="29">
        <v>0</v>
      </c>
      <c r="T66" s="30">
        <f t="shared" si="109"/>
        <v>0</v>
      </c>
      <c r="U66" s="30">
        <v>0</v>
      </c>
      <c r="V66" s="30">
        <v>0</v>
      </c>
      <c r="W66" s="30">
        <v>0</v>
      </c>
      <c r="X66" s="30">
        <v>0</v>
      </c>
      <c r="Y66" s="30">
        <f t="shared" si="108"/>
        <v>0</v>
      </c>
      <c r="Z66" s="30">
        <v>0</v>
      </c>
      <c r="AA66" s="30">
        <v>0</v>
      </c>
      <c r="AB66" s="30">
        <v>0</v>
      </c>
      <c r="AC66" s="34">
        <v>0</v>
      </c>
      <c r="AD66" s="36">
        <f t="shared" si="116"/>
        <v>0</v>
      </c>
      <c r="AE66" s="36">
        <f t="shared" si="16"/>
        <v>0</v>
      </c>
      <c r="AF66" s="36">
        <f t="shared" si="16"/>
        <v>0</v>
      </c>
      <c r="AG66" s="36">
        <f t="shared" si="16"/>
        <v>0</v>
      </c>
      <c r="AH66" s="36">
        <f t="shared" si="16"/>
        <v>0</v>
      </c>
      <c r="AI66" s="36">
        <f t="shared" si="16"/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4">
        <f t="shared" si="115"/>
        <v>0</v>
      </c>
      <c r="AP66" s="34">
        <v>0</v>
      </c>
      <c r="AQ66" s="34">
        <v>0</v>
      </c>
      <c r="AR66" s="34">
        <v>0</v>
      </c>
      <c r="AS66" s="34">
        <v>0</v>
      </c>
      <c r="AT66" s="34">
        <f t="shared" si="112"/>
        <v>0</v>
      </c>
      <c r="AU66" s="34">
        <v>0</v>
      </c>
      <c r="AV66" s="34">
        <v>0</v>
      </c>
      <c r="AW66" s="34">
        <v>0</v>
      </c>
      <c r="AX66" s="34">
        <v>0</v>
      </c>
      <c r="AY66" s="34">
        <f t="shared" si="113"/>
        <v>0</v>
      </c>
      <c r="AZ66" s="34">
        <v>0</v>
      </c>
      <c r="BA66" s="34">
        <v>0</v>
      </c>
      <c r="BB66" s="34">
        <v>0</v>
      </c>
      <c r="BC66" s="34">
        <v>0</v>
      </c>
    </row>
    <row r="67" spans="1:55" s="55" customFormat="1" ht="53.25" customHeight="1" x14ac:dyDescent="0.25">
      <c r="A67" s="31" t="s">
        <v>50</v>
      </c>
      <c r="B67" s="91" t="s">
        <v>599</v>
      </c>
      <c r="C67" s="90" t="s">
        <v>600</v>
      </c>
      <c r="D67" s="88">
        <v>0</v>
      </c>
      <c r="E67" s="29">
        <f t="shared" si="10"/>
        <v>0.40121049599999997</v>
      </c>
      <c r="F67" s="29">
        <f t="shared" si="10"/>
        <v>2.2855632000000001E-2</v>
      </c>
      <c r="G67" s="29">
        <f t="shared" si="10"/>
        <v>0.143622108</v>
      </c>
      <c r="H67" s="29">
        <f t="shared" si="10"/>
        <v>0.23473275599999999</v>
      </c>
      <c r="I67" s="29">
        <f t="shared" si="10"/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f t="shared" si="114"/>
        <v>0.40121049599999997</v>
      </c>
      <c r="P67" s="29">
        <f>(16612+2434.36)/1000000*1.2</f>
        <v>2.2855632000000001E-2</v>
      </c>
      <c r="Q67" s="29">
        <f>(24336.97+95348.12)/1000000*1.2</f>
        <v>0.143622108</v>
      </c>
      <c r="R67" s="29">
        <f>195610.63/1000000*1.2</f>
        <v>0.23473275599999999</v>
      </c>
      <c r="S67" s="29">
        <v>0</v>
      </c>
      <c r="T67" s="30">
        <f t="shared" si="109"/>
        <v>0</v>
      </c>
      <c r="U67" s="30">
        <v>0</v>
      </c>
      <c r="V67" s="30">
        <v>0</v>
      </c>
      <c r="W67" s="30">
        <v>0</v>
      </c>
      <c r="X67" s="30">
        <v>0</v>
      </c>
      <c r="Y67" s="30">
        <f t="shared" si="108"/>
        <v>0</v>
      </c>
      <c r="Z67" s="30">
        <v>0</v>
      </c>
      <c r="AA67" s="30">
        <v>0</v>
      </c>
      <c r="AB67" s="30">
        <v>0</v>
      </c>
      <c r="AC67" s="34">
        <v>0</v>
      </c>
      <c r="AD67" s="36">
        <f t="shared" si="116"/>
        <v>0</v>
      </c>
      <c r="AE67" s="36">
        <f t="shared" si="16"/>
        <v>0.33434207999999999</v>
      </c>
      <c r="AF67" s="36">
        <f t="shared" si="16"/>
        <v>1.9046360000000002E-2</v>
      </c>
      <c r="AG67" s="36">
        <f t="shared" si="16"/>
        <v>0.11968508999999999</v>
      </c>
      <c r="AH67" s="36">
        <f t="shared" si="16"/>
        <v>0.19561063000000001</v>
      </c>
      <c r="AI67" s="36">
        <f t="shared" si="16"/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4">
        <f t="shared" si="115"/>
        <v>0.33434207999999999</v>
      </c>
      <c r="AP67" s="34">
        <f>19046.36/1000000</f>
        <v>1.9046360000000002E-2</v>
      </c>
      <c r="AQ67" s="34">
        <f>119685.09/1000000</f>
        <v>0.11968508999999999</v>
      </c>
      <c r="AR67" s="34">
        <f>195610.63/1000000</f>
        <v>0.19561063000000001</v>
      </c>
      <c r="AS67" s="34">
        <v>0</v>
      </c>
      <c r="AT67" s="34">
        <f t="shared" si="112"/>
        <v>0</v>
      </c>
      <c r="AU67" s="34">
        <v>0</v>
      </c>
      <c r="AV67" s="34">
        <v>0</v>
      </c>
      <c r="AW67" s="34">
        <v>0</v>
      </c>
      <c r="AX67" s="34">
        <v>0</v>
      </c>
      <c r="AY67" s="34">
        <f t="shared" si="113"/>
        <v>0</v>
      </c>
      <c r="AZ67" s="34">
        <v>0</v>
      </c>
      <c r="BA67" s="34">
        <v>0</v>
      </c>
      <c r="BB67" s="34">
        <v>0</v>
      </c>
      <c r="BC67" s="34">
        <v>0</v>
      </c>
    </row>
    <row r="68" spans="1:55" s="55" customFormat="1" ht="53.25" customHeight="1" x14ac:dyDescent="0.25">
      <c r="A68" s="31" t="s">
        <v>50</v>
      </c>
      <c r="B68" s="91" t="s">
        <v>601</v>
      </c>
      <c r="C68" s="90" t="s">
        <v>606</v>
      </c>
      <c r="D68" s="88">
        <v>0</v>
      </c>
      <c r="E68" s="29">
        <f t="shared" si="10"/>
        <v>5.6462363999999994E-2</v>
      </c>
      <c r="F68" s="29">
        <f t="shared" si="10"/>
        <v>2.7257999999999998E-2</v>
      </c>
      <c r="G68" s="29">
        <f t="shared" si="10"/>
        <v>2.9204363999999997E-2</v>
      </c>
      <c r="H68" s="29">
        <f t="shared" si="10"/>
        <v>0</v>
      </c>
      <c r="I68" s="29">
        <f t="shared" si="10"/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f t="shared" si="114"/>
        <v>5.6462363999999994E-2</v>
      </c>
      <c r="P68" s="29">
        <f>22715/1000000*1.2</f>
        <v>2.7257999999999998E-2</v>
      </c>
      <c r="Q68" s="29">
        <f>24336.97/1000000*1.2</f>
        <v>2.9204363999999997E-2</v>
      </c>
      <c r="R68" s="29">
        <v>0</v>
      </c>
      <c r="S68" s="29">
        <v>0</v>
      </c>
      <c r="T68" s="30">
        <f t="shared" si="109"/>
        <v>0</v>
      </c>
      <c r="U68" s="30">
        <v>0</v>
      </c>
      <c r="V68" s="30">
        <v>0</v>
      </c>
      <c r="W68" s="30">
        <v>0</v>
      </c>
      <c r="X68" s="30">
        <v>0</v>
      </c>
      <c r="Y68" s="30">
        <f t="shared" si="108"/>
        <v>0</v>
      </c>
      <c r="Z68" s="30">
        <v>0</v>
      </c>
      <c r="AA68" s="30">
        <v>0</v>
      </c>
      <c r="AB68" s="30">
        <v>0</v>
      </c>
      <c r="AC68" s="34">
        <v>0</v>
      </c>
      <c r="AD68" s="36">
        <f t="shared" si="116"/>
        <v>0</v>
      </c>
      <c r="AE68" s="36">
        <f t="shared" si="16"/>
        <v>0</v>
      </c>
      <c r="AF68" s="36">
        <f t="shared" si="16"/>
        <v>0</v>
      </c>
      <c r="AG68" s="36">
        <f t="shared" si="16"/>
        <v>0</v>
      </c>
      <c r="AH68" s="36">
        <f t="shared" si="16"/>
        <v>0</v>
      </c>
      <c r="AI68" s="36">
        <f t="shared" si="16"/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4">
        <f t="shared" si="115"/>
        <v>0</v>
      </c>
      <c r="AP68" s="34">
        <v>0</v>
      </c>
      <c r="AQ68" s="34">
        <v>0</v>
      </c>
      <c r="AR68" s="34">
        <v>0</v>
      </c>
      <c r="AS68" s="34">
        <v>0</v>
      </c>
      <c r="AT68" s="34">
        <f t="shared" si="112"/>
        <v>0</v>
      </c>
      <c r="AU68" s="34">
        <v>0</v>
      </c>
      <c r="AV68" s="34">
        <v>0</v>
      </c>
      <c r="AW68" s="34">
        <v>0</v>
      </c>
      <c r="AX68" s="34">
        <v>0</v>
      </c>
      <c r="AY68" s="34">
        <f t="shared" si="113"/>
        <v>0</v>
      </c>
      <c r="AZ68" s="34">
        <v>0</v>
      </c>
      <c r="BA68" s="34">
        <v>0</v>
      </c>
      <c r="BB68" s="34">
        <v>0</v>
      </c>
      <c r="BC68" s="34">
        <v>0</v>
      </c>
    </row>
    <row r="69" spans="1:55" s="55" customFormat="1" ht="53.25" customHeight="1" x14ac:dyDescent="0.25">
      <c r="A69" s="31" t="s">
        <v>50</v>
      </c>
      <c r="B69" s="91" t="s">
        <v>603</v>
      </c>
      <c r="C69" s="90" t="s">
        <v>604</v>
      </c>
      <c r="D69" s="88">
        <v>0</v>
      </c>
      <c r="E69" s="29">
        <f t="shared" si="10"/>
        <v>2.3602799999999997E-2</v>
      </c>
      <c r="F69" s="29">
        <f t="shared" si="10"/>
        <v>2.3602799999999997E-2</v>
      </c>
      <c r="G69" s="29">
        <f t="shared" si="10"/>
        <v>0</v>
      </c>
      <c r="H69" s="29">
        <f t="shared" si="10"/>
        <v>0</v>
      </c>
      <c r="I69" s="29">
        <f t="shared" ref="I69:I124" si="117">N69+S69+X69+AC69</f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f t="shared" si="114"/>
        <v>2.3602799999999997E-2</v>
      </c>
      <c r="P69" s="29">
        <f>19669/1000000*1.2</f>
        <v>2.3602799999999997E-2</v>
      </c>
      <c r="Q69" s="29">
        <v>0</v>
      </c>
      <c r="R69" s="29">
        <v>0</v>
      </c>
      <c r="S69" s="29">
        <v>0</v>
      </c>
      <c r="T69" s="30">
        <f t="shared" si="109"/>
        <v>0</v>
      </c>
      <c r="U69" s="30">
        <v>0</v>
      </c>
      <c r="V69" s="30">
        <v>0</v>
      </c>
      <c r="W69" s="30">
        <v>0</v>
      </c>
      <c r="X69" s="30">
        <v>0</v>
      </c>
      <c r="Y69" s="30">
        <f t="shared" si="108"/>
        <v>0</v>
      </c>
      <c r="Z69" s="30">
        <v>0</v>
      </c>
      <c r="AA69" s="30">
        <v>0</v>
      </c>
      <c r="AB69" s="30">
        <v>0</v>
      </c>
      <c r="AC69" s="34">
        <v>0</v>
      </c>
      <c r="AD69" s="36">
        <f t="shared" si="116"/>
        <v>0</v>
      </c>
      <c r="AE69" s="36">
        <f t="shared" si="16"/>
        <v>0</v>
      </c>
      <c r="AF69" s="36">
        <f t="shared" si="16"/>
        <v>0</v>
      </c>
      <c r="AG69" s="36">
        <f t="shared" si="16"/>
        <v>0</v>
      </c>
      <c r="AH69" s="36">
        <f t="shared" si="16"/>
        <v>0</v>
      </c>
      <c r="AI69" s="36">
        <f t="shared" ref="AI69:AI124" si="118">AN69+AS69+AX69+BC69</f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4">
        <f t="shared" si="115"/>
        <v>0</v>
      </c>
      <c r="AP69" s="34">
        <v>0</v>
      </c>
      <c r="AQ69" s="34">
        <v>0</v>
      </c>
      <c r="AR69" s="34">
        <v>0</v>
      </c>
      <c r="AS69" s="34">
        <v>0</v>
      </c>
      <c r="AT69" s="34">
        <f t="shared" si="112"/>
        <v>0</v>
      </c>
      <c r="AU69" s="34">
        <v>0</v>
      </c>
      <c r="AV69" s="34">
        <v>0</v>
      </c>
      <c r="AW69" s="34">
        <v>0</v>
      </c>
      <c r="AX69" s="34">
        <v>0</v>
      </c>
      <c r="AY69" s="34">
        <f t="shared" si="113"/>
        <v>0</v>
      </c>
      <c r="AZ69" s="34">
        <v>0</v>
      </c>
      <c r="BA69" s="34">
        <v>0</v>
      </c>
      <c r="BB69" s="34">
        <v>0</v>
      </c>
      <c r="BC69" s="34">
        <v>0</v>
      </c>
    </row>
    <row r="70" spans="1:55" s="55" customFormat="1" ht="53.25" customHeight="1" x14ac:dyDescent="0.25">
      <c r="A70" s="31" t="s">
        <v>50</v>
      </c>
      <c r="B70" s="91" t="s">
        <v>672</v>
      </c>
      <c r="C70" s="90" t="s">
        <v>673</v>
      </c>
      <c r="D70" s="88">
        <v>0</v>
      </c>
      <c r="E70" s="29">
        <f t="shared" si="10"/>
        <v>5.209548E-2</v>
      </c>
      <c r="F70" s="29">
        <f t="shared" si="10"/>
        <v>1.9789199999999996E-2</v>
      </c>
      <c r="G70" s="29">
        <f t="shared" si="10"/>
        <v>3.230628E-2</v>
      </c>
      <c r="H70" s="29">
        <f t="shared" si="10"/>
        <v>0</v>
      </c>
      <c r="I70" s="29">
        <f t="shared" si="117"/>
        <v>0</v>
      </c>
      <c r="J70" s="88">
        <v>0</v>
      </c>
      <c r="K70" s="88">
        <v>0</v>
      </c>
      <c r="L70" s="88">
        <v>0</v>
      </c>
      <c r="M70" s="88">
        <v>0</v>
      </c>
      <c r="N70" s="88">
        <v>0</v>
      </c>
      <c r="O70" s="88">
        <v>0</v>
      </c>
      <c r="P70" s="88">
        <v>0</v>
      </c>
      <c r="Q70" s="88">
        <v>0</v>
      </c>
      <c r="R70" s="88">
        <v>0</v>
      </c>
      <c r="S70" s="88">
        <v>0</v>
      </c>
      <c r="T70" s="30">
        <f t="shared" si="109"/>
        <v>1.9789199999999996E-2</v>
      </c>
      <c r="U70" s="30">
        <f>0.016491*1.2</f>
        <v>1.9789199999999996E-2</v>
      </c>
      <c r="V70" s="30">
        <v>0</v>
      </c>
      <c r="W70" s="30">
        <v>0</v>
      </c>
      <c r="X70" s="30">
        <v>0</v>
      </c>
      <c r="Y70" s="30">
        <f t="shared" si="108"/>
        <v>3.230628E-2</v>
      </c>
      <c r="Z70" s="30">
        <v>0</v>
      </c>
      <c r="AA70" s="30">
        <v>3.230628E-2</v>
      </c>
      <c r="AB70" s="30">
        <v>0</v>
      </c>
      <c r="AC70" s="34">
        <v>0</v>
      </c>
      <c r="AD70" s="36">
        <v>0</v>
      </c>
      <c r="AE70" s="36">
        <f t="shared" si="16"/>
        <v>0</v>
      </c>
      <c r="AF70" s="36">
        <f t="shared" si="16"/>
        <v>0</v>
      </c>
      <c r="AG70" s="36">
        <f t="shared" si="16"/>
        <v>0</v>
      </c>
      <c r="AH70" s="36">
        <f t="shared" si="16"/>
        <v>0</v>
      </c>
      <c r="AI70" s="36">
        <f t="shared" si="118"/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4">
        <v>0</v>
      </c>
      <c r="AP70" s="34">
        <v>0</v>
      </c>
      <c r="AQ70" s="34">
        <v>0</v>
      </c>
      <c r="AR70" s="34">
        <v>0</v>
      </c>
      <c r="AS70" s="34">
        <v>0</v>
      </c>
      <c r="AT70" s="34">
        <v>0</v>
      </c>
      <c r="AU70" s="34">
        <v>0</v>
      </c>
      <c r="AV70" s="34">
        <v>0</v>
      </c>
      <c r="AW70" s="34">
        <v>0</v>
      </c>
      <c r="AX70" s="34">
        <v>0</v>
      </c>
      <c r="AY70" s="34">
        <f t="shared" si="113"/>
        <v>0</v>
      </c>
      <c r="AZ70" s="34">
        <v>0</v>
      </c>
      <c r="BA70" s="34">
        <v>0</v>
      </c>
      <c r="BB70" s="34">
        <v>0</v>
      </c>
      <c r="BC70" s="34">
        <v>0</v>
      </c>
    </row>
    <row r="71" spans="1:55" s="55" customFormat="1" ht="53.25" customHeight="1" x14ac:dyDescent="0.25">
      <c r="A71" s="31" t="s">
        <v>50</v>
      </c>
      <c r="B71" s="91" t="s">
        <v>675</v>
      </c>
      <c r="C71" s="90" t="s">
        <v>674</v>
      </c>
      <c r="D71" s="88">
        <v>0</v>
      </c>
      <c r="E71" s="29">
        <f t="shared" si="10"/>
        <v>4.5055096919999995</v>
      </c>
      <c r="F71" s="29">
        <f t="shared" si="10"/>
        <v>0</v>
      </c>
      <c r="G71" s="29">
        <f t="shared" si="10"/>
        <v>2.7432583199999998</v>
      </c>
      <c r="H71" s="29">
        <f t="shared" si="10"/>
        <v>1.7622513719999999</v>
      </c>
      <c r="I71" s="29">
        <f t="shared" si="117"/>
        <v>0</v>
      </c>
      <c r="J71" s="88">
        <v>0</v>
      </c>
      <c r="K71" s="88">
        <v>0</v>
      </c>
      <c r="L71" s="88">
        <v>0</v>
      </c>
      <c r="M71" s="88">
        <v>0</v>
      </c>
      <c r="N71" s="88">
        <v>0</v>
      </c>
      <c r="O71" s="88">
        <v>0</v>
      </c>
      <c r="P71" s="88">
        <v>0</v>
      </c>
      <c r="Q71" s="88">
        <v>0</v>
      </c>
      <c r="R71" s="88">
        <v>0</v>
      </c>
      <c r="S71" s="88">
        <v>0</v>
      </c>
      <c r="T71" s="30">
        <f t="shared" si="109"/>
        <v>4.5055096919999995</v>
      </c>
      <c r="U71" s="30">
        <v>0</v>
      </c>
      <c r="V71" s="30">
        <f>2.2860486*1.2</f>
        <v>2.7432583199999998</v>
      </c>
      <c r="W71" s="30">
        <f>1.46854281*1.2</f>
        <v>1.7622513719999999</v>
      </c>
      <c r="X71" s="30">
        <v>0</v>
      </c>
      <c r="Y71" s="30">
        <f t="shared" si="108"/>
        <v>0</v>
      </c>
      <c r="Z71" s="30">
        <v>0</v>
      </c>
      <c r="AA71" s="30">
        <v>0</v>
      </c>
      <c r="AB71" s="30">
        <v>0</v>
      </c>
      <c r="AC71" s="34">
        <v>0</v>
      </c>
      <c r="AD71" s="36">
        <v>0</v>
      </c>
      <c r="AE71" s="36">
        <f t="shared" si="16"/>
        <v>3.9615916200000001</v>
      </c>
      <c r="AF71" s="36">
        <f t="shared" si="16"/>
        <v>3.7292779999999998E-2</v>
      </c>
      <c r="AG71" s="36">
        <f t="shared" si="16"/>
        <v>2.4557560299999999</v>
      </c>
      <c r="AH71" s="36">
        <f t="shared" si="16"/>
        <v>1.46854281</v>
      </c>
      <c r="AI71" s="36">
        <f t="shared" si="118"/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4">
        <v>0</v>
      </c>
      <c r="AP71" s="34">
        <v>0</v>
      </c>
      <c r="AQ71" s="34">
        <v>0</v>
      </c>
      <c r="AR71" s="34">
        <v>0</v>
      </c>
      <c r="AS71" s="34">
        <v>0</v>
      </c>
      <c r="AT71" s="34">
        <f>AU71+AV71+AW71</f>
        <v>3.9615916200000001</v>
      </c>
      <c r="AU71" s="34">
        <f>37292.78/1000000</f>
        <v>3.7292779999999998E-2</v>
      </c>
      <c r="AV71" s="34">
        <f>2455756.03/1000000</f>
        <v>2.4557560299999999</v>
      </c>
      <c r="AW71" s="34">
        <f>1468542.81/1000000</f>
        <v>1.46854281</v>
      </c>
      <c r="AX71" s="34">
        <v>0</v>
      </c>
      <c r="AY71" s="34">
        <f t="shared" si="113"/>
        <v>0</v>
      </c>
      <c r="AZ71" s="34">
        <v>0</v>
      </c>
      <c r="BA71" s="34">
        <v>0</v>
      </c>
      <c r="BB71" s="34">
        <v>0</v>
      </c>
      <c r="BC71" s="34">
        <v>0</v>
      </c>
    </row>
    <row r="72" spans="1:55" s="55" customFormat="1" ht="53.25" customHeight="1" x14ac:dyDescent="0.25">
      <c r="A72" s="31" t="s">
        <v>50</v>
      </c>
      <c r="B72" s="91" t="s">
        <v>676</v>
      </c>
      <c r="C72" s="90" t="s">
        <v>677</v>
      </c>
      <c r="D72" s="88">
        <v>0</v>
      </c>
      <c r="E72" s="29">
        <f t="shared" si="10"/>
        <v>4.3379939999999999E-2</v>
      </c>
      <c r="F72" s="29">
        <f t="shared" si="10"/>
        <v>0</v>
      </c>
      <c r="G72" s="29">
        <f t="shared" si="10"/>
        <v>4.3379939999999999E-2</v>
      </c>
      <c r="H72" s="29">
        <f t="shared" si="10"/>
        <v>0</v>
      </c>
      <c r="I72" s="29">
        <f t="shared" si="117"/>
        <v>0</v>
      </c>
      <c r="J72" s="88">
        <v>0</v>
      </c>
      <c r="K72" s="88">
        <v>0</v>
      </c>
      <c r="L72" s="88">
        <v>0</v>
      </c>
      <c r="M72" s="88">
        <v>0</v>
      </c>
      <c r="N72" s="88">
        <v>0</v>
      </c>
      <c r="O72" s="88">
        <v>0</v>
      </c>
      <c r="P72" s="88">
        <v>0</v>
      </c>
      <c r="Q72" s="88">
        <v>0</v>
      </c>
      <c r="R72" s="88">
        <v>0</v>
      </c>
      <c r="S72" s="88">
        <v>0</v>
      </c>
      <c r="T72" s="30">
        <f t="shared" si="109"/>
        <v>4.3379939999999999E-2</v>
      </c>
      <c r="U72" s="30">
        <v>0</v>
      </c>
      <c r="V72" s="30">
        <f>36149.95/1000000*1.2</f>
        <v>4.3379939999999999E-2</v>
      </c>
      <c r="W72" s="30">
        <v>0</v>
      </c>
      <c r="X72" s="30">
        <v>0</v>
      </c>
      <c r="Y72" s="30">
        <f t="shared" si="108"/>
        <v>0</v>
      </c>
      <c r="Z72" s="30">
        <v>0</v>
      </c>
      <c r="AA72" s="30">
        <v>0</v>
      </c>
      <c r="AB72" s="30">
        <v>0</v>
      </c>
      <c r="AC72" s="34">
        <v>0</v>
      </c>
      <c r="AD72" s="36">
        <v>0</v>
      </c>
      <c r="AE72" s="36">
        <f t="shared" si="16"/>
        <v>0</v>
      </c>
      <c r="AF72" s="36">
        <f t="shared" si="16"/>
        <v>0</v>
      </c>
      <c r="AG72" s="36">
        <f t="shared" si="16"/>
        <v>0</v>
      </c>
      <c r="AH72" s="36">
        <f t="shared" si="16"/>
        <v>0</v>
      </c>
      <c r="AI72" s="36">
        <f t="shared" si="118"/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4">
        <v>0</v>
      </c>
      <c r="AP72" s="34">
        <v>0</v>
      </c>
      <c r="AQ72" s="34">
        <v>0</v>
      </c>
      <c r="AR72" s="34">
        <v>0</v>
      </c>
      <c r="AS72" s="34">
        <v>0</v>
      </c>
      <c r="AT72" s="34">
        <v>0</v>
      </c>
      <c r="AU72" s="34">
        <v>0</v>
      </c>
      <c r="AV72" s="34">
        <v>0</v>
      </c>
      <c r="AW72" s="34">
        <v>0</v>
      </c>
      <c r="AX72" s="34">
        <v>0</v>
      </c>
      <c r="AY72" s="34">
        <f t="shared" si="113"/>
        <v>0</v>
      </c>
      <c r="AZ72" s="34">
        <v>0</v>
      </c>
      <c r="BA72" s="34">
        <v>0</v>
      </c>
      <c r="BB72" s="34">
        <v>0</v>
      </c>
      <c r="BC72" s="34">
        <v>0</v>
      </c>
    </row>
    <row r="73" spans="1:55" s="55" customFormat="1" ht="53.25" customHeight="1" x14ac:dyDescent="0.25">
      <c r="A73" s="31" t="s">
        <v>50</v>
      </c>
      <c r="B73" s="91" t="s">
        <v>684</v>
      </c>
      <c r="C73" s="90" t="s">
        <v>678</v>
      </c>
      <c r="D73" s="88">
        <v>0</v>
      </c>
      <c r="E73" s="29">
        <f t="shared" si="10"/>
        <v>8.9999999999999993E-3</v>
      </c>
      <c r="F73" s="29">
        <f t="shared" si="10"/>
        <v>8.9999999999999993E-3</v>
      </c>
      <c r="G73" s="29">
        <f t="shared" si="10"/>
        <v>0</v>
      </c>
      <c r="H73" s="29">
        <f t="shared" si="10"/>
        <v>0</v>
      </c>
      <c r="I73" s="29">
        <f t="shared" si="117"/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88">
        <v>0</v>
      </c>
      <c r="Q73" s="88">
        <v>0</v>
      </c>
      <c r="R73" s="88">
        <v>0</v>
      </c>
      <c r="S73" s="88">
        <v>0</v>
      </c>
      <c r="T73" s="30">
        <f t="shared" si="109"/>
        <v>8.9999999999999993E-3</v>
      </c>
      <c r="U73" s="30">
        <f>7500/1000000*1.2</f>
        <v>8.9999999999999993E-3</v>
      </c>
      <c r="V73" s="30">
        <v>0</v>
      </c>
      <c r="W73" s="30">
        <v>0</v>
      </c>
      <c r="X73" s="30">
        <v>0</v>
      </c>
      <c r="Y73" s="30">
        <f t="shared" si="108"/>
        <v>0</v>
      </c>
      <c r="Z73" s="30">
        <v>0</v>
      </c>
      <c r="AA73" s="30">
        <v>0</v>
      </c>
      <c r="AB73" s="30">
        <v>0</v>
      </c>
      <c r="AC73" s="34">
        <v>0</v>
      </c>
      <c r="AD73" s="36">
        <v>0</v>
      </c>
      <c r="AE73" s="36">
        <f t="shared" si="16"/>
        <v>0</v>
      </c>
      <c r="AF73" s="36">
        <f t="shared" si="16"/>
        <v>0</v>
      </c>
      <c r="AG73" s="36">
        <f t="shared" si="16"/>
        <v>0</v>
      </c>
      <c r="AH73" s="36">
        <f t="shared" si="16"/>
        <v>0</v>
      </c>
      <c r="AI73" s="36">
        <f t="shared" si="118"/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4">
        <v>0</v>
      </c>
      <c r="AP73" s="34">
        <v>0</v>
      </c>
      <c r="AQ73" s="34">
        <v>0</v>
      </c>
      <c r="AR73" s="34">
        <v>0</v>
      </c>
      <c r="AS73" s="34">
        <v>0</v>
      </c>
      <c r="AT73" s="34">
        <v>0</v>
      </c>
      <c r="AU73" s="34">
        <v>0</v>
      </c>
      <c r="AV73" s="34">
        <v>0</v>
      </c>
      <c r="AW73" s="34">
        <v>0</v>
      </c>
      <c r="AX73" s="34">
        <v>0</v>
      </c>
      <c r="AY73" s="34">
        <f t="shared" si="113"/>
        <v>0</v>
      </c>
      <c r="AZ73" s="34">
        <v>0</v>
      </c>
      <c r="BA73" s="34">
        <v>0</v>
      </c>
      <c r="BB73" s="34">
        <v>0</v>
      </c>
      <c r="BC73" s="34">
        <v>0</v>
      </c>
    </row>
    <row r="74" spans="1:55" s="55" customFormat="1" ht="53.25" customHeight="1" x14ac:dyDescent="0.25">
      <c r="A74" s="31" t="s">
        <v>50</v>
      </c>
      <c r="B74" s="91" t="s">
        <v>685</v>
      </c>
      <c r="C74" s="90" t="s">
        <v>679</v>
      </c>
      <c r="D74" s="88">
        <v>0</v>
      </c>
      <c r="E74" s="29">
        <f t="shared" ref="E74:H129" si="119">J74+O74+T74+Y74</f>
        <v>2.4465904199999997</v>
      </c>
      <c r="F74" s="29">
        <f t="shared" si="119"/>
        <v>0</v>
      </c>
      <c r="G74" s="29">
        <f t="shared" si="119"/>
        <v>1.9829593799999998</v>
      </c>
      <c r="H74" s="29">
        <f t="shared" si="119"/>
        <v>0.46363103999999999</v>
      </c>
      <c r="I74" s="29">
        <f t="shared" si="117"/>
        <v>0</v>
      </c>
      <c r="J74" s="88">
        <v>0</v>
      </c>
      <c r="K74" s="88">
        <v>0</v>
      </c>
      <c r="L74" s="88">
        <v>0</v>
      </c>
      <c r="M74" s="88">
        <v>0</v>
      </c>
      <c r="N74" s="88">
        <v>0</v>
      </c>
      <c r="O74" s="88">
        <v>0</v>
      </c>
      <c r="P74" s="88">
        <v>0</v>
      </c>
      <c r="Q74" s="88">
        <v>0</v>
      </c>
      <c r="R74" s="88">
        <v>0</v>
      </c>
      <c r="S74" s="88">
        <v>0</v>
      </c>
      <c r="T74" s="30">
        <f t="shared" si="109"/>
        <v>2.4465904199999997</v>
      </c>
      <c r="U74" s="30">
        <v>0</v>
      </c>
      <c r="V74" s="30">
        <f>1652466.15/1000000*1.2</f>
        <v>1.9829593799999998</v>
      </c>
      <c r="W74" s="30">
        <f>386359.2/1000000*1.2</f>
        <v>0.46363103999999999</v>
      </c>
      <c r="X74" s="30">
        <v>0</v>
      </c>
      <c r="Y74" s="30">
        <f t="shared" si="108"/>
        <v>0</v>
      </c>
      <c r="Z74" s="30">
        <v>0</v>
      </c>
      <c r="AA74" s="30">
        <v>0</v>
      </c>
      <c r="AB74" s="30">
        <v>0</v>
      </c>
      <c r="AC74" s="34">
        <v>0</v>
      </c>
      <c r="AD74" s="36">
        <v>0</v>
      </c>
      <c r="AE74" s="36">
        <f t="shared" ref="AE74:AH129" si="120">AJ74+AO74+AT74+AY74</f>
        <v>2.6962482799999998</v>
      </c>
      <c r="AF74" s="36">
        <f t="shared" si="120"/>
        <v>0.46243628000000003</v>
      </c>
      <c r="AG74" s="36">
        <f t="shared" si="120"/>
        <v>1.8474528000000001</v>
      </c>
      <c r="AH74" s="36">
        <f t="shared" si="120"/>
        <v>0.38635920000000001</v>
      </c>
      <c r="AI74" s="36">
        <f t="shared" si="118"/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4">
        <v>0</v>
      </c>
      <c r="AP74" s="34">
        <v>0</v>
      </c>
      <c r="AQ74" s="34">
        <v>0</v>
      </c>
      <c r="AR74" s="34">
        <v>0</v>
      </c>
      <c r="AS74" s="34">
        <v>0</v>
      </c>
      <c r="AT74" s="34">
        <f>AU74+AV74+AW74</f>
        <v>2.6962482799999998</v>
      </c>
      <c r="AU74" s="34">
        <f>462436.28/1000000</f>
        <v>0.46243628000000003</v>
      </c>
      <c r="AV74" s="34">
        <f>1847452.8/1000000</f>
        <v>1.8474528000000001</v>
      </c>
      <c r="AW74" s="34">
        <f>386359.2/1000000</f>
        <v>0.38635920000000001</v>
      </c>
      <c r="AX74" s="34">
        <v>0</v>
      </c>
      <c r="AY74" s="34">
        <f t="shared" si="113"/>
        <v>0</v>
      </c>
      <c r="AZ74" s="34">
        <v>0</v>
      </c>
      <c r="BA74" s="34">
        <v>0</v>
      </c>
      <c r="BB74" s="34">
        <v>0</v>
      </c>
      <c r="BC74" s="34">
        <v>0</v>
      </c>
    </row>
    <row r="75" spans="1:55" s="55" customFormat="1" ht="53.25" customHeight="1" x14ac:dyDescent="0.25">
      <c r="A75" s="31" t="s">
        <v>50</v>
      </c>
      <c r="B75" s="91" t="s">
        <v>686</v>
      </c>
      <c r="C75" s="90" t="s">
        <v>680</v>
      </c>
      <c r="D75" s="88">
        <v>0</v>
      </c>
      <c r="E75" s="29">
        <f t="shared" si="119"/>
        <v>2.8278407999999998E-2</v>
      </c>
      <c r="F75" s="29">
        <f t="shared" si="119"/>
        <v>2.8278407999999998E-2</v>
      </c>
      <c r="G75" s="29">
        <f t="shared" si="119"/>
        <v>0</v>
      </c>
      <c r="H75" s="29">
        <f t="shared" si="119"/>
        <v>0</v>
      </c>
      <c r="I75" s="29">
        <f t="shared" si="117"/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88">
        <v>0</v>
      </c>
      <c r="P75" s="88">
        <v>0</v>
      </c>
      <c r="Q75" s="88">
        <v>0</v>
      </c>
      <c r="R75" s="88">
        <v>0</v>
      </c>
      <c r="S75" s="88">
        <v>0</v>
      </c>
      <c r="T75" s="30">
        <f t="shared" si="109"/>
        <v>2.8278407999999998E-2</v>
      </c>
      <c r="U75" s="30">
        <f>0.02356534*1.2</f>
        <v>2.8278407999999998E-2</v>
      </c>
      <c r="V75" s="30">
        <v>0</v>
      </c>
      <c r="W75" s="30">
        <v>0</v>
      </c>
      <c r="X75" s="30">
        <v>0</v>
      </c>
      <c r="Y75" s="30">
        <f t="shared" si="108"/>
        <v>0</v>
      </c>
      <c r="Z75" s="30">
        <v>0</v>
      </c>
      <c r="AA75" s="30">
        <v>0</v>
      </c>
      <c r="AB75" s="30">
        <v>0</v>
      </c>
      <c r="AC75" s="34">
        <v>0</v>
      </c>
      <c r="AD75" s="36">
        <v>0</v>
      </c>
      <c r="AE75" s="36">
        <f t="shared" si="120"/>
        <v>0</v>
      </c>
      <c r="AF75" s="36">
        <f t="shared" si="120"/>
        <v>0</v>
      </c>
      <c r="AG75" s="36">
        <f t="shared" si="120"/>
        <v>0</v>
      </c>
      <c r="AH75" s="36">
        <f t="shared" si="120"/>
        <v>0</v>
      </c>
      <c r="AI75" s="36">
        <f t="shared" si="118"/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>
        <v>0</v>
      </c>
      <c r="AU75" s="34">
        <v>0</v>
      </c>
      <c r="AV75" s="34">
        <v>0</v>
      </c>
      <c r="AW75" s="34">
        <v>0</v>
      </c>
      <c r="AX75" s="34">
        <v>0</v>
      </c>
      <c r="AY75" s="34">
        <f t="shared" si="113"/>
        <v>0</v>
      </c>
      <c r="AZ75" s="34">
        <v>0</v>
      </c>
      <c r="BA75" s="34">
        <v>0</v>
      </c>
      <c r="BB75" s="34">
        <v>0</v>
      </c>
      <c r="BC75" s="34">
        <v>0</v>
      </c>
    </row>
    <row r="76" spans="1:55" s="55" customFormat="1" ht="53.25" customHeight="1" x14ac:dyDescent="0.25">
      <c r="A76" s="31" t="s">
        <v>50</v>
      </c>
      <c r="B76" s="91" t="s">
        <v>687</v>
      </c>
      <c r="C76" s="90" t="s">
        <v>681</v>
      </c>
      <c r="D76" s="88">
        <v>0</v>
      </c>
      <c r="E76" s="29">
        <f t="shared" si="119"/>
        <v>2.2476456000000002E-2</v>
      </c>
      <c r="F76" s="29">
        <f t="shared" si="119"/>
        <v>2.2476456000000002E-2</v>
      </c>
      <c r="G76" s="29">
        <f t="shared" si="119"/>
        <v>0</v>
      </c>
      <c r="H76" s="29">
        <f t="shared" si="119"/>
        <v>0</v>
      </c>
      <c r="I76" s="29">
        <f t="shared" si="117"/>
        <v>0</v>
      </c>
      <c r="J76" s="88">
        <v>0</v>
      </c>
      <c r="K76" s="88">
        <v>0</v>
      </c>
      <c r="L76" s="88">
        <v>0</v>
      </c>
      <c r="M76" s="88">
        <v>0</v>
      </c>
      <c r="N76" s="88">
        <v>0</v>
      </c>
      <c r="O76" s="88">
        <v>0</v>
      </c>
      <c r="P76" s="88">
        <v>0</v>
      </c>
      <c r="Q76" s="88">
        <v>0</v>
      </c>
      <c r="R76" s="88">
        <v>0</v>
      </c>
      <c r="S76" s="88">
        <v>0</v>
      </c>
      <c r="T76" s="30">
        <f t="shared" si="109"/>
        <v>2.2476456000000002E-2</v>
      </c>
      <c r="U76" s="30">
        <f>0.01873038*1.2</f>
        <v>2.2476456000000002E-2</v>
      </c>
      <c r="V76" s="30">
        <v>0</v>
      </c>
      <c r="W76" s="30">
        <v>0</v>
      </c>
      <c r="X76" s="30">
        <v>0</v>
      </c>
      <c r="Y76" s="30">
        <f t="shared" si="108"/>
        <v>0</v>
      </c>
      <c r="Z76" s="30">
        <v>0</v>
      </c>
      <c r="AA76" s="30">
        <v>0</v>
      </c>
      <c r="AB76" s="30">
        <v>0</v>
      </c>
      <c r="AC76" s="34">
        <v>0</v>
      </c>
      <c r="AD76" s="36">
        <v>0</v>
      </c>
      <c r="AE76" s="36">
        <f t="shared" si="120"/>
        <v>0</v>
      </c>
      <c r="AF76" s="36">
        <f t="shared" si="120"/>
        <v>0</v>
      </c>
      <c r="AG76" s="36">
        <f t="shared" si="120"/>
        <v>0</v>
      </c>
      <c r="AH76" s="36">
        <f t="shared" si="120"/>
        <v>0</v>
      </c>
      <c r="AI76" s="36">
        <f t="shared" si="118"/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0</v>
      </c>
      <c r="AT76" s="34">
        <v>0</v>
      </c>
      <c r="AU76" s="34">
        <v>0</v>
      </c>
      <c r="AV76" s="34">
        <v>0</v>
      </c>
      <c r="AW76" s="34">
        <v>0</v>
      </c>
      <c r="AX76" s="34">
        <v>0</v>
      </c>
      <c r="AY76" s="34">
        <f t="shared" si="113"/>
        <v>0</v>
      </c>
      <c r="AZ76" s="34">
        <v>0</v>
      </c>
      <c r="BA76" s="34">
        <v>0</v>
      </c>
      <c r="BB76" s="34">
        <v>0</v>
      </c>
      <c r="BC76" s="34">
        <v>0</v>
      </c>
    </row>
    <row r="77" spans="1:55" s="55" customFormat="1" ht="53.25" customHeight="1" x14ac:dyDescent="0.25">
      <c r="A77" s="31" t="s">
        <v>50</v>
      </c>
      <c r="B77" s="91" t="s">
        <v>688</v>
      </c>
      <c r="C77" s="90" t="s">
        <v>682</v>
      </c>
      <c r="D77" s="88">
        <v>0</v>
      </c>
      <c r="E77" s="29">
        <f t="shared" si="119"/>
        <v>2.7213599999999999E-3</v>
      </c>
      <c r="F77" s="29">
        <f t="shared" si="119"/>
        <v>2.7213599999999999E-3</v>
      </c>
      <c r="G77" s="29">
        <f t="shared" si="119"/>
        <v>0</v>
      </c>
      <c r="H77" s="29">
        <f t="shared" si="119"/>
        <v>0</v>
      </c>
      <c r="I77" s="29">
        <f t="shared" si="117"/>
        <v>0</v>
      </c>
      <c r="J77" s="88">
        <v>0</v>
      </c>
      <c r="K77" s="88">
        <v>0</v>
      </c>
      <c r="L77" s="88">
        <v>0</v>
      </c>
      <c r="M77" s="88">
        <v>0</v>
      </c>
      <c r="N77" s="88">
        <v>0</v>
      </c>
      <c r="O77" s="88">
        <v>0</v>
      </c>
      <c r="P77" s="88">
        <v>0</v>
      </c>
      <c r="Q77" s="88">
        <v>0</v>
      </c>
      <c r="R77" s="88">
        <v>0</v>
      </c>
      <c r="S77" s="88">
        <v>0</v>
      </c>
      <c r="T77" s="30">
        <f t="shared" si="109"/>
        <v>2.7213599999999999E-3</v>
      </c>
      <c r="U77" s="30">
        <f>0.0022678*1.2</f>
        <v>2.7213599999999999E-3</v>
      </c>
      <c r="V77" s="30">
        <v>0</v>
      </c>
      <c r="W77" s="30">
        <v>0</v>
      </c>
      <c r="X77" s="30">
        <v>0</v>
      </c>
      <c r="Y77" s="30">
        <f t="shared" si="108"/>
        <v>0</v>
      </c>
      <c r="Z77" s="30">
        <v>0</v>
      </c>
      <c r="AA77" s="30">
        <v>0</v>
      </c>
      <c r="AB77" s="30">
        <v>0</v>
      </c>
      <c r="AC77" s="34">
        <v>0</v>
      </c>
      <c r="AD77" s="36">
        <v>0</v>
      </c>
      <c r="AE77" s="36">
        <f t="shared" si="120"/>
        <v>0</v>
      </c>
      <c r="AF77" s="36">
        <f t="shared" si="120"/>
        <v>0</v>
      </c>
      <c r="AG77" s="36">
        <f t="shared" si="120"/>
        <v>0</v>
      </c>
      <c r="AH77" s="36">
        <f t="shared" si="120"/>
        <v>0</v>
      </c>
      <c r="AI77" s="36">
        <f t="shared" si="118"/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0</v>
      </c>
      <c r="AU77" s="34">
        <v>0</v>
      </c>
      <c r="AV77" s="34">
        <v>0</v>
      </c>
      <c r="AW77" s="34">
        <v>0</v>
      </c>
      <c r="AX77" s="34">
        <v>0</v>
      </c>
      <c r="AY77" s="34">
        <f t="shared" si="113"/>
        <v>0</v>
      </c>
      <c r="AZ77" s="34">
        <v>0</v>
      </c>
      <c r="BA77" s="34">
        <v>0</v>
      </c>
      <c r="BB77" s="34">
        <v>0</v>
      </c>
      <c r="BC77" s="34">
        <v>0</v>
      </c>
    </row>
    <row r="78" spans="1:55" s="55" customFormat="1" ht="53.25" customHeight="1" x14ac:dyDescent="0.25">
      <c r="A78" s="31" t="s">
        <v>50</v>
      </c>
      <c r="B78" s="91" t="s">
        <v>597</v>
      </c>
      <c r="C78" s="90" t="s">
        <v>598</v>
      </c>
      <c r="D78" s="88">
        <v>0</v>
      </c>
      <c r="E78" s="29">
        <f t="shared" si="119"/>
        <v>6.7932811079999995</v>
      </c>
      <c r="F78" s="29">
        <f t="shared" si="119"/>
        <v>0</v>
      </c>
      <c r="G78" s="29">
        <f t="shared" si="119"/>
        <v>0.18385034399999997</v>
      </c>
      <c r="H78" s="29">
        <f t="shared" si="119"/>
        <v>6.6094307639999998</v>
      </c>
      <c r="I78" s="29">
        <f t="shared" si="117"/>
        <v>0</v>
      </c>
      <c r="J78" s="88">
        <v>0</v>
      </c>
      <c r="K78" s="88">
        <v>0</v>
      </c>
      <c r="L78" s="88">
        <v>0</v>
      </c>
      <c r="M78" s="88">
        <v>0</v>
      </c>
      <c r="N78" s="88">
        <v>0</v>
      </c>
      <c r="O78" s="88">
        <v>0</v>
      </c>
      <c r="P78" s="88">
        <v>0</v>
      </c>
      <c r="Q78" s="88">
        <v>0</v>
      </c>
      <c r="R78" s="88">
        <v>0</v>
      </c>
      <c r="S78" s="88">
        <v>0</v>
      </c>
      <c r="T78" s="30">
        <f t="shared" si="109"/>
        <v>6.7932811079999995</v>
      </c>
      <c r="U78" s="30">
        <v>0</v>
      </c>
      <c r="V78" s="30">
        <f>153208.62/1000000*1.2</f>
        <v>0.18385034399999997</v>
      </c>
      <c r="W78" s="30">
        <f>5507858.97/1000000*1.2</f>
        <v>6.6094307639999998</v>
      </c>
      <c r="X78" s="30">
        <v>0</v>
      </c>
      <c r="Y78" s="30">
        <f t="shared" si="108"/>
        <v>0</v>
      </c>
      <c r="Z78" s="30">
        <v>0</v>
      </c>
      <c r="AA78" s="30">
        <v>0</v>
      </c>
      <c r="AB78" s="30">
        <v>0</v>
      </c>
      <c r="AC78" s="34">
        <v>0</v>
      </c>
      <c r="AD78" s="36">
        <v>0</v>
      </c>
      <c r="AE78" s="36">
        <f t="shared" si="120"/>
        <v>5.66106759</v>
      </c>
      <c r="AF78" s="36">
        <f t="shared" si="120"/>
        <v>0</v>
      </c>
      <c r="AG78" s="36">
        <f t="shared" si="120"/>
        <v>0.15320861999999999</v>
      </c>
      <c r="AH78" s="36">
        <f t="shared" si="120"/>
        <v>5.50785897</v>
      </c>
      <c r="AI78" s="36">
        <f t="shared" si="118"/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f>AV78+AW78</f>
        <v>5.66106759</v>
      </c>
      <c r="AU78" s="34">
        <v>0</v>
      </c>
      <c r="AV78" s="34">
        <v>0.15320861999999999</v>
      </c>
      <c r="AW78" s="34">
        <v>5.50785897</v>
      </c>
      <c r="AX78" s="34">
        <v>0</v>
      </c>
      <c r="AY78" s="34">
        <f t="shared" si="113"/>
        <v>0</v>
      </c>
      <c r="AZ78" s="34">
        <v>0</v>
      </c>
      <c r="BA78" s="34">
        <v>0</v>
      </c>
      <c r="BB78" s="34">
        <v>0</v>
      </c>
      <c r="BC78" s="34">
        <v>0</v>
      </c>
    </row>
    <row r="79" spans="1:55" s="55" customFormat="1" ht="53.25" customHeight="1" x14ac:dyDescent="0.25">
      <c r="A79" s="31" t="s">
        <v>50</v>
      </c>
      <c r="B79" s="91" t="s">
        <v>689</v>
      </c>
      <c r="C79" s="90" t="s">
        <v>683</v>
      </c>
      <c r="D79" s="88">
        <v>0</v>
      </c>
      <c r="E79" s="29">
        <f t="shared" si="119"/>
        <v>4.3998432120000004</v>
      </c>
      <c r="F79" s="29">
        <f t="shared" si="119"/>
        <v>4.0033199999999998E-2</v>
      </c>
      <c r="G79" s="29">
        <f t="shared" si="119"/>
        <v>0.76055131199999992</v>
      </c>
      <c r="H79" s="29">
        <f t="shared" si="119"/>
        <v>3.5992587</v>
      </c>
      <c r="I79" s="29">
        <f t="shared" si="117"/>
        <v>0</v>
      </c>
      <c r="J79" s="88">
        <v>0</v>
      </c>
      <c r="K79" s="88">
        <v>0</v>
      </c>
      <c r="L79" s="88">
        <v>0</v>
      </c>
      <c r="M79" s="88">
        <v>0</v>
      </c>
      <c r="N79" s="88">
        <v>0</v>
      </c>
      <c r="O79" s="88">
        <v>0</v>
      </c>
      <c r="P79" s="88">
        <v>0</v>
      </c>
      <c r="Q79" s="88">
        <v>0</v>
      </c>
      <c r="R79" s="88">
        <v>0</v>
      </c>
      <c r="S79" s="88">
        <v>0</v>
      </c>
      <c r="T79" s="30">
        <f t="shared" si="109"/>
        <v>4.3998432120000004</v>
      </c>
      <c r="U79" s="30">
        <f>(4250/1000000+29111/1000000)*1.2</f>
        <v>4.0033199999999998E-2</v>
      </c>
      <c r="V79" s="30">
        <f>633792.76/1000000*1.2</f>
        <v>0.76055131199999992</v>
      </c>
      <c r="W79" s="30">
        <f>2999382.25/1000000*1.2</f>
        <v>3.5992587</v>
      </c>
      <c r="X79" s="30">
        <v>0</v>
      </c>
      <c r="Y79" s="30">
        <f t="shared" si="108"/>
        <v>0</v>
      </c>
      <c r="Z79" s="30">
        <v>0</v>
      </c>
      <c r="AA79" s="30">
        <v>0</v>
      </c>
      <c r="AB79" s="30">
        <v>0</v>
      </c>
      <c r="AC79" s="34">
        <v>0</v>
      </c>
      <c r="AD79" s="36">
        <v>0</v>
      </c>
      <c r="AE79" s="36">
        <f t="shared" si="120"/>
        <v>3.6844769799999999</v>
      </c>
      <c r="AF79" s="36">
        <f t="shared" si="120"/>
        <v>2.6964999999999999E-2</v>
      </c>
      <c r="AG79" s="36">
        <f t="shared" si="120"/>
        <v>0.65812972999999997</v>
      </c>
      <c r="AH79" s="36">
        <f t="shared" si="120"/>
        <v>2.99938225</v>
      </c>
      <c r="AI79" s="36">
        <f t="shared" si="118"/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f>AU79+AV79+AW79</f>
        <v>3.6844769799999999</v>
      </c>
      <c r="AU79" s="34">
        <f>26965/1000000</f>
        <v>2.6964999999999999E-2</v>
      </c>
      <c r="AV79" s="34">
        <f>658129.73/1000000</f>
        <v>0.65812972999999997</v>
      </c>
      <c r="AW79" s="34">
        <f>2999382.25/1000000</f>
        <v>2.99938225</v>
      </c>
      <c r="AX79" s="34">
        <v>0</v>
      </c>
      <c r="AY79" s="34">
        <f t="shared" si="113"/>
        <v>0</v>
      </c>
      <c r="AZ79" s="34">
        <v>0</v>
      </c>
      <c r="BA79" s="34">
        <v>0</v>
      </c>
      <c r="BB79" s="34">
        <v>0</v>
      </c>
      <c r="BC79" s="34">
        <v>0</v>
      </c>
    </row>
    <row r="80" spans="1:55" s="55" customFormat="1" ht="53.25" customHeight="1" x14ac:dyDescent="0.25">
      <c r="A80" s="31" t="s">
        <v>50</v>
      </c>
      <c r="B80" s="91" t="s">
        <v>603</v>
      </c>
      <c r="C80" s="90" t="s">
        <v>604</v>
      </c>
      <c r="D80" s="88">
        <v>0</v>
      </c>
      <c r="E80" s="29">
        <f t="shared" si="119"/>
        <v>1.382743872</v>
      </c>
      <c r="F80" s="29">
        <f t="shared" si="119"/>
        <v>1.2441192000000002E-2</v>
      </c>
      <c r="G80" s="29">
        <f t="shared" si="119"/>
        <v>0.508245324</v>
      </c>
      <c r="H80" s="29">
        <f t="shared" si="119"/>
        <v>0.862057356</v>
      </c>
      <c r="I80" s="29">
        <f t="shared" si="117"/>
        <v>0</v>
      </c>
      <c r="J80" s="88">
        <v>0</v>
      </c>
      <c r="K80" s="88">
        <v>0</v>
      </c>
      <c r="L80" s="88">
        <v>0</v>
      </c>
      <c r="M80" s="88">
        <v>0</v>
      </c>
      <c r="N80" s="88">
        <v>0</v>
      </c>
      <c r="O80" s="88">
        <v>0</v>
      </c>
      <c r="P80" s="88">
        <v>0</v>
      </c>
      <c r="Q80" s="88">
        <v>0</v>
      </c>
      <c r="R80" s="88">
        <v>0</v>
      </c>
      <c r="S80" s="88">
        <v>0</v>
      </c>
      <c r="T80" s="30">
        <f t="shared" si="109"/>
        <v>1.05996E-3</v>
      </c>
      <c r="U80" s="30">
        <f>0.0008833*1.2</f>
        <v>1.05996E-3</v>
      </c>
      <c r="V80" s="30">
        <v>0</v>
      </c>
      <c r="W80" s="30">
        <v>0</v>
      </c>
      <c r="X80" s="30">
        <v>0</v>
      </c>
      <c r="Y80" s="30">
        <f t="shared" si="108"/>
        <v>1.381683912</v>
      </c>
      <c r="Z80" s="30">
        <f>11.381232/1000</f>
        <v>1.1381232000000002E-2</v>
      </c>
      <c r="AA80" s="30">
        <v>0.508245324</v>
      </c>
      <c r="AB80" s="30">
        <v>0.862057356</v>
      </c>
      <c r="AC80" s="34">
        <v>0</v>
      </c>
      <c r="AD80" s="36">
        <v>0</v>
      </c>
      <c r="AE80" s="36">
        <f t="shared" si="120"/>
        <v>0</v>
      </c>
      <c r="AF80" s="36">
        <f t="shared" si="120"/>
        <v>0</v>
      </c>
      <c r="AG80" s="36">
        <f t="shared" si="120"/>
        <v>0</v>
      </c>
      <c r="AH80" s="36">
        <f t="shared" si="120"/>
        <v>0</v>
      </c>
      <c r="AI80" s="36">
        <f t="shared" si="118"/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0</v>
      </c>
      <c r="AV80" s="34">
        <v>0</v>
      </c>
      <c r="AW80" s="34">
        <v>0</v>
      </c>
      <c r="AX80" s="34">
        <v>0</v>
      </c>
      <c r="AY80" s="34">
        <f t="shared" si="113"/>
        <v>0</v>
      </c>
      <c r="AZ80" s="34">
        <v>0</v>
      </c>
      <c r="BA80" s="34">
        <v>0</v>
      </c>
      <c r="BB80" s="34">
        <v>0</v>
      </c>
      <c r="BC80" s="34">
        <v>0</v>
      </c>
    </row>
    <row r="81" spans="1:55" s="55" customFormat="1" ht="53.25" customHeight="1" x14ac:dyDescent="0.25">
      <c r="A81" s="31" t="s">
        <v>50</v>
      </c>
      <c r="B81" s="91" t="s">
        <v>690</v>
      </c>
      <c r="C81" s="90" t="s">
        <v>683</v>
      </c>
      <c r="D81" s="88">
        <v>0</v>
      </c>
      <c r="E81" s="29">
        <f t="shared" si="119"/>
        <v>2.35788E-2</v>
      </c>
      <c r="F81" s="29">
        <f t="shared" si="119"/>
        <v>2.35788E-2</v>
      </c>
      <c r="G81" s="29">
        <f t="shared" si="119"/>
        <v>0</v>
      </c>
      <c r="H81" s="29">
        <f t="shared" si="119"/>
        <v>0</v>
      </c>
      <c r="I81" s="29">
        <f t="shared" si="117"/>
        <v>0</v>
      </c>
      <c r="J81" s="88">
        <v>0</v>
      </c>
      <c r="K81" s="88">
        <v>0</v>
      </c>
      <c r="L81" s="88">
        <v>0</v>
      </c>
      <c r="M81" s="88">
        <v>0</v>
      </c>
      <c r="N81" s="88">
        <v>0</v>
      </c>
      <c r="O81" s="88">
        <v>0</v>
      </c>
      <c r="P81" s="88">
        <v>0</v>
      </c>
      <c r="Q81" s="88">
        <v>0</v>
      </c>
      <c r="R81" s="88">
        <v>0</v>
      </c>
      <c r="S81" s="88">
        <v>0</v>
      </c>
      <c r="T81" s="30">
        <f t="shared" si="109"/>
        <v>2.35788E-2</v>
      </c>
      <c r="U81" s="30">
        <f>0.019649*1.2</f>
        <v>2.35788E-2</v>
      </c>
      <c r="V81" s="30">
        <v>0</v>
      </c>
      <c r="W81" s="30">
        <v>0</v>
      </c>
      <c r="X81" s="30">
        <v>0</v>
      </c>
      <c r="Y81" s="30">
        <f t="shared" si="108"/>
        <v>0</v>
      </c>
      <c r="Z81" s="30">
        <v>0</v>
      </c>
      <c r="AA81" s="30">
        <v>0</v>
      </c>
      <c r="AB81" s="30">
        <v>0</v>
      </c>
      <c r="AC81" s="34">
        <v>0</v>
      </c>
      <c r="AD81" s="36">
        <v>0</v>
      </c>
      <c r="AE81" s="36">
        <f t="shared" si="120"/>
        <v>0</v>
      </c>
      <c r="AF81" s="36">
        <f t="shared" si="120"/>
        <v>0</v>
      </c>
      <c r="AG81" s="36">
        <f t="shared" si="120"/>
        <v>0</v>
      </c>
      <c r="AH81" s="36">
        <f t="shared" si="120"/>
        <v>0</v>
      </c>
      <c r="AI81" s="36">
        <f t="shared" si="118"/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4">
        <v>0</v>
      </c>
      <c r="AP81" s="34">
        <v>0</v>
      </c>
      <c r="AQ81" s="34">
        <v>0</v>
      </c>
      <c r="AR81" s="34">
        <v>0</v>
      </c>
      <c r="AS81" s="34">
        <v>0</v>
      </c>
      <c r="AT81" s="34">
        <v>0</v>
      </c>
      <c r="AU81" s="34">
        <v>0</v>
      </c>
      <c r="AV81" s="34">
        <v>0</v>
      </c>
      <c r="AW81" s="34">
        <v>0</v>
      </c>
      <c r="AX81" s="34">
        <v>0</v>
      </c>
      <c r="AY81" s="34">
        <f t="shared" si="113"/>
        <v>0</v>
      </c>
      <c r="AZ81" s="34">
        <v>0</v>
      </c>
      <c r="BA81" s="34">
        <v>0</v>
      </c>
      <c r="BB81" s="34">
        <v>0</v>
      </c>
      <c r="BC81" s="34">
        <v>0</v>
      </c>
    </row>
    <row r="82" spans="1:55" s="55" customFormat="1" ht="53.25" customHeight="1" x14ac:dyDescent="0.25">
      <c r="A82" s="31" t="s">
        <v>50</v>
      </c>
      <c r="B82" s="91" t="s">
        <v>476</v>
      </c>
      <c r="C82" s="90" t="s">
        <v>477</v>
      </c>
      <c r="D82" s="88">
        <v>0</v>
      </c>
      <c r="E82" s="29">
        <f t="shared" si="119"/>
        <v>3.413700612</v>
      </c>
      <c r="F82" s="29">
        <f t="shared" si="119"/>
        <v>0</v>
      </c>
      <c r="G82" s="29">
        <f t="shared" si="119"/>
        <v>2.0495793839999998</v>
      </c>
      <c r="H82" s="29">
        <f t="shared" si="119"/>
        <v>1.3641212280000001</v>
      </c>
      <c r="I82" s="29">
        <f t="shared" si="117"/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0</v>
      </c>
      <c r="P82" s="88">
        <v>0</v>
      </c>
      <c r="Q82" s="88">
        <v>0</v>
      </c>
      <c r="R82" s="88">
        <v>0</v>
      </c>
      <c r="S82" s="88">
        <v>0</v>
      </c>
      <c r="T82" s="30">
        <f t="shared" si="109"/>
        <v>3.413700612</v>
      </c>
      <c r="U82" s="30">
        <v>0</v>
      </c>
      <c r="V82" s="30">
        <f>(1662887/1000000+45095.82/1000000)*1.2</f>
        <v>2.0495793839999998</v>
      </c>
      <c r="W82" s="30">
        <f>(1110653.87/1000000+26113.82/1000000)*1.2</f>
        <v>1.3641212280000001</v>
      </c>
      <c r="X82" s="30">
        <v>0</v>
      </c>
      <c r="Y82" s="30">
        <f t="shared" si="108"/>
        <v>0</v>
      </c>
      <c r="Z82" s="30">
        <v>0</v>
      </c>
      <c r="AA82" s="30">
        <v>0</v>
      </c>
      <c r="AB82" s="30">
        <v>0</v>
      </c>
      <c r="AC82" s="34">
        <v>0</v>
      </c>
      <c r="AD82" s="36">
        <v>0</v>
      </c>
      <c r="AE82" s="36">
        <f t="shared" si="120"/>
        <v>3.6565081799999999</v>
      </c>
      <c r="AF82" s="36">
        <f t="shared" si="120"/>
        <v>0.28097673000000001</v>
      </c>
      <c r="AG82" s="36">
        <f t="shared" si="120"/>
        <v>2.2387637599999999</v>
      </c>
      <c r="AH82" s="36">
        <f t="shared" si="120"/>
        <v>1.1367676900000001</v>
      </c>
      <c r="AI82" s="36">
        <f t="shared" si="118"/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f>AU82+AV82+AW82</f>
        <v>3.6565081799999999</v>
      </c>
      <c r="AU82" s="34">
        <f>280976.73/1000000</f>
        <v>0.28097673000000001</v>
      </c>
      <c r="AV82" s="34">
        <f>2193667.94/1000000+45095.82/1000000</f>
        <v>2.2387637599999999</v>
      </c>
      <c r="AW82" s="34">
        <f>1110653.87/1000000+26113.82/1000000</f>
        <v>1.1367676900000001</v>
      </c>
      <c r="AX82" s="34">
        <v>0</v>
      </c>
      <c r="AY82" s="34">
        <f t="shared" si="113"/>
        <v>0</v>
      </c>
      <c r="AZ82" s="34">
        <v>0</v>
      </c>
      <c r="BA82" s="34">
        <v>0</v>
      </c>
      <c r="BB82" s="34">
        <v>0</v>
      </c>
      <c r="BC82" s="34">
        <v>0</v>
      </c>
    </row>
    <row r="83" spans="1:55" s="55" customFormat="1" ht="53.25" customHeight="1" x14ac:dyDescent="0.25">
      <c r="A83" s="31" t="s">
        <v>50</v>
      </c>
      <c r="B83" s="91" t="s">
        <v>903</v>
      </c>
      <c r="C83" s="90" t="s">
        <v>904</v>
      </c>
      <c r="D83" s="88">
        <v>0</v>
      </c>
      <c r="E83" s="29">
        <f t="shared" si="119"/>
        <v>0</v>
      </c>
      <c r="F83" s="29">
        <f t="shared" si="119"/>
        <v>0</v>
      </c>
      <c r="G83" s="29">
        <f t="shared" si="119"/>
        <v>0</v>
      </c>
      <c r="H83" s="29">
        <f t="shared" si="119"/>
        <v>0</v>
      </c>
      <c r="I83" s="29">
        <f t="shared" si="117"/>
        <v>0</v>
      </c>
      <c r="J83" s="88">
        <v>0</v>
      </c>
      <c r="K83" s="88">
        <v>0</v>
      </c>
      <c r="L83" s="88">
        <v>0</v>
      </c>
      <c r="M83" s="88">
        <v>0</v>
      </c>
      <c r="N83" s="88">
        <v>0</v>
      </c>
      <c r="O83" s="88">
        <v>0</v>
      </c>
      <c r="P83" s="88">
        <v>0</v>
      </c>
      <c r="Q83" s="88">
        <v>0</v>
      </c>
      <c r="R83" s="88">
        <v>0</v>
      </c>
      <c r="S83" s="88">
        <v>0</v>
      </c>
      <c r="T83" s="30">
        <f t="shared" si="109"/>
        <v>2.5402487999999997E-2</v>
      </c>
      <c r="U83" s="30">
        <v>0</v>
      </c>
      <c r="V83" s="30">
        <v>2.5402487999999997E-2</v>
      </c>
      <c r="W83" s="30">
        <v>0</v>
      </c>
      <c r="X83" s="30">
        <v>0</v>
      </c>
      <c r="Y83" s="30">
        <f t="shared" si="108"/>
        <v>-2.5402488000000001E-2</v>
      </c>
      <c r="Z83" s="30">
        <v>0</v>
      </c>
      <c r="AA83" s="30">
        <v>-2.5402488000000001E-2</v>
      </c>
      <c r="AB83" s="30">
        <v>0</v>
      </c>
      <c r="AC83" s="34">
        <v>0</v>
      </c>
      <c r="AD83" s="36">
        <v>0</v>
      </c>
      <c r="AE83" s="36">
        <f t="shared" si="120"/>
        <v>0</v>
      </c>
      <c r="AF83" s="36">
        <f t="shared" si="120"/>
        <v>0</v>
      </c>
      <c r="AG83" s="36">
        <f t="shared" si="120"/>
        <v>0</v>
      </c>
      <c r="AH83" s="36">
        <f t="shared" si="120"/>
        <v>0</v>
      </c>
      <c r="AI83" s="36">
        <f t="shared" si="118"/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4">
        <f t="shared" ref="AT83:AT84" si="121">AU83+AV83+AW83</f>
        <v>0</v>
      </c>
      <c r="AU83" s="34">
        <v>0</v>
      </c>
      <c r="AV83" s="34">
        <v>0</v>
      </c>
      <c r="AW83" s="34">
        <v>0</v>
      </c>
      <c r="AX83" s="34">
        <v>0</v>
      </c>
      <c r="AY83" s="34">
        <f t="shared" si="113"/>
        <v>0</v>
      </c>
      <c r="AZ83" s="34">
        <v>0</v>
      </c>
      <c r="BA83" s="34">
        <v>0</v>
      </c>
      <c r="BB83" s="34">
        <v>0</v>
      </c>
      <c r="BC83" s="34">
        <v>0</v>
      </c>
    </row>
    <row r="84" spans="1:55" s="55" customFormat="1" ht="53.25" customHeight="1" x14ac:dyDescent="0.25">
      <c r="A84" s="31" t="s">
        <v>50</v>
      </c>
      <c r="B84" s="91" t="s">
        <v>905</v>
      </c>
      <c r="C84" s="90" t="s">
        <v>904</v>
      </c>
      <c r="D84" s="88">
        <v>0</v>
      </c>
      <c r="E84" s="29">
        <f t="shared" si="119"/>
        <v>0</v>
      </c>
      <c r="F84" s="29">
        <f t="shared" si="119"/>
        <v>0</v>
      </c>
      <c r="G84" s="29">
        <f t="shared" si="119"/>
        <v>0</v>
      </c>
      <c r="H84" s="29">
        <f t="shared" si="119"/>
        <v>0</v>
      </c>
      <c r="I84" s="29">
        <f t="shared" si="117"/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0</v>
      </c>
      <c r="P84" s="88">
        <v>0</v>
      </c>
      <c r="Q84" s="88">
        <v>0</v>
      </c>
      <c r="R84" s="88">
        <v>0</v>
      </c>
      <c r="S84" s="88">
        <v>0</v>
      </c>
      <c r="T84" s="30">
        <f t="shared" si="109"/>
        <v>2.3812320000000001E-3</v>
      </c>
      <c r="U84" s="30">
        <v>2.3812320000000001E-3</v>
      </c>
      <c r="V84" s="30">
        <v>0</v>
      </c>
      <c r="W84" s="30">
        <v>0</v>
      </c>
      <c r="X84" s="30">
        <v>0</v>
      </c>
      <c r="Y84" s="30">
        <f t="shared" si="108"/>
        <v>-2.3812319999999996E-3</v>
      </c>
      <c r="Z84" s="30">
        <v>-2.3812319999999996E-3</v>
      </c>
      <c r="AA84" s="30">
        <v>0</v>
      </c>
      <c r="AB84" s="30">
        <v>0</v>
      </c>
      <c r="AC84" s="34">
        <v>0</v>
      </c>
      <c r="AD84" s="36">
        <v>0</v>
      </c>
      <c r="AE84" s="36">
        <f t="shared" si="120"/>
        <v>0</v>
      </c>
      <c r="AF84" s="36">
        <f t="shared" si="120"/>
        <v>0</v>
      </c>
      <c r="AG84" s="36">
        <f t="shared" si="120"/>
        <v>0</v>
      </c>
      <c r="AH84" s="36">
        <f t="shared" si="120"/>
        <v>0</v>
      </c>
      <c r="AI84" s="36">
        <f t="shared" si="118"/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4">
        <v>0</v>
      </c>
      <c r="AP84" s="34">
        <v>0</v>
      </c>
      <c r="AQ84" s="34">
        <v>0</v>
      </c>
      <c r="AR84" s="34">
        <v>0</v>
      </c>
      <c r="AS84" s="34">
        <v>0</v>
      </c>
      <c r="AT84" s="34">
        <f t="shared" si="121"/>
        <v>0</v>
      </c>
      <c r="AU84" s="34">
        <v>0</v>
      </c>
      <c r="AV84" s="34">
        <v>0</v>
      </c>
      <c r="AW84" s="34">
        <v>0</v>
      </c>
      <c r="AX84" s="34">
        <v>0</v>
      </c>
      <c r="AY84" s="34">
        <f t="shared" si="113"/>
        <v>0</v>
      </c>
      <c r="AZ84" s="34">
        <v>0</v>
      </c>
      <c r="BA84" s="34">
        <v>0</v>
      </c>
      <c r="BB84" s="34">
        <v>0</v>
      </c>
      <c r="BC84" s="34">
        <v>0</v>
      </c>
    </row>
    <row r="85" spans="1:55" s="55" customFormat="1" ht="65.25" customHeight="1" x14ac:dyDescent="0.25">
      <c r="A85" s="31" t="s">
        <v>50</v>
      </c>
      <c r="B85" s="91" t="s">
        <v>881</v>
      </c>
      <c r="C85" s="90" t="s">
        <v>882</v>
      </c>
      <c r="D85" s="88">
        <v>0</v>
      </c>
      <c r="E85" s="29">
        <f t="shared" si="119"/>
        <v>3.0561227999999999E-2</v>
      </c>
      <c r="F85" s="29">
        <f t="shared" si="119"/>
        <v>0</v>
      </c>
      <c r="G85" s="29">
        <f t="shared" si="119"/>
        <v>3.0561227999999999E-2</v>
      </c>
      <c r="H85" s="29">
        <f t="shared" si="119"/>
        <v>0</v>
      </c>
      <c r="I85" s="29">
        <f t="shared" si="117"/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0</v>
      </c>
      <c r="S85" s="88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f t="shared" si="108"/>
        <v>3.0561227999999999E-2</v>
      </c>
      <c r="Z85" s="30">
        <v>0</v>
      </c>
      <c r="AA85" s="30">
        <v>3.0561227999999999E-2</v>
      </c>
      <c r="AB85" s="30">
        <v>0</v>
      </c>
      <c r="AC85" s="34">
        <v>0</v>
      </c>
      <c r="AD85" s="36">
        <v>0</v>
      </c>
      <c r="AE85" s="36">
        <f t="shared" si="120"/>
        <v>0</v>
      </c>
      <c r="AF85" s="36">
        <f t="shared" si="120"/>
        <v>0</v>
      </c>
      <c r="AG85" s="36">
        <f t="shared" si="120"/>
        <v>0</v>
      </c>
      <c r="AH85" s="36">
        <f t="shared" si="120"/>
        <v>0</v>
      </c>
      <c r="AI85" s="36">
        <f t="shared" si="118"/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4">
        <v>0</v>
      </c>
      <c r="AP85" s="34">
        <v>0</v>
      </c>
      <c r="AQ85" s="34">
        <v>0</v>
      </c>
      <c r="AR85" s="34">
        <v>0</v>
      </c>
      <c r="AS85" s="34">
        <v>0</v>
      </c>
      <c r="AT85" s="34">
        <v>0</v>
      </c>
      <c r="AU85" s="34">
        <v>0</v>
      </c>
      <c r="AV85" s="34">
        <v>0</v>
      </c>
      <c r="AW85" s="34">
        <v>0</v>
      </c>
      <c r="AX85" s="34">
        <v>0</v>
      </c>
      <c r="AY85" s="34">
        <f t="shared" si="113"/>
        <v>0</v>
      </c>
      <c r="AZ85" s="34">
        <v>0</v>
      </c>
      <c r="BA85" s="34">
        <v>0</v>
      </c>
      <c r="BB85" s="34">
        <v>0</v>
      </c>
      <c r="BC85" s="34">
        <v>0</v>
      </c>
    </row>
    <row r="86" spans="1:55" s="55" customFormat="1" ht="69" customHeight="1" x14ac:dyDescent="0.25">
      <c r="A86" s="31" t="s">
        <v>50</v>
      </c>
      <c r="B86" s="91" t="s">
        <v>883</v>
      </c>
      <c r="C86" s="90" t="s">
        <v>884</v>
      </c>
      <c r="D86" s="88">
        <v>0</v>
      </c>
      <c r="E86" s="29">
        <f t="shared" si="119"/>
        <v>2.7375119999999999E-2</v>
      </c>
      <c r="F86" s="29">
        <f t="shared" si="119"/>
        <v>0</v>
      </c>
      <c r="G86" s="29">
        <f t="shared" si="119"/>
        <v>2.7375119999999999E-2</v>
      </c>
      <c r="H86" s="29">
        <f t="shared" si="119"/>
        <v>0</v>
      </c>
      <c r="I86" s="29">
        <f t="shared" si="117"/>
        <v>0</v>
      </c>
      <c r="J86" s="88">
        <v>0</v>
      </c>
      <c r="K86" s="88">
        <v>0</v>
      </c>
      <c r="L86" s="88">
        <v>0</v>
      </c>
      <c r="M86" s="88">
        <v>0</v>
      </c>
      <c r="N86" s="88">
        <v>0</v>
      </c>
      <c r="O86" s="88">
        <v>0</v>
      </c>
      <c r="P86" s="88">
        <v>0</v>
      </c>
      <c r="Q86" s="88">
        <v>0</v>
      </c>
      <c r="R86" s="88">
        <v>0</v>
      </c>
      <c r="S86" s="88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f t="shared" si="108"/>
        <v>2.7375119999999999E-2</v>
      </c>
      <c r="Z86" s="30">
        <v>0</v>
      </c>
      <c r="AA86" s="30">
        <v>2.7375119999999999E-2</v>
      </c>
      <c r="AB86" s="30">
        <v>0</v>
      </c>
      <c r="AC86" s="34">
        <v>0</v>
      </c>
      <c r="AD86" s="36">
        <v>0</v>
      </c>
      <c r="AE86" s="36">
        <f t="shared" si="120"/>
        <v>0</v>
      </c>
      <c r="AF86" s="36">
        <f t="shared" si="120"/>
        <v>0</v>
      </c>
      <c r="AG86" s="36">
        <f t="shared" si="120"/>
        <v>0</v>
      </c>
      <c r="AH86" s="36">
        <f t="shared" si="120"/>
        <v>0</v>
      </c>
      <c r="AI86" s="36">
        <f t="shared" si="118"/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4">
        <v>0</v>
      </c>
      <c r="AP86" s="34">
        <v>0</v>
      </c>
      <c r="AQ86" s="34">
        <v>0</v>
      </c>
      <c r="AR86" s="34">
        <v>0</v>
      </c>
      <c r="AS86" s="34">
        <v>0</v>
      </c>
      <c r="AT86" s="34">
        <v>0</v>
      </c>
      <c r="AU86" s="34">
        <v>0</v>
      </c>
      <c r="AV86" s="34">
        <v>0</v>
      </c>
      <c r="AW86" s="34">
        <v>0</v>
      </c>
      <c r="AX86" s="34">
        <v>0</v>
      </c>
      <c r="AY86" s="34">
        <f t="shared" si="113"/>
        <v>0</v>
      </c>
      <c r="AZ86" s="34">
        <v>0</v>
      </c>
      <c r="BA86" s="34">
        <v>0</v>
      </c>
      <c r="BB86" s="34">
        <v>0</v>
      </c>
      <c r="BC86" s="34">
        <v>0</v>
      </c>
    </row>
    <row r="87" spans="1:55" s="55" customFormat="1" ht="53.25" customHeight="1" x14ac:dyDescent="0.25">
      <c r="A87" s="31" t="s">
        <v>50</v>
      </c>
      <c r="B87" s="91" t="s">
        <v>885</v>
      </c>
      <c r="C87" s="90" t="s">
        <v>886</v>
      </c>
      <c r="D87" s="88">
        <v>0</v>
      </c>
      <c r="E87" s="29">
        <f t="shared" si="119"/>
        <v>2.18724E-2</v>
      </c>
      <c r="F87" s="29">
        <f t="shared" si="119"/>
        <v>2.18724E-2</v>
      </c>
      <c r="G87" s="29">
        <f t="shared" si="119"/>
        <v>0</v>
      </c>
      <c r="H87" s="29">
        <f t="shared" si="119"/>
        <v>0</v>
      </c>
      <c r="I87" s="29">
        <f t="shared" si="117"/>
        <v>0</v>
      </c>
      <c r="J87" s="88">
        <v>0</v>
      </c>
      <c r="K87" s="88">
        <v>0</v>
      </c>
      <c r="L87" s="88">
        <v>0</v>
      </c>
      <c r="M87" s="88">
        <v>0</v>
      </c>
      <c r="N87" s="88">
        <v>0</v>
      </c>
      <c r="O87" s="88">
        <v>0</v>
      </c>
      <c r="P87" s="88">
        <v>0</v>
      </c>
      <c r="Q87" s="88">
        <v>0</v>
      </c>
      <c r="R87" s="88">
        <v>0</v>
      </c>
      <c r="S87" s="88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f t="shared" si="108"/>
        <v>2.18724E-2</v>
      </c>
      <c r="Z87" s="30">
        <f>21.8724/1000</f>
        <v>2.18724E-2</v>
      </c>
      <c r="AA87" s="30">
        <v>0</v>
      </c>
      <c r="AB87" s="30">
        <v>0</v>
      </c>
      <c r="AC87" s="34">
        <v>0</v>
      </c>
      <c r="AD87" s="36">
        <v>0</v>
      </c>
      <c r="AE87" s="36">
        <f t="shared" si="120"/>
        <v>0</v>
      </c>
      <c r="AF87" s="36">
        <f t="shared" si="120"/>
        <v>0</v>
      </c>
      <c r="AG87" s="36">
        <f t="shared" si="120"/>
        <v>0</v>
      </c>
      <c r="AH87" s="36">
        <f t="shared" si="120"/>
        <v>0</v>
      </c>
      <c r="AI87" s="36">
        <f t="shared" si="118"/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4">
        <v>0</v>
      </c>
      <c r="AP87" s="34">
        <v>0</v>
      </c>
      <c r="AQ87" s="34">
        <v>0</v>
      </c>
      <c r="AR87" s="34">
        <v>0</v>
      </c>
      <c r="AS87" s="34">
        <v>0</v>
      </c>
      <c r="AT87" s="34">
        <v>0</v>
      </c>
      <c r="AU87" s="34">
        <v>0</v>
      </c>
      <c r="AV87" s="34">
        <v>0</v>
      </c>
      <c r="AW87" s="34">
        <v>0</v>
      </c>
      <c r="AX87" s="34">
        <v>0</v>
      </c>
      <c r="AY87" s="34">
        <f t="shared" si="113"/>
        <v>0</v>
      </c>
      <c r="AZ87" s="34">
        <v>0</v>
      </c>
      <c r="BA87" s="34">
        <v>0</v>
      </c>
      <c r="BB87" s="34">
        <v>0</v>
      </c>
      <c r="BC87" s="34">
        <v>0</v>
      </c>
    </row>
    <row r="88" spans="1:55" s="55" customFormat="1" ht="53.25" customHeight="1" x14ac:dyDescent="0.25">
      <c r="A88" s="31" t="s">
        <v>50</v>
      </c>
      <c r="B88" s="91" t="s">
        <v>893</v>
      </c>
      <c r="C88" s="90" t="s">
        <v>894</v>
      </c>
      <c r="D88" s="88">
        <v>0</v>
      </c>
      <c r="E88" s="29">
        <f t="shared" si="119"/>
        <v>2.7375119999999999E-2</v>
      </c>
      <c r="F88" s="29">
        <f t="shared" si="119"/>
        <v>0</v>
      </c>
      <c r="G88" s="29">
        <f t="shared" si="119"/>
        <v>2.7375119999999999E-2</v>
      </c>
      <c r="H88" s="29">
        <f t="shared" si="119"/>
        <v>0</v>
      </c>
      <c r="I88" s="29">
        <f t="shared" si="117"/>
        <v>0</v>
      </c>
      <c r="J88" s="88">
        <v>0</v>
      </c>
      <c r="K88" s="88">
        <v>0</v>
      </c>
      <c r="L88" s="88">
        <v>0</v>
      </c>
      <c r="M88" s="88">
        <v>0</v>
      </c>
      <c r="N88" s="88">
        <v>0</v>
      </c>
      <c r="O88" s="88">
        <v>0</v>
      </c>
      <c r="P88" s="88">
        <v>0</v>
      </c>
      <c r="Q88" s="88">
        <v>0</v>
      </c>
      <c r="R88" s="88">
        <v>0</v>
      </c>
      <c r="S88" s="88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f t="shared" si="108"/>
        <v>2.7375119999999999E-2</v>
      </c>
      <c r="Z88" s="30">
        <v>0</v>
      </c>
      <c r="AA88" s="30">
        <v>2.7375119999999999E-2</v>
      </c>
      <c r="AB88" s="30">
        <v>0</v>
      </c>
      <c r="AC88" s="34">
        <v>0</v>
      </c>
      <c r="AD88" s="36">
        <v>0</v>
      </c>
      <c r="AE88" s="36">
        <f t="shared" si="120"/>
        <v>0</v>
      </c>
      <c r="AF88" s="36">
        <f t="shared" si="120"/>
        <v>0</v>
      </c>
      <c r="AG88" s="36">
        <f t="shared" si="120"/>
        <v>0</v>
      </c>
      <c r="AH88" s="36">
        <f t="shared" si="120"/>
        <v>0</v>
      </c>
      <c r="AI88" s="36">
        <f t="shared" si="118"/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4">
        <v>0</v>
      </c>
      <c r="AP88" s="34">
        <v>0</v>
      </c>
      <c r="AQ88" s="34">
        <v>0</v>
      </c>
      <c r="AR88" s="34">
        <v>0</v>
      </c>
      <c r="AS88" s="34">
        <v>0</v>
      </c>
      <c r="AT88" s="34">
        <v>0</v>
      </c>
      <c r="AU88" s="34">
        <v>0</v>
      </c>
      <c r="AV88" s="34">
        <v>0</v>
      </c>
      <c r="AW88" s="34">
        <v>0</v>
      </c>
      <c r="AX88" s="34">
        <v>0</v>
      </c>
      <c r="AY88" s="34">
        <f t="shared" si="113"/>
        <v>0</v>
      </c>
      <c r="AZ88" s="34">
        <v>0</v>
      </c>
      <c r="BA88" s="34">
        <v>0</v>
      </c>
      <c r="BB88" s="34">
        <v>0</v>
      </c>
      <c r="BC88" s="34">
        <v>0</v>
      </c>
    </row>
    <row r="89" spans="1:55" s="55" customFormat="1" ht="53.25" customHeight="1" x14ac:dyDescent="0.25">
      <c r="A89" s="31" t="s">
        <v>50</v>
      </c>
      <c r="B89" s="91" t="s">
        <v>887</v>
      </c>
      <c r="C89" s="90" t="s">
        <v>888</v>
      </c>
      <c r="D89" s="88">
        <v>0</v>
      </c>
      <c r="E89" s="29">
        <f t="shared" si="119"/>
        <v>3.2535120000000001E-2</v>
      </c>
      <c r="F89" s="29">
        <f t="shared" si="119"/>
        <v>5.1600000000000005E-3</v>
      </c>
      <c r="G89" s="29">
        <f t="shared" si="119"/>
        <v>2.7375119999999999E-2</v>
      </c>
      <c r="H89" s="29">
        <f t="shared" si="119"/>
        <v>0</v>
      </c>
      <c r="I89" s="29">
        <f t="shared" si="117"/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0</v>
      </c>
      <c r="P89" s="88">
        <v>0</v>
      </c>
      <c r="Q89" s="88">
        <v>0</v>
      </c>
      <c r="R89" s="88">
        <v>0</v>
      </c>
      <c r="S89" s="88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f t="shared" si="108"/>
        <v>3.2535120000000001E-2</v>
      </c>
      <c r="Z89" s="30">
        <f>5.16/1000</f>
        <v>5.1600000000000005E-3</v>
      </c>
      <c r="AA89" s="30">
        <v>2.7375119999999999E-2</v>
      </c>
      <c r="AB89" s="30">
        <v>0</v>
      </c>
      <c r="AC89" s="34">
        <v>0</v>
      </c>
      <c r="AD89" s="36">
        <v>0</v>
      </c>
      <c r="AE89" s="36">
        <f t="shared" si="120"/>
        <v>0</v>
      </c>
      <c r="AF89" s="36">
        <f t="shared" si="120"/>
        <v>0</v>
      </c>
      <c r="AG89" s="36">
        <f t="shared" si="120"/>
        <v>0</v>
      </c>
      <c r="AH89" s="36">
        <f t="shared" si="120"/>
        <v>0</v>
      </c>
      <c r="AI89" s="36">
        <f t="shared" si="118"/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4">
        <v>0</v>
      </c>
      <c r="AP89" s="34">
        <v>0</v>
      </c>
      <c r="AQ89" s="34">
        <v>0</v>
      </c>
      <c r="AR89" s="34">
        <v>0</v>
      </c>
      <c r="AS89" s="34">
        <v>0</v>
      </c>
      <c r="AT89" s="34">
        <v>0</v>
      </c>
      <c r="AU89" s="34">
        <v>0</v>
      </c>
      <c r="AV89" s="34">
        <v>0</v>
      </c>
      <c r="AW89" s="34">
        <v>0</v>
      </c>
      <c r="AX89" s="34">
        <v>0</v>
      </c>
      <c r="AY89" s="34">
        <f t="shared" si="113"/>
        <v>0</v>
      </c>
      <c r="AZ89" s="34">
        <v>0</v>
      </c>
      <c r="BA89" s="34">
        <v>0</v>
      </c>
      <c r="BB89" s="34">
        <v>0</v>
      </c>
      <c r="BC89" s="34">
        <v>0</v>
      </c>
    </row>
    <row r="90" spans="1:55" s="55" customFormat="1" ht="53.25" customHeight="1" x14ac:dyDescent="0.25">
      <c r="A90" s="31" t="s">
        <v>50</v>
      </c>
      <c r="B90" s="91" t="s">
        <v>889</v>
      </c>
      <c r="C90" s="90" t="s">
        <v>890</v>
      </c>
      <c r="D90" s="88">
        <v>0</v>
      </c>
      <c r="E90" s="29">
        <f t="shared" si="119"/>
        <v>2.7228000000000002E-2</v>
      </c>
      <c r="F90" s="29">
        <f t="shared" si="119"/>
        <v>2.7228000000000002E-2</v>
      </c>
      <c r="G90" s="29">
        <f t="shared" si="119"/>
        <v>0</v>
      </c>
      <c r="H90" s="29">
        <f t="shared" si="119"/>
        <v>0</v>
      </c>
      <c r="I90" s="29">
        <f t="shared" si="117"/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0</v>
      </c>
      <c r="P90" s="88">
        <v>0</v>
      </c>
      <c r="Q90" s="88">
        <v>0</v>
      </c>
      <c r="R90" s="88">
        <v>0</v>
      </c>
      <c r="S90" s="88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f t="shared" si="108"/>
        <v>2.7228000000000002E-2</v>
      </c>
      <c r="Z90" s="30">
        <f>27.228/1000</f>
        <v>2.7228000000000002E-2</v>
      </c>
      <c r="AA90" s="30">
        <v>0</v>
      </c>
      <c r="AB90" s="30">
        <v>0</v>
      </c>
      <c r="AC90" s="34">
        <v>0</v>
      </c>
      <c r="AD90" s="36">
        <v>0</v>
      </c>
      <c r="AE90" s="36">
        <f t="shared" si="120"/>
        <v>0</v>
      </c>
      <c r="AF90" s="36">
        <f t="shared" si="120"/>
        <v>0</v>
      </c>
      <c r="AG90" s="36">
        <f t="shared" si="120"/>
        <v>0</v>
      </c>
      <c r="AH90" s="36">
        <f t="shared" si="120"/>
        <v>0</v>
      </c>
      <c r="AI90" s="36">
        <f t="shared" si="118"/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4">
        <v>0</v>
      </c>
      <c r="AP90" s="34">
        <v>0</v>
      </c>
      <c r="AQ90" s="34">
        <v>0</v>
      </c>
      <c r="AR90" s="34">
        <v>0</v>
      </c>
      <c r="AS90" s="34">
        <v>0</v>
      </c>
      <c r="AT90" s="34">
        <v>0</v>
      </c>
      <c r="AU90" s="34">
        <v>0</v>
      </c>
      <c r="AV90" s="34">
        <v>0</v>
      </c>
      <c r="AW90" s="34">
        <v>0</v>
      </c>
      <c r="AX90" s="34">
        <v>0</v>
      </c>
      <c r="AY90" s="34">
        <f t="shared" si="113"/>
        <v>0</v>
      </c>
      <c r="AZ90" s="34">
        <v>0</v>
      </c>
      <c r="BA90" s="34">
        <v>0</v>
      </c>
      <c r="BB90" s="34">
        <v>0</v>
      </c>
      <c r="BC90" s="34">
        <v>0</v>
      </c>
    </row>
    <row r="91" spans="1:55" s="55" customFormat="1" ht="53.25" customHeight="1" x14ac:dyDescent="0.25">
      <c r="A91" s="31" t="s">
        <v>50</v>
      </c>
      <c r="B91" s="91" t="s">
        <v>891</v>
      </c>
      <c r="C91" s="90" t="s">
        <v>892</v>
      </c>
      <c r="D91" s="88">
        <v>0</v>
      </c>
      <c r="E91" s="29">
        <f t="shared" si="119"/>
        <v>3.0945264E-2</v>
      </c>
      <c r="F91" s="29">
        <f t="shared" si="119"/>
        <v>3.0945264E-2</v>
      </c>
      <c r="G91" s="29">
        <f t="shared" si="119"/>
        <v>0</v>
      </c>
      <c r="H91" s="29">
        <f t="shared" si="119"/>
        <v>0</v>
      </c>
      <c r="I91" s="29">
        <f t="shared" si="117"/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O91" s="88">
        <v>0</v>
      </c>
      <c r="P91" s="88">
        <v>0</v>
      </c>
      <c r="Q91" s="88">
        <v>0</v>
      </c>
      <c r="R91" s="88">
        <v>0</v>
      </c>
      <c r="S91" s="88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f t="shared" si="108"/>
        <v>3.0945264E-2</v>
      </c>
      <c r="Z91" s="30">
        <f>30.945264/1000</f>
        <v>3.0945264E-2</v>
      </c>
      <c r="AA91" s="30">
        <v>0</v>
      </c>
      <c r="AB91" s="30">
        <v>0</v>
      </c>
      <c r="AC91" s="34">
        <v>0</v>
      </c>
      <c r="AD91" s="36">
        <v>0</v>
      </c>
      <c r="AE91" s="36">
        <f t="shared" si="120"/>
        <v>0</v>
      </c>
      <c r="AF91" s="36">
        <f t="shared" si="120"/>
        <v>0</v>
      </c>
      <c r="AG91" s="36">
        <f t="shared" si="120"/>
        <v>0</v>
      </c>
      <c r="AH91" s="36">
        <f t="shared" si="120"/>
        <v>0</v>
      </c>
      <c r="AI91" s="36">
        <f t="shared" si="118"/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4">
        <v>0</v>
      </c>
      <c r="AP91" s="34">
        <v>0</v>
      </c>
      <c r="AQ91" s="34">
        <v>0</v>
      </c>
      <c r="AR91" s="34">
        <v>0</v>
      </c>
      <c r="AS91" s="34">
        <v>0</v>
      </c>
      <c r="AT91" s="34">
        <v>0</v>
      </c>
      <c r="AU91" s="34">
        <v>0</v>
      </c>
      <c r="AV91" s="34">
        <v>0</v>
      </c>
      <c r="AW91" s="34">
        <v>0</v>
      </c>
      <c r="AX91" s="34">
        <v>0</v>
      </c>
      <c r="AY91" s="34">
        <f t="shared" si="113"/>
        <v>0</v>
      </c>
      <c r="AZ91" s="34">
        <v>0</v>
      </c>
      <c r="BA91" s="34">
        <v>0</v>
      </c>
      <c r="BB91" s="34">
        <v>0</v>
      </c>
      <c r="BC91" s="34">
        <v>0</v>
      </c>
    </row>
    <row r="92" spans="1:55" s="55" customFormat="1" ht="32.25" customHeight="1" x14ac:dyDescent="0.25">
      <c r="A92" s="71" t="s">
        <v>51</v>
      </c>
      <c r="B92" s="78" t="s">
        <v>124</v>
      </c>
      <c r="C92" s="79" t="s">
        <v>101</v>
      </c>
      <c r="D92" s="84">
        <v>0</v>
      </c>
      <c r="E92" s="75">
        <f t="shared" si="119"/>
        <v>0</v>
      </c>
      <c r="F92" s="75">
        <f t="shared" si="119"/>
        <v>0</v>
      </c>
      <c r="G92" s="75">
        <f t="shared" si="119"/>
        <v>0</v>
      </c>
      <c r="H92" s="75">
        <f t="shared" si="119"/>
        <v>0</v>
      </c>
      <c r="I92" s="75">
        <f t="shared" si="117"/>
        <v>0</v>
      </c>
      <c r="J92" s="75">
        <f t="shared" si="29"/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  <c r="P92" s="75">
        <f t="shared" ref="P92:P103" si="122">Q92+R92+S92</f>
        <v>0</v>
      </c>
      <c r="Q92" s="75">
        <v>0</v>
      </c>
      <c r="R92" s="75">
        <v>0</v>
      </c>
      <c r="S92" s="75">
        <v>0</v>
      </c>
      <c r="T92" s="118">
        <f t="shared" ref="T92:T103" si="123">U92+V92+W92+X92</f>
        <v>0</v>
      </c>
      <c r="U92" s="118">
        <v>0</v>
      </c>
      <c r="V92" s="118">
        <v>0</v>
      </c>
      <c r="W92" s="118">
        <v>0</v>
      </c>
      <c r="X92" s="118">
        <v>0</v>
      </c>
      <c r="Y92" s="118">
        <f t="shared" ref="Y92:Y103" si="124">Z92+AA92+AB92+AC92</f>
        <v>0</v>
      </c>
      <c r="Z92" s="118">
        <v>0</v>
      </c>
      <c r="AA92" s="118">
        <v>0</v>
      </c>
      <c r="AB92" s="118">
        <v>0</v>
      </c>
      <c r="AC92" s="53">
        <v>0</v>
      </c>
      <c r="AD92" s="35">
        <f t="shared" ref="AD92:AD103" si="125">D92/1.2</f>
        <v>0</v>
      </c>
      <c r="AE92" s="35">
        <f t="shared" si="120"/>
        <v>0</v>
      </c>
      <c r="AF92" s="35">
        <f t="shared" si="120"/>
        <v>0</v>
      </c>
      <c r="AG92" s="35">
        <f t="shared" si="120"/>
        <v>0</v>
      </c>
      <c r="AH92" s="35">
        <f t="shared" si="120"/>
        <v>0</v>
      </c>
      <c r="AI92" s="35">
        <f t="shared" si="118"/>
        <v>0</v>
      </c>
      <c r="AJ92" s="35">
        <f t="shared" si="111"/>
        <v>0</v>
      </c>
      <c r="AK92" s="35">
        <v>0</v>
      </c>
      <c r="AL92" s="35">
        <v>0</v>
      </c>
      <c r="AM92" s="35">
        <v>0</v>
      </c>
      <c r="AN92" s="35">
        <v>0</v>
      </c>
      <c r="AO92" s="53">
        <v>0</v>
      </c>
      <c r="AP92" s="53">
        <f t="shared" ref="AP92:AP103" si="126">AQ92+AR92+AS92</f>
        <v>0</v>
      </c>
      <c r="AQ92" s="53">
        <v>0</v>
      </c>
      <c r="AR92" s="53">
        <v>0</v>
      </c>
      <c r="AS92" s="53">
        <v>0</v>
      </c>
      <c r="AT92" s="53">
        <f t="shared" si="112"/>
        <v>0</v>
      </c>
      <c r="AU92" s="53">
        <v>0</v>
      </c>
      <c r="AV92" s="53">
        <v>0</v>
      </c>
      <c r="AW92" s="53">
        <v>0</v>
      </c>
      <c r="AX92" s="53">
        <v>0</v>
      </c>
      <c r="AY92" s="53">
        <f t="shared" ref="AY92:AY103" si="127">AZ92+BA92+BB92+BC92</f>
        <v>0</v>
      </c>
      <c r="AZ92" s="53">
        <v>0</v>
      </c>
      <c r="BA92" s="53">
        <v>0</v>
      </c>
      <c r="BB92" s="53">
        <v>0</v>
      </c>
      <c r="BC92" s="53">
        <v>0</v>
      </c>
    </row>
    <row r="93" spans="1:55" s="55" customFormat="1" ht="45.75" customHeight="1" x14ac:dyDescent="0.25">
      <c r="A93" s="71" t="s">
        <v>90</v>
      </c>
      <c r="B93" s="78" t="s">
        <v>125</v>
      </c>
      <c r="C93" s="79" t="s">
        <v>101</v>
      </c>
      <c r="D93" s="84">
        <v>0</v>
      </c>
      <c r="E93" s="75">
        <f t="shared" si="119"/>
        <v>0</v>
      </c>
      <c r="F93" s="75">
        <f t="shared" si="119"/>
        <v>0</v>
      </c>
      <c r="G93" s="75">
        <f t="shared" si="119"/>
        <v>0</v>
      </c>
      <c r="H93" s="75">
        <f t="shared" si="119"/>
        <v>0</v>
      </c>
      <c r="I93" s="75">
        <f t="shared" si="117"/>
        <v>0</v>
      </c>
      <c r="J93" s="75">
        <f t="shared" si="29"/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  <c r="P93" s="75">
        <f t="shared" si="122"/>
        <v>0</v>
      </c>
      <c r="Q93" s="75">
        <v>0</v>
      </c>
      <c r="R93" s="75">
        <v>0</v>
      </c>
      <c r="S93" s="75">
        <v>0</v>
      </c>
      <c r="T93" s="118">
        <f t="shared" si="123"/>
        <v>0</v>
      </c>
      <c r="U93" s="118">
        <v>0</v>
      </c>
      <c r="V93" s="118">
        <v>0</v>
      </c>
      <c r="W93" s="118">
        <v>0</v>
      </c>
      <c r="X93" s="118">
        <v>0</v>
      </c>
      <c r="Y93" s="118">
        <f t="shared" si="124"/>
        <v>0</v>
      </c>
      <c r="Z93" s="118">
        <v>0</v>
      </c>
      <c r="AA93" s="118">
        <v>0</v>
      </c>
      <c r="AB93" s="118">
        <v>0</v>
      </c>
      <c r="AC93" s="53">
        <v>0</v>
      </c>
      <c r="AD93" s="35">
        <f t="shared" si="125"/>
        <v>0</v>
      </c>
      <c r="AE93" s="35">
        <f t="shared" si="120"/>
        <v>0</v>
      </c>
      <c r="AF93" s="35">
        <f t="shared" si="120"/>
        <v>0</v>
      </c>
      <c r="AG93" s="35">
        <f t="shared" si="120"/>
        <v>0</v>
      </c>
      <c r="AH93" s="35">
        <f t="shared" si="120"/>
        <v>0</v>
      </c>
      <c r="AI93" s="35">
        <f t="shared" si="118"/>
        <v>0</v>
      </c>
      <c r="AJ93" s="35">
        <f t="shared" si="111"/>
        <v>0</v>
      </c>
      <c r="AK93" s="35">
        <v>0</v>
      </c>
      <c r="AL93" s="35">
        <v>0</v>
      </c>
      <c r="AM93" s="35">
        <v>0</v>
      </c>
      <c r="AN93" s="35">
        <v>0</v>
      </c>
      <c r="AO93" s="53">
        <v>0</v>
      </c>
      <c r="AP93" s="53">
        <f t="shared" si="126"/>
        <v>0</v>
      </c>
      <c r="AQ93" s="53">
        <v>0</v>
      </c>
      <c r="AR93" s="53">
        <v>0</v>
      </c>
      <c r="AS93" s="53">
        <v>0</v>
      </c>
      <c r="AT93" s="53">
        <f t="shared" si="112"/>
        <v>0</v>
      </c>
      <c r="AU93" s="53">
        <v>0</v>
      </c>
      <c r="AV93" s="53">
        <v>0</v>
      </c>
      <c r="AW93" s="53">
        <v>0</v>
      </c>
      <c r="AX93" s="53">
        <v>0</v>
      </c>
      <c r="AY93" s="53">
        <f t="shared" si="127"/>
        <v>0</v>
      </c>
      <c r="AZ93" s="53">
        <v>0</v>
      </c>
      <c r="BA93" s="53">
        <v>0</v>
      </c>
      <c r="BB93" s="53">
        <v>0</v>
      </c>
      <c r="BC93" s="53">
        <v>0</v>
      </c>
    </row>
    <row r="94" spans="1:55" s="55" customFormat="1" ht="35.25" customHeight="1" x14ac:dyDescent="0.25">
      <c r="A94" s="71" t="s">
        <v>91</v>
      </c>
      <c r="B94" s="78" t="s">
        <v>126</v>
      </c>
      <c r="C94" s="79" t="s">
        <v>101</v>
      </c>
      <c r="D94" s="84">
        <v>0</v>
      </c>
      <c r="E94" s="75">
        <f t="shared" si="119"/>
        <v>0</v>
      </c>
      <c r="F94" s="75">
        <f t="shared" si="119"/>
        <v>0</v>
      </c>
      <c r="G94" s="75">
        <f t="shared" si="119"/>
        <v>0</v>
      </c>
      <c r="H94" s="75">
        <f t="shared" si="119"/>
        <v>0</v>
      </c>
      <c r="I94" s="75">
        <f t="shared" si="117"/>
        <v>0</v>
      </c>
      <c r="J94" s="75">
        <f t="shared" si="29"/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  <c r="P94" s="75">
        <f t="shared" si="122"/>
        <v>0</v>
      </c>
      <c r="Q94" s="75">
        <v>0</v>
      </c>
      <c r="R94" s="75">
        <v>0</v>
      </c>
      <c r="S94" s="75">
        <v>0</v>
      </c>
      <c r="T94" s="118">
        <f t="shared" si="123"/>
        <v>0</v>
      </c>
      <c r="U94" s="118">
        <v>0</v>
      </c>
      <c r="V94" s="118">
        <v>0</v>
      </c>
      <c r="W94" s="118">
        <v>0</v>
      </c>
      <c r="X94" s="118">
        <v>0</v>
      </c>
      <c r="Y94" s="118">
        <f t="shared" si="124"/>
        <v>0</v>
      </c>
      <c r="Z94" s="118">
        <v>0</v>
      </c>
      <c r="AA94" s="118">
        <v>0</v>
      </c>
      <c r="AB94" s="118">
        <v>0</v>
      </c>
      <c r="AC94" s="53">
        <v>0</v>
      </c>
      <c r="AD94" s="35">
        <f t="shared" si="125"/>
        <v>0</v>
      </c>
      <c r="AE94" s="35">
        <f t="shared" si="120"/>
        <v>0</v>
      </c>
      <c r="AF94" s="35">
        <f t="shared" si="120"/>
        <v>0</v>
      </c>
      <c r="AG94" s="35">
        <f t="shared" si="120"/>
        <v>0</v>
      </c>
      <c r="AH94" s="35">
        <f t="shared" si="120"/>
        <v>0</v>
      </c>
      <c r="AI94" s="35">
        <f t="shared" si="118"/>
        <v>0</v>
      </c>
      <c r="AJ94" s="35">
        <f t="shared" si="111"/>
        <v>0</v>
      </c>
      <c r="AK94" s="35">
        <v>0</v>
      </c>
      <c r="AL94" s="35">
        <v>0</v>
      </c>
      <c r="AM94" s="35">
        <v>0</v>
      </c>
      <c r="AN94" s="35">
        <v>0</v>
      </c>
      <c r="AO94" s="53">
        <v>0</v>
      </c>
      <c r="AP94" s="53">
        <f t="shared" si="126"/>
        <v>0</v>
      </c>
      <c r="AQ94" s="53">
        <v>0</v>
      </c>
      <c r="AR94" s="53">
        <v>0</v>
      </c>
      <c r="AS94" s="53">
        <v>0</v>
      </c>
      <c r="AT94" s="53">
        <f t="shared" si="112"/>
        <v>0</v>
      </c>
      <c r="AU94" s="53">
        <v>0</v>
      </c>
      <c r="AV94" s="53">
        <v>0</v>
      </c>
      <c r="AW94" s="53">
        <v>0</v>
      </c>
      <c r="AX94" s="53">
        <v>0</v>
      </c>
      <c r="AY94" s="53">
        <f t="shared" si="127"/>
        <v>0</v>
      </c>
      <c r="AZ94" s="53">
        <v>0</v>
      </c>
      <c r="BA94" s="53">
        <v>0</v>
      </c>
      <c r="BB94" s="53">
        <v>0</v>
      </c>
      <c r="BC94" s="53">
        <v>0</v>
      </c>
    </row>
    <row r="95" spans="1:55" s="55" customFormat="1" ht="35.25" customHeight="1" x14ac:dyDescent="0.25">
      <c r="A95" s="71" t="s">
        <v>52</v>
      </c>
      <c r="B95" s="78" t="s">
        <v>127</v>
      </c>
      <c r="C95" s="79" t="s">
        <v>101</v>
      </c>
      <c r="D95" s="84">
        <v>0</v>
      </c>
      <c r="E95" s="75">
        <f t="shared" si="119"/>
        <v>0</v>
      </c>
      <c r="F95" s="75">
        <f t="shared" si="119"/>
        <v>0</v>
      </c>
      <c r="G95" s="75">
        <f t="shared" si="119"/>
        <v>0</v>
      </c>
      <c r="H95" s="75">
        <f t="shared" si="119"/>
        <v>0</v>
      </c>
      <c r="I95" s="75">
        <f t="shared" si="117"/>
        <v>0</v>
      </c>
      <c r="J95" s="75">
        <f t="shared" si="29"/>
        <v>0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  <c r="P95" s="75">
        <f t="shared" si="122"/>
        <v>0</v>
      </c>
      <c r="Q95" s="75">
        <v>0</v>
      </c>
      <c r="R95" s="75">
        <v>0</v>
      </c>
      <c r="S95" s="75">
        <v>0</v>
      </c>
      <c r="T95" s="118">
        <f t="shared" si="123"/>
        <v>0</v>
      </c>
      <c r="U95" s="118">
        <v>0</v>
      </c>
      <c r="V95" s="118">
        <v>0</v>
      </c>
      <c r="W95" s="118">
        <v>0</v>
      </c>
      <c r="X95" s="118">
        <v>0</v>
      </c>
      <c r="Y95" s="118">
        <f t="shared" si="124"/>
        <v>0</v>
      </c>
      <c r="Z95" s="118">
        <v>0</v>
      </c>
      <c r="AA95" s="118">
        <v>0</v>
      </c>
      <c r="AB95" s="118">
        <v>0</v>
      </c>
      <c r="AC95" s="53">
        <v>0</v>
      </c>
      <c r="AD95" s="35">
        <f t="shared" si="125"/>
        <v>0</v>
      </c>
      <c r="AE95" s="35">
        <f t="shared" si="120"/>
        <v>0</v>
      </c>
      <c r="AF95" s="35">
        <f t="shared" si="120"/>
        <v>0</v>
      </c>
      <c r="AG95" s="35">
        <f t="shared" si="120"/>
        <v>0</v>
      </c>
      <c r="AH95" s="35">
        <f t="shared" si="120"/>
        <v>0</v>
      </c>
      <c r="AI95" s="35">
        <f t="shared" si="118"/>
        <v>0</v>
      </c>
      <c r="AJ95" s="35">
        <f t="shared" si="111"/>
        <v>0</v>
      </c>
      <c r="AK95" s="35">
        <v>0</v>
      </c>
      <c r="AL95" s="35">
        <v>0</v>
      </c>
      <c r="AM95" s="35">
        <v>0</v>
      </c>
      <c r="AN95" s="35">
        <v>0</v>
      </c>
      <c r="AO95" s="53">
        <v>0</v>
      </c>
      <c r="AP95" s="53">
        <f t="shared" si="126"/>
        <v>0</v>
      </c>
      <c r="AQ95" s="53">
        <v>0</v>
      </c>
      <c r="AR95" s="53">
        <v>0</v>
      </c>
      <c r="AS95" s="53">
        <v>0</v>
      </c>
      <c r="AT95" s="53">
        <f t="shared" si="112"/>
        <v>0</v>
      </c>
      <c r="AU95" s="53">
        <v>0</v>
      </c>
      <c r="AV95" s="53">
        <v>0</v>
      </c>
      <c r="AW95" s="53">
        <v>0</v>
      </c>
      <c r="AX95" s="53">
        <v>0</v>
      </c>
      <c r="AY95" s="53">
        <f t="shared" si="127"/>
        <v>0</v>
      </c>
      <c r="AZ95" s="53">
        <v>0</v>
      </c>
      <c r="BA95" s="53">
        <v>0</v>
      </c>
      <c r="BB95" s="53">
        <v>0</v>
      </c>
      <c r="BC95" s="53">
        <v>0</v>
      </c>
    </row>
    <row r="96" spans="1:55" s="55" customFormat="1" ht="35.25" customHeight="1" x14ac:dyDescent="0.25">
      <c r="A96" s="71" t="s">
        <v>128</v>
      </c>
      <c r="B96" s="78" t="s">
        <v>129</v>
      </c>
      <c r="C96" s="79" t="s">
        <v>101</v>
      </c>
      <c r="D96" s="84">
        <v>0</v>
      </c>
      <c r="E96" s="75">
        <f t="shared" si="119"/>
        <v>0</v>
      </c>
      <c r="F96" s="75">
        <f t="shared" si="119"/>
        <v>0</v>
      </c>
      <c r="G96" s="75">
        <f t="shared" si="119"/>
        <v>0</v>
      </c>
      <c r="H96" s="75">
        <f t="shared" si="119"/>
        <v>0</v>
      </c>
      <c r="I96" s="75">
        <f t="shared" si="117"/>
        <v>0</v>
      </c>
      <c r="J96" s="75">
        <f t="shared" si="29"/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  <c r="P96" s="75">
        <f t="shared" si="122"/>
        <v>0</v>
      </c>
      <c r="Q96" s="75">
        <v>0</v>
      </c>
      <c r="R96" s="75">
        <v>0</v>
      </c>
      <c r="S96" s="75">
        <v>0</v>
      </c>
      <c r="T96" s="118">
        <f t="shared" si="123"/>
        <v>0</v>
      </c>
      <c r="U96" s="118">
        <v>0</v>
      </c>
      <c r="V96" s="118">
        <v>0</v>
      </c>
      <c r="W96" s="118">
        <v>0</v>
      </c>
      <c r="X96" s="118">
        <v>0</v>
      </c>
      <c r="Y96" s="118">
        <f t="shared" si="124"/>
        <v>0</v>
      </c>
      <c r="Z96" s="118">
        <v>0</v>
      </c>
      <c r="AA96" s="118">
        <v>0</v>
      </c>
      <c r="AB96" s="118">
        <v>0</v>
      </c>
      <c r="AC96" s="53">
        <v>0</v>
      </c>
      <c r="AD96" s="35">
        <f t="shared" si="125"/>
        <v>0</v>
      </c>
      <c r="AE96" s="35">
        <f t="shared" si="120"/>
        <v>0</v>
      </c>
      <c r="AF96" s="35">
        <f t="shared" si="120"/>
        <v>0</v>
      </c>
      <c r="AG96" s="35">
        <f t="shared" si="120"/>
        <v>0</v>
      </c>
      <c r="AH96" s="35">
        <f t="shared" si="120"/>
        <v>0</v>
      </c>
      <c r="AI96" s="35">
        <f t="shared" si="118"/>
        <v>0</v>
      </c>
      <c r="AJ96" s="35">
        <f t="shared" si="111"/>
        <v>0</v>
      </c>
      <c r="AK96" s="35">
        <v>0</v>
      </c>
      <c r="AL96" s="35">
        <v>0</v>
      </c>
      <c r="AM96" s="35">
        <v>0</v>
      </c>
      <c r="AN96" s="35">
        <v>0</v>
      </c>
      <c r="AO96" s="53">
        <v>0</v>
      </c>
      <c r="AP96" s="53">
        <f t="shared" si="126"/>
        <v>0</v>
      </c>
      <c r="AQ96" s="53">
        <v>0</v>
      </c>
      <c r="AR96" s="53">
        <v>0</v>
      </c>
      <c r="AS96" s="53">
        <v>0</v>
      </c>
      <c r="AT96" s="53">
        <f t="shared" si="112"/>
        <v>0</v>
      </c>
      <c r="AU96" s="53">
        <v>0</v>
      </c>
      <c r="AV96" s="53">
        <v>0</v>
      </c>
      <c r="AW96" s="53">
        <v>0</v>
      </c>
      <c r="AX96" s="53">
        <v>0</v>
      </c>
      <c r="AY96" s="53">
        <f t="shared" si="127"/>
        <v>0</v>
      </c>
      <c r="AZ96" s="53">
        <v>0</v>
      </c>
      <c r="BA96" s="53">
        <v>0</v>
      </c>
      <c r="BB96" s="53">
        <v>0</v>
      </c>
      <c r="BC96" s="53">
        <v>0</v>
      </c>
    </row>
    <row r="97" spans="1:55" s="55" customFormat="1" ht="35.25" customHeight="1" x14ac:dyDescent="0.25">
      <c r="A97" s="71" t="s">
        <v>128</v>
      </c>
      <c r="B97" s="78" t="s">
        <v>130</v>
      </c>
      <c r="C97" s="79" t="s">
        <v>101</v>
      </c>
      <c r="D97" s="84">
        <v>0</v>
      </c>
      <c r="E97" s="75">
        <f t="shared" si="119"/>
        <v>0</v>
      </c>
      <c r="F97" s="75">
        <f t="shared" si="119"/>
        <v>0</v>
      </c>
      <c r="G97" s="75">
        <f t="shared" si="119"/>
        <v>0</v>
      </c>
      <c r="H97" s="75">
        <f t="shared" si="119"/>
        <v>0</v>
      </c>
      <c r="I97" s="75">
        <f t="shared" si="117"/>
        <v>0</v>
      </c>
      <c r="J97" s="75">
        <f t="shared" si="29"/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  <c r="P97" s="75">
        <f t="shared" si="122"/>
        <v>0</v>
      </c>
      <c r="Q97" s="75">
        <v>0</v>
      </c>
      <c r="R97" s="75">
        <v>0</v>
      </c>
      <c r="S97" s="75">
        <v>0</v>
      </c>
      <c r="T97" s="118">
        <f t="shared" si="123"/>
        <v>0</v>
      </c>
      <c r="U97" s="118">
        <v>0</v>
      </c>
      <c r="V97" s="118">
        <v>0</v>
      </c>
      <c r="W97" s="118">
        <v>0</v>
      </c>
      <c r="X97" s="118">
        <v>0</v>
      </c>
      <c r="Y97" s="118">
        <f t="shared" si="124"/>
        <v>0</v>
      </c>
      <c r="Z97" s="118">
        <v>0</v>
      </c>
      <c r="AA97" s="118">
        <v>0</v>
      </c>
      <c r="AB97" s="118">
        <v>0</v>
      </c>
      <c r="AC97" s="53">
        <v>0</v>
      </c>
      <c r="AD97" s="35">
        <f t="shared" si="125"/>
        <v>0</v>
      </c>
      <c r="AE97" s="35">
        <f t="shared" si="120"/>
        <v>0</v>
      </c>
      <c r="AF97" s="35">
        <f t="shared" si="120"/>
        <v>0</v>
      </c>
      <c r="AG97" s="35">
        <f t="shared" si="120"/>
        <v>0</v>
      </c>
      <c r="AH97" s="35">
        <f t="shared" si="120"/>
        <v>0</v>
      </c>
      <c r="AI97" s="35">
        <f t="shared" si="118"/>
        <v>0</v>
      </c>
      <c r="AJ97" s="35">
        <f t="shared" si="111"/>
        <v>0</v>
      </c>
      <c r="AK97" s="35">
        <v>0</v>
      </c>
      <c r="AL97" s="35">
        <v>0</v>
      </c>
      <c r="AM97" s="35">
        <v>0</v>
      </c>
      <c r="AN97" s="35">
        <v>0</v>
      </c>
      <c r="AO97" s="53">
        <v>0</v>
      </c>
      <c r="AP97" s="53">
        <f t="shared" si="126"/>
        <v>0</v>
      </c>
      <c r="AQ97" s="53">
        <v>0</v>
      </c>
      <c r="AR97" s="53">
        <v>0</v>
      </c>
      <c r="AS97" s="53">
        <v>0</v>
      </c>
      <c r="AT97" s="53">
        <f t="shared" si="112"/>
        <v>0</v>
      </c>
      <c r="AU97" s="53">
        <v>0</v>
      </c>
      <c r="AV97" s="53">
        <v>0</v>
      </c>
      <c r="AW97" s="53">
        <v>0</v>
      </c>
      <c r="AX97" s="53">
        <v>0</v>
      </c>
      <c r="AY97" s="53">
        <f t="shared" si="127"/>
        <v>0</v>
      </c>
      <c r="AZ97" s="53">
        <v>0</v>
      </c>
      <c r="BA97" s="53">
        <v>0</v>
      </c>
      <c r="BB97" s="53">
        <v>0</v>
      </c>
      <c r="BC97" s="53">
        <v>0</v>
      </c>
    </row>
    <row r="98" spans="1:55" s="55" customFormat="1" ht="35.25" customHeight="1" x14ac:dyDescent="0.25">
      <c r="A98" s="71" t="s">
        <v>128</v>
      </c>
      <c r="B98" s="78" t="s">
        <v>131</v>
      </c>
      <c r="C98" s="79" t="s">
        <v>101</v>
      </c>
      <c r="D98" s="84">
        <v>0</v>
      </c>
      <c r="E98" s="75">
        <f t="shared" si="119"/>
        <v>0</v>
      </c>
      <c r="F98" s="75">
        <f t="shared" si="119"/>
        <v>0</v>
      </c>
      <c r="G98" s="75">
        <f t="shared" si="119"/>
        <v>0</v>
      </c>
      <c r="H98" s="75">
        <f t="shared" si="119"/>
        <v>0</v>
      </c>
      <c r="I98" s="75">
        <f t="shared" si="117"/>
        <v>0</v>
      </c>
      <c r="J98" s="75">
        <f t="shared" si="29"/>
        <v>0</v>
      </c>
      <c r="K98" s="75">
        <v>0</v>
      </c>
      <c r="L98" s="75">
        <v>0</v>
      </c>
      <c r="M98" s="75">
        <v>0</v>
      </c>
      <c r="N98" s="75">
        <v>0</v>
      </c>
      <c r="O98" s="75">
        <v>0</v>
      </c>
      <c r="P98" s="75">
        <f t="shared" si="122"/>
        <v>0</v>
      </c>
      <c r="Q98" s="75">
        <v>0</v>
      </c>
      <c r="R98" s="75">
        <v>0</v>
      </c>
      <c r="S98" s="75">
        <v>0</v>
      </c>
      <c r="T98" s="118">
        <f t="shared" si="123"/>
        <v>0</v>
      </c>
      <c r="U98" s="118">
        <v>0</v>
      </c>
      <c r="V98" s="118">
        <v>0</v>
      </c>
      <c r="W98" s="118">
        <v>0</v>
      </c>
      <c r="X98" s="118">
        <v>0</v>
      </c>
      <c r="Y98" s="118">
        <f t="shared" si="124"/>
        <v>0</v>
      </c>
      <c r="Z98" s="118">
        <v>0</v>
      </c>
      <c r="AA98" s="118">
        <v>0</v>
      </c>
      <c r="AB98" s="118">
        <v>0</v>
      </c>
      <c r="AC98" s="53">
        <v>0</v>
      </c>
      <c r="AD98" s="35">
        <f t="shared" si="125"/>
        <v>0</v>
      </c>
      <c r="AE98" s="35">
        <f t="shared" si="120"/>
        <v>0</v>
      </c>
      <c r="AF98" s="35">
        <f t="shared" si="120"/>
        <v>0</v>
      </c>
      <c r="AG98" s="35">
        <f t="shared" si="120"/>
        <v>0</v>
      </c>
      <c r="AH98" s="35">
        <f t="shared" si="120"/>
        <v>0</v>
      </c>
      <c r="AI98" s="35">
        <f t="shared" si="118"/>
        <v>0</v>
      </c>
      <c r="AJ98" s="35">
        <f t="shared" si="111"/>
        <v>0</v>
      </c>
      <c r="AK98" s="35">
        <v>0</v>
      </c>
      <c r="AL98" s="35">
        <v>0</v>
      </c>
      <c r="AM98" s="35">
        <v>0</v>
      </c>
      <c r="AN98" s="35">
        <v>0</v>
      </c>
      <c r="AO98" s="53">
        <v>0</v>
      </c>
      <c r="AP98" s="53">
        <f t="shared" si="126"/>
        <v>0</v>
      </c>
      <c r="AQ98" s="53">
        <v>0</v>
      </c>
      <c r="AR98" s="53">
        <v>0</v>
      </c>
      <c r="AS98" s="53">
        <v>0</v>
      </c>
      <c r="AT98" s="53">
        <f t="shared" si="112"/>
        <v>0</v>
      </c>
      <c r="AU98" s="53">
        <v>0</v>
      </c>
      <c r="AV98" s="53">
        <v>0</v>
      </c>
      <c r="AW98" s="53">
        <v>0</v>
      </c>
      <c r="AX98" s="53">
        <v>0</v>
      </c>
      <c r="AY98" s="53">
        <f t="shared" si="127"/>
        <v>0</v>
      </c>
      <c r="AZ98" s="53">
        <v>0</v>
      </c>
      <c r="BA98" s="53">
        <v>0</v>
      </c>
      <c r="BB98" s="53">
        <v>0</v>
      </c>
      <c r="BC98" s="53">
        <v>0</v>
      </c>
    </row>
    <row r="99" spans="1:55" s="55" customFormat="1" ht="35.25" customHeight="1" x14ac:dyDescent="0.25">
      <c r="A99" s="71" t="s">
        <v>128</v>
      </c>
      <c r="B99" s="78" t="s">
        <v>132</v>
      </c>
      <c r="C99" s="79" t="s">
        <v>101</v>
      </c>
      <c r="D99" s="84">
        <v>0</v>
      </c>
      <c r="E99" s="75">
        <f t="shared" si="119"/>
        <v>0</v>
      </c>
      <c r="F99" s="75">
        <f t="shared" si="119"/>
        <v>0</v>
      </c>
      <c r="G99" s="75">
        <f t="shared" si="119"/>
        <v>0</v>
      </c>
      <c r="H99" s="75">
        <f t="shared" si="119"/>
        <v>0</v>
      </c>
      <c r="I99" s="75">
        <f t="shared" si="117"/>
        <v>0</v>
      </c>
      <c r="J99" s="75">
        <f t="shared" si="29"/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  <c r="P99" s="75">
        <f t="shared" si="122"/>
        <v>0</v>
      </c>
      <c r="Q99" s="75">
        <v>0</v>
      </c>
      <c r="R99" s="75">
        <v>0</v>
      </c>
      <c r="S99" s="75">
        <v>0</v>
      </c>
      <c r="T99" s="118">
        <f t="shared" si="123"/>
        <v>0</v>
      </c>
      <c r="U99" s="118">
        <v>0</v>
      </c>
      <c r="V99" s="118">
        <v>0</v>
      </c>
      <c r="W99" s="118">
        <v>0</v>
      </c>
      <c r="X99" s="118">
        <v>0</v>
      </c>
      <c r="Y99" s="118">
        <f t="shared" si="124"/>
        <v>0</v>
      </c>
      <c r="Z99" s="118">
        <v>0</v>
      </c>
      <c r="AA99" s="118">
        <v>0</v>
      </c>
      <c r="AB99" s="118">
        <v>0</v>
      </c>
      <c r="AC99" s="53">
        <v>0</v>
      </c>
      <c r="AD99" s="35">
        <f t="shared" si="125"/>
        <v>0</v>
      </c>
      <c r="AE99" s="35">
        <f t="shared" si="120"/>
        <v>0</v>
      </c>
      <c r="AF99" s="35">
        <f t="shared" si="120"/>
        <v>0</v>
      </c>
      <c r="AG99" s="35">
        <f t="shared" si="120"/>
        <v>0</v>
      </c>
      <c r="AH99" s="35">
        <f t="shared" si="120"/>
        <v>0</v>
      </c>
      <c r="AI99" s="35">
        <f t="shared" si="118"/>
        <v>0</v>
      </c>
      <c r="AJ99" s="35">
        <f t="shared" si="111"/>
        <v>0</v>
      </c>
      <c r="AK99" s="35">
        <v>0</v>
      </c>
      <c r="AL99" s="35">
        <v>0</v>
      </c>
      <c r="AM99" s="35">
        <v>0</v>
      </c>
      <c r="AN99" s="35">
        <v>0</v>
      </c>
      <c r="AO99" s="53">
        <v>0</v>
      </c>
      <c r="AP99" s="53">
        <f t="shared" si="126"/>
        <v>0</v>
      </c>
      <c r="AQ99" s="53">
        <v>0</v>
      </c>
      <c r="AR99" s="53">
        <v>0</v>
      </c>
      <c r="AS99" s="53">
        <v>0</v>
      </c>
      <c r="AT99" s="53">
        <f t="shared" si="112"/>
        <v>0</v>
      </c>
      <c r="AU99" s="53">
        <v>0</v>
      </c>
      <c r="AV99" s="53">
        <v>0</v>
      </c>
      <c r="AW99" s="53">
        <v>0</v>
      </c>
      <c r="AX99" s="53">
        <v>0</v>
      </c>
      <c r="AY99" s="53">
        <f t="shared" si="127"/>
        <v>0</v>
      </c>
      <c r="AZ99" s="53">
        <v>0</v>
      </c>
      <c r="BA99" s="53">
        <v>0</v>
      </c>
      <c r="BB99" s="53">
        <v>0</v>
      </c>
      <c r="BC99" s="53">
        <v>0</v>
      </c>
    </row>
    <row r="100" spans="1:55" s="55" customFormat="1" ht="35.25" customHeight="1" x14ac:dyDescent="0.25">
      <c r="A100" s="71" t="s">
        <v>133</v>
      </c>
      <c r="B100" s="78" t="s">
        <v>129</v>
      </c>
      <c r="C100" s="79" t="s">
        <v>101</v>
      </c>
      <c r="D100" s="84">
        <v>0</v>
      </c>
      <c r="E100" s="75">
        <f t="shared" si="119"/>
        <v>0</v>
      </c>
      <c r="F100" s="75">
        <f t="shared" si="119"/>
        <v>0</v>
      </c>
      <c r="G100" s="75">
        <f t="shared" si="119"/>
        <v>0</v>
      </c>
      <c r="H100" s="75">
        <f t="shared" si="119"/>
        <v>0</v>
      </c>
      <c r="I100" s="75">
        <f t="shared" si="117"/>
        <v>0</v>
      </c>
      <c r="J100" s="75">
        <f t="shared" si="29"/>
        <v>0</v>
      </c>
      <c r="K100" s="75">
        <v>0</v>
      </c>
      <c r="L100" s="75">
        <v>0</v>
      </c>
      <c r="M100" s="75">
        <v>0</v>
      </c>
      <c r="N100" s="75">
        <v>0</v>
      </c>
      <c r="O100" s="75">
        <v>0</v>
      </c>
      <c r="P100" s="75">
        <f t="shared" si="122"/>
        <v>0</v>
      </c>
      <c r="Q100" s="75">
        <v>0</v>
      </c>
      <c r="R100" s="75">
        <v>0</v>
      </c>
      <c r="S100" s="75">
        <v>0</v>
      </c>
      <c r="T100" s="118">
        <f t="shared" si="123"/>
        <v>0</v>
      </c>
      <c r="U100" s="118">
        <v>0</v>
      </c>
      <c r="V100" s="118">
        <v>0</v>
      </c>
      <c r="W100" s="118">
        <v>0</v>
      </c>
      <c r="X100" s="118">
        <v>0</v>
      </c>
      <c r="Y100" s="118">
        <f t="shared" si="124"/>
        <v>0</v>
      </c>
      <c r="Z100" s="118">
        <v>0</v>
      </c>
      <c r="AA100" s="118">
        <v>0</v>
      </c>
      <c r="AB100" s="118">
        <v>0</v>
      </c>
      <c r="AC100" s="53">
        <v>0</v>
      </c>
      <c r="AD100" s="35">
        <f t="shared" si="125"/>
        <v>0</v>
      </c>
      <c r="AE100" s="35">
        <f t="shared" si="120"/>
        <v>0</v>
      </c>
      <c r="AF100" s="35">
        <f t="shared" si="120"/>
        <v>0</v>
      </c>
      <c r="AG100" s="35">
        <f t="shared" si="120"/>
        <v>0</v>
      </c>
      <c r="AH100" s="35">
        <f t="shared" si="120"/>
        <v>0</v>
      </c>
      <c r="AI100" s="35">
        <f t="shared" si="118"/>
        <v>0</v>
      </c>
      <c r="AJ100" s="35">
        <f t="shared" si="111"/>
        <v>0</v>
      </c>
      <c r="AK100" s="35">
        <v>0</v>
      </c>
      <c r="AL100" s="35">
        <v>0</v>
      </c>
      <c r="AM100" s="35">
        <v>0</v>
      </c>
      <c r="AN100" s="35">
        <v>0</v>
      </c>
      <c r="AO100" s="53">
        <v>0</v>
      </c>
      <c r="AP100" s="53">
        <f t="shared" si="126"/>
        <v>0</v>
      </c>
      <c r="AQ100" s="53">
        <v>0</v>
      </c>
      <c r="AR100" s="53">
        <v>0</v>
      </c>
      <c r="AS100" s="53">
        <v>0</v>
      </c>
      <c r="AT100" s="53">
        <f t="shared" si="112"/>
        <v>0</v>
      </c>
      <c r="AU100" s="53">
        <v>0</v>
      </c>
      <c r="AV100" s="53">
        <v>0</v>
      </c>
      <c r="AW100" s="53">
        <v>0</v>
      </c>
      <c r="AX100" s="53">
        <v>0</v>
      </c>
      <c r="AY100" s="53">
        <f t="shared" si="127"/>
        <v>0</v>
      </c>
      <c r="AZ100" s="53">
        <v>0</v>
      </c>
      <c r="BA100" s="53">
        <v>0</v>
      </c>
      <c r="BB100" s="53">
        <v>0</v>
      </c>
      <c r="BC100" s="53">
        <v>0</v>
      </c>
    </row>
    <row r="101" spans="1:55" s="55" customFormat="1" ht="64.5" customHeight="1" x14ac:dyDescent="0.25">
      <c r="A101" s="71" t="s">
        <v>133</v>
      </c>
      <c r="B101" s="78" t="s">
        <v>130</v>
      </c>
      <c r="C101" s="79" t="s">
        <v>101</v>
      </c>
      <c r="D101" s="84">
        <v>0</v>
      </c>
      <c r="E101" s="75">
        <f t="shared" si="119"/>
        <v>0</v>
      </c>
      <c r="F101" s="75">
        <f t="shared" si="119"/>
        <v>0</v>
      </c>
      <c r="G101" s="75">
        <f t="shared" si="119"/>
        <v>0</v>
      </c>
      <c r="H101" s="75">
        <f t="shared" si="119"/>
        <v>0</v>
      </c>
      <c r="I101" s="75">
        <f t="shared" si="117"/>
        <v>0</v>
      </c>
      <c r="J101" s="75">
        <f t="shared" si="29"/>
        <v>0</v>
      </c>
      <c r="K101" s="75">
        <v>0</v>
      </c>
      <c r="L101" s="75">
        <v>0</v>
      </c>
      <c r="M101" s="75">
        <v>0</v>
      </c>
      <c r="N101" s="75">
        <v>0</v>
      </c>
      <c r="O101" s="75">
        <v>0</v>
      </c>
      <c r="P101" s="75">
        <f t="shared" si="122"/>
        <v>0</v>
      </c>
      <c r="Q101" s="75">
        <v>0</v>
      </c>
      <c r="R101" s="75">
        <v>0</v>
      </c>
      <c r="S101" s="75">
        <v>0</v>
      </c>
      <c r="T101" s="118">
        <f t="shared" si="123"/>
        <v>0</v>
      </c>
      <c r="U101" s="118">
        <v>0</v>
      </c>
      <c r="V101" s="118">
        <v>0</v>
      </c>
      <c r="W101" s="118">
        <v>0</v>
      </c>
      <c r="X101" s="118">
        <v>0</v>
      </c>
      <c r="Y101" s="118">
        <f t="shared" si="124"/>
        <v>0</v>
      </c>
      <c r="Z101" s="118">
        <v>0</v>
      </c>
      <c r="AA101" s="118">
        <v>0</v>
      </c>
      <c r="AB101" s="118">
        <v>0</v>
      </c>
      <c r="AC101" s="53">
        <v>0</v>
      </c>
      <c r="AD101" s="35">
        <f t="shared" si="125"/>
        <v>0</v>
      </c>
      <c r="AE101" s="35">
        <f t="shared" si="120"/>
        <v>0</v>
      </c>
      <c r="AF101" s="35">
        <f t="shared" si="120"/>
        <v>0</v>
      </c>
      <c r="AG101" s="35">
        <f t="shared" si="120"/>
        <v>0</v>
      </c>
      <c r="AH101" s="35">
        <f t="shared" si="120"/>
        <v>0</v>
      </c>
      <c r="AI101" s="35">
        <f t="shared" si="118"/>
        <v>0</v>
      </c>
      <c r="AJ101" s="35">
        <f t="shared" si="111"/>
        <v>0</v>
      </c>
      <c r="AK101" s="35">
        <v>0</v>
      </c>
      <c r="AL101" s="35">
        <v>0</v>
      </c>
      <c r="AM101" s="35">
        <v>0</v>
      </c>
      <c r="AN101" s="35">
        <v>0</v>
      </c>
      <c r="AO101" s="53">
        <v>0</v>
      </c>
      <c r="AP101" s="53">
        <f t="shared" si="126"/>
        <v>0</v>
      </c>
      <c r="AQ101" s="53">
        <v>0</v>
      </c>
      <c r="AR101" s="53">
        <v>0</v>
      </c>
      <c r="AS101" s="53">
        <v>0</v>
      </c>
      <c r="AT101" s="53">
        <f t="shared" si="112"/>
        <v>0</v>
      </c>
      <c r="AU101" s="53">
        <v>0</v>
      </c>
      <c r="AV101" s="53">
        <v>0</v>
      </c>
      <c r="AW101" s="53">
        <v>0</v>
      </c>
      <c r="AX101" s="53">
        <v>0</v>
      </c>
      <c r="AY101" s="53">
        <f t="shared" si="127"/>
        <v>0</v>
      </c>
      <c r="AZ101" s="53">
        <v>0</v>
      </c>
      <c r="BA101" s="53">
        <v>0</v>
      </c>
      <c r="BB101" s="53">
        <v>0</v>
      </c>
      <c r="BC101" s="53">
        <v>0</v>
      </c>
    </row>
    <row r="102" spans="1:55" s="55" customFormat="1" ht="64.5" customHeight="1" x14ac:dyDescent="0.25">
      <c r="A102" s="71" t="s">
        <v>133</v>
      </c>
      <c r="B102" s="78" t="s">
        <v>131</v>
      </c>
      <c r="C102" s="79" t="s">
        <v>101</v>
      </c>
      <c r="D102" s="84">
        <v>0</v>
      </c>
      <c r="E102" s="75">
        <f t="shared" si="119"/>
        <v>0</v>
      </c>
      <c r="F102" s="75">
        <f t="shared" si="119"/>
        <v>0</v>
      </c>
      <c r="G102" s="75">
        <f t="shared" si="119"/>
        <v>0</v>
      </c>
      <c r="H102" s="75">
        <f t="shared" si="119"/>
        <v>0</v>
      </c>
      <c r="I102" s="75">
        <f t="shared" si="117"/>
        <v>0</v>
      </c>
      <c r="J102" s="75">
        <f t="shared" si="29"/>
        <v>0</v>
      </c>
      <c r="K102" s="75">
        <v>0</v>
      </c>
      <c r="L102" s="75">
        <v>0</v>
      </c>
      <c r="M102" s="75">
        <v>0</v>
      </c>
      <c r="N102" s="75">
        <v>0</v>
      </c>
      <c r="O102" s="75">
        <v>0</v>
      </c>
      <c r="P102" s="75">
        <f t="shared" si="122"/>
        <v>0</v>
      </c>
      <c r="Q102" s="75">
        <v>0</v>
      </c>
      <c r="R102" s="75">
        <v>0</v>
      </c>
      <c r="S102" s="75">
        <v>0</v>
      </c>
      <c r="T102" s="118">
        <f t="shared" si="123"/>
        <v>0</v>
      </c>
      <c r="U102" s="118">
        <v>0</v>
      </c>
      <c r="V102" s="118">
        <v>0</v>
      </c>
      <c r="W102" s="118">
        <v>0</v>
      </c>
      <c r="X102" s="118">
        <v>0</v>
      </c>
      <c r="Y102" s="118">
        <f t="shared" si="124"/>
        <v>0</v>
      </c>
      <c r="Z102" s="118">
        <v>0</v>
      </c>
      <c r="AA102" s="118">
        <v>0</v>
      </c>
      <c r="AB102" s="118">
        <v>0</v>
      </c>
      <c r="AC102" s="53">
        <v>0</v>
      </c>
      <c r="AD102" s="35">
        <f t="shared" si="125"/>
        <v>0</v>
      </c>
      <c r="AE102" s="35">
        <f t="shared" si="120"/>
        <v>0</v>
      </c>
      <c r="AF102" s="35">
        <f t="shared" si="120"/>
        <v>0</v>
      </c>
      <c r="AG102" s="35">
        <f t="shared" si="120"/>
        <v>0</v>
      </c>
      <c r="AH102" s="35">
        <f t="shared" si="120"/>
        <v>0</v>
      </c>
      <c r="AI102" s="35">
        <f t="shared" si="118"/>
        <v>0</v>
      </c>
      <c r="AJ102" s="35">
        <f t="shared" si="111"/>
        <v>0</v>
      </c>
      <c r="AK102" s="35">
        <v>0</v>
      </c>
      <c r="AL102" s="35">
        <v>0</v>
      </c>
      <c r="AM102" s="35">
        <v>0</v>
      </c>
      <c r="AN102" s="35">
        <v>0</v>
      </c>
      <c r="AO102" s="53">
        <v>0</v>
      </c>
      <c r="AP102" s="53">
        <f t="shared" si="126"/>
        <v>0</v>
      </c>
      <c r="AQ102" s="53">
        <v>0</v>
      </c>
      <c r="AR102" s="53">
        <v>0</v>
      </c>
      <c r="AS102" s="53">
        <v>0</v>
      </c>
      <c r="AT102" s="53">
        <f t="shared" si="112"/>
        <v>0</v>
      </c>
      <c r="AU102" s="53">
        <v>0</v>
      </c>
      <c r="AV102" s="53">
        <v>0</v>
      </c>
      <c r="AW102" s="53">
        <v>0</v>
      </c>
      <c r="AX102" s="53">
        <v>0</v>
      </c>
      <c r="AY102" s="53">
        <f t="shared" si="127"/>
        <v>0</v>
      </c>
      <c r="AZ102" s="53">
        <v>0</v>
      </c>
      <c r="BA102" s="53">
        <v>0</v>
      </c>
      <c r="BB102" s="53">
        <v>0</v>
      </c>
      <c r="BC102" s="53">
        <v>0</v>
      </c>
    </row>
    <row r="103" spans="1:55" s="55" customFormat="1" ht="59.25" customHeight="1" x14ac:dyDescent="0.25">
      <c r="A103" s="71" t="s">
        <v>133</v>
      </c>
      <c r="B103" s="78" t="s">
        <v>134</v>
      </c>
      <c r="C103" s="79" t="s">
        <v>101</v>
      </c>
      <c r="D103" s="84">
        <v>0</v>
      </c>
      <c r="E103" s="75">
        <f t="shared" si="119"/>
        <v>0</v>
      </c>
      <c r="F103" s="75">
        <f t="shared" si="119"/>
        <v>0</v>
      </c>
      <c r="G103" s="75">
        <f t="shared" si="119"/>
        <v>0</v>
      </c>
      <c r="H103" s="75">
        <f t="shared" si="119"/>
        <v>0</v>
      </c>
      <c r="I103" s="75">
        <f t="shared" si="117"/>
        <v>0</v>
      </c>
      <c r="J103" s="75">
        <f t="shared" si="29"/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  <c r="P103" s="75">
        <f t="shared" si="122"/>
        <v>0</v>
      </c>
      <c r="Q103" s="75">
        <v>0</v>
      </c>
      <c r="R103" s="75">
        <v>0</v>
      </c>
      <c r="S103" s="75">
        <v>0</v>
      </c>
      <c r="T103" s="118">
        <f t="shared" si="123"/>
        <v>0</v>
      </c>
      <c r="U103" s="118">
        <v>0</v>
      </c>
      <c r="V103" s="118">
        <v>0</v>
      </c>
      <c r="W103" s="118">
        <v>0</v>
      </c>
      <c r="X103" s="118">
        <v>0</v>
      </c>
      <c r="Y103" s="118">
        <f t="shared" si="124"/>
        <v>0</v>
      </c>
      <c r="Z103" s="118">
        <v>0</v>
      </c>
      <c r="AA103" s="118">
        <v>0</v>
      </c>
      <c r="AB103" s="118">
        <v>0</v>
      </c>
      <c r="AC103" s="53">
        <v>0</v>
      </c>
      <c r="AD103" s="35">
        <f t="shared" si="125"/>
        <v>0</v>
      </c>
      <c r="AE103" s="35">
        <f t="shared" si="120"/>
        <v>0</v>
      </c>
      <c r="AF103" s="35">
        <f t="shared" si="120"/>
        <v>0</v>
      </c>
      <c r="AG103" s="35">
        <f t="shared" si="120"/>
        <v>0</v>
      </c>
      <c r="AH103" s="35">
        <f t="shared" si="120"/>
        <v>0</v>
      </c>
      <c r="AI103" s="35">
        <f t="shared" si="118"/>
        <v>0</v>
      </c>
      <c r="AJ103" s="35">
        <f t="shared" si="111"/>
        <v>0</v>
      </c>
      <c r="AK103" s="35">
        <v>0</v>
      </c>
      <c r="AL103" s="35">
        <v>0</v>
      </c>
      <c r="AM103" s="35">
        <v>0</v>
      </c>
      <c r="AN103" s="35">
        <v>0</v>
      </c>
      <c r="AO103" s="53">
        <v>0</v>
      </c>
      <c r="AP103" s="53">
        <f t="shared" si="126"/>
        <v>0</v>
      </c>
      <c r="AQ103" s="53">
        <v>0</v>
      </c>
      <c r="AR103" s="53">
        <v>0</v>
      </c>
      <c r="AS103" s="53">
        <v>0</v>
      </c>
      <c r="AT103" s="53">
        <f t="shared" si="112"/>
        <v>0</v>
      </c>
      <c r="AU103" s="53">
        <v>0</v>
      </c>
      <c r="AV103" s="53">
        <v>0</v>
      </c>
      <c r="AW103" s="53">
        <v>0</v>
      </c>
      <c r="AX103" s="53">
        <v>0</v>
      </c>
      <c r="AY103" s="53">
        <f t="shared" si="127"/>
        <v>0</v>
      </c>
      <c r="AZ103" s="53">
        <v>0</v>
      </c>
      <c r="BA103" s="53">
        <v>0</v>
      </c>
      <c r="BB103" s="53">
        <v>0</v>
      </c>
      <c r="BC103" s="53">
        <v>0</v>
      </c>
    </row>
    <row r="104" spans="1:55" s="55" customFormat="1" ht="46.5" customHeight="1" x14ac:dyDescent="0.25">
      <c r="A104" s="71" t="s">
        <v>135</v>
      </c>
      <c r="B104" s="78" t="s">
        <v>136</v>
      </c>
      <c r="C104" s="79" t="s">
        <v>101</v>
      </c>
      <c r="D104" s="84">
        <f>D105+D124</f>
        <v>2.8985108739840002</v>
      </c>
      <c r="E104" s="75">
        <f t="shared" si="119"/>
        <v>1.0843739999999999</v>
      </c>
      <c r="F104" s="75">
        <f t="shared" si="119"/>
        <v>0.13129951200000001</v>
      </c>
      <c r="G104" s="75">
        <f t="shared" si="119"/>
        <v>0.42303809999999997</v>
      </c>
      <c r="H104" s="75">
        <f t="shared" si="119"/>
        <v>0.53003638799999997</v>
      </c>
      <c r="I104" s="75">
        <f t="shared" si="117"/>
        <v>0</v>
      </c>
      <c r="J104" s="75">
        <f t="shared" ref="J104:AC104" si="128">J105+J124</f>
        <v>0.318140376</v>
      </c>
      <c r="K104" s="75">
        <f t="shared" si="128"/>
        <v>2.3295047999999999E-2</v>
      </c>
      <c r="L104" s="75">
        <f t="shared" si="128"/>
        <v>8.6933603999999998E-2</v>
      </c>
      <c r="M104" s="75">
        <f t="shared" si="128"/>
        <v>0.20791172399999999</v>
      </c>
      <c r="N104" s="75">
        <f t="shared" si="128"/>
        <v>0</v>
      </c>
      <c r="O104" s="75">
        <f t="shared" si="128"/>
        <v>0.24132558000000001</v>
      </c>
      <c r="P104" s="75">
        <f t="shared" si="128"/>
        <v>2.5575599999999997E-2</v>
      </c>
      <c r="Q104" s="75">
        <f t="shared" si="128"/>
        <v>8.3653008000000001E-2</v>
      </c>
      <c r="R104" s="75">
        <f t="shared" si="128"/>
        <v>0.13209697199999998</v>
      </c>
      <c r="S104" s="76">
        <f t="shared" si="128"/>
        <v>0</v>
      </c>
      <c r="T104" s="118">
        <f t="shared" si="128"/>
        <v>0.40717552800000001</v>
      </c>
      <c r="U104" s="118">
        <f t="shared" si="128"/>
        <v>6.3408863999999995E-2</v>
      </c>
      <c r="V104" s="118">
        <f t="shared" si="128"/>
        <v>0.22446028800000001</v>
      </c>
      <c r="W104" s="118">
        <f t="shared" si="128"/>
        <v>0.11930637599999999</v>
      </c>
      <c r="X104" s="118">
        <f t="shared" si="128"/>
        <v>0</v>
      </c>
      <c r="Y104" s="118">
        <f t="shared" si="128"/>
        <v>0.11773251600000001</v>
      </c>
      <c r="Z104" s="118">
        <f t="shared" si="128"/>
        <v>1.9019999999999999E-2</v>
      </c>
      <c r="AA104" s="118">
        <f t="shared" si="128"/>
        <v>2.7991200000000001E-2</v>
      </c>
      <c r="AB104" s="118">
        <f t="shared" si="128"/>
        <v>7.0721316000000006E-2</v>
      </c>
      <c r="AC104" s="53">
        <f t="shared" si="128"/>
        <v>0</v>
      </c>
      <c r="AD104" s="35">
        <f>AD105</f>
        <v>2.4154257283200002</v>
      </c>
      <c r="AE104" s="35">
        <f t="shared" si="120"/>
        <v>0.85615130000000006</v>
      </c>
      <c r="AF104" s="35">
        <f t="shared" si="120"/>
        <v>0.14549143</v>
      </c>
      <c r="AG104" s="35">
        <f t="shared" si="120"/>
        <v>0.25246292999999997</v>
      </c>
      <c r="AH104" s="35">
        <f t="shared" si="120"/>
        <v>0.45819694</v>
      </c>
      <c r="AI104" s="35">
        <f t="shared" si="118"/>
        <v>0</v>
      </c>
      <c r="AJ104" s="35">
        <f t="shared" ref="AJ104:BC104" si="129">AJ105+AJ124</f>
        <v>0.36467054000000004</v>
      </c>
      <c r="AK104" s="35">
        <f t="shared" si="129"/>
        <v>8.6087710000000012E-2</v>
      </c>
      <c r="AL104" s="35">
        <f t="shared" si="129"/>
        <v>8.8823109999999997E-2</v>
      </c>
      <c r="AM104" s="35">
        <f t="shared" si="129"/>
        <v>0.18975972000000002</v>
      </c>
      <c r="AN104" s="35">
        <f t="shared" si="129"/>
        <v>0</v>
      </c>
      <c r="AO104" s="35">
        <f t="shared" si="129"/>
        <v>0.21349897000000001</v>
      </c>
      <c r="AP104" s="35">
        <f t="shared" si="129"/>
        <v>3.6647360000000004E-2</v>
      </c>
      <c r="AQ104" s="35">
        <f t="shared" si="129"/>
        <v>6.6770799999999991E-2</v>
      </c>
      <c r="AR104" s="35">
        <f t="shared" si="129"/>
        <v>0.11008081</v>
      </c>
      <c r="AS104" s="35">
        <f t="shared" si="129"/>
        <v>0</v>
      </c>
      <c r="AT104" s="35">
        <f t="shared" si="129"/>
        <v>0.13681504999999999</v>
      </c>
      <c r="AU104" s="35">
        <f t="shared" si="129"/>
        <v>0</v>
      </c>
      <c r="AV104" s="35">
        <f t="shared" si="129"/>
        <v>3.739307E-2</v>
      </c>
      <c r="AW104" s="35">
        <f t="shared" si="129"/>
        <v>9.9421979999999993E-2</v>
      </c>
      <c r="AX104" s="35">
        <f t="shared" si="129"/>
        <v>0</v>
      </c>
      <c r="AY104" s="53">
        <f t="shared" si="129"/>
        <v>0.14116674000000001</v>
      </c>
      <c r="AZ104" s="53">
        <f t="shared" si="129"/>
        <v>2.275636E-2</v>
      </c>
      <c r="BA104" s="53">
        <f t="shared" si="129"/>
        <v>5.947595E-2</v>
      </c>
      <c r="BB104" s="53">
        <f t="shared" si="129"/>
        <v>5.8934430000000003E-2</v>
      </c>
      <c r="BC104" s="53">
        <f t="shared" si="129"/>
        <v>0</v>
      </c>
    </row>
    <row r="105" spans="1:55" s="55" customFormat="1" ht="47.25" customHeight="1" x14ac:dyDescent="0.25">
      <c r="A105" s="71" t="s">
        <v>137</v>
      </c>
      <c r="B105" s="78" t="s">
        <v>138</v>
      </c>
      <c r="C105" s="79" t="s">
        <v>101</v>
      </c>
      <c r="D105" s="84">
        <f>SUM(D106:D121)</f>
        <v>2.8985108739840002</v>
      </c>
      <c r="E105" s="75">
        <f t="shared" si="119"/>
        <v>1.0843739999999999</v>
      </c>
      <c r="F105" s="75">
        <f t="shared" si="119"/>
        <v>0.13129951200000001</v>
      </c>
      <c r="G105" s="75">
        <f t="shared" si="119"/>
        <v>0.42303809999999997</v>
      </c>
      <c r="H105" s="75">
        <f t="shared" si="119"/>
        <v>0.53003638799999997</v>
      </c>
      <c r="I105" s="75">
        <f t="shared" si="117"/>
        <v>0</v>
      </c>
      <c r="J105" s="84">
        <f>SUM(J106:J123)</f>
        <v>0.318140376</v>
      </c>
      <c r="K105" s="84">
        <f>SUM(K106:K123)</f>
        <v>2.3295047999999999E-2</v>
      </c>
      <c r="L105" s="84">
        <f>SUM(L106:L123)</f>
        <v>8.6933603999999998E-2</v>
      </c>
      <c r="M105" s="84">
        <f>SUM(M106:M123)</f>
        <v>0.20791172399999999</v>
      </c>
      <c r="N105" s="84">
        <f>SUM(N106:N123)</f>
        <v>0</v>
      </c>
      <c r="O105" s="84">
        <f>SUM(O106:O121)</f>
        <v>0.24132558000000001</v>
      </c>
      <c r="P105" s="84">
        <f>SUM(P106:P121)</f>
        <v>2.5575599999999997E-2</v>
      </c>
      <c r="Q105" s="84">
        <f>SUM(Q106:Q121)</f>
        <v>8.3653008000000001E-2</v>
      </c>
      <c r="R105" s="84">
        <f>SUM(R106:R121)</f>
        <v>0.13209697199999998</v>
      </c>
      <c r="S105" s="84">
        <f>SUM(S106:S121)</f>
        <v>0</v>
      </c>
      <c r="T105" s="84">
        <f t="shared" ref="T105:AC105" si="130">SUM(T106:T123)</f>
        <v>0.40717552800000001</v>
      </c>
      <c r="U105" s="84">
        <f t="shared" si="130"/>
        <v>6.3408863999999995E-2</v>
      </c>
      <c r="V105" s="84">
        <f t="shared" si="130"/>
        <v>0.22446028800000001</v>
      </c>
      <c r="W105" s="84">
        <f t="shared" si="130"/>
        <v>0.11930637599999999</v>
      </c>
      <c r="X105" s="84">
        <f t="shared" si="130"/>
        <v>0</v>
      </c>
      <c r="Y105" s="118">
        <f t="shared" si="130"/>
        <v>0.11773251600000001</v>
      </c>
      <c r="Z105" s="118">
        <f t="shared" si="130"/>
        <v>1.9019999999999999E-2</v>
      </c>
      <c r="AA105" s="118">
        <f t="shared" si="130"/>
        <v>2.7991200000000001E-2</v>
      </c>
      <c r="AB105" s="118">
        <f t="shared" si="130"/>
        <v>7.0721316000000006E-2</v>
      </c>
      <c r="AC105" s="53">
        <f t="shared" si="130"/>
        <v>0</v>
      </c>
      <c r="AD105" s="35">
        <f>SUM(AD106:AD118)</f>
        <v>2.4154257283200002</v>
      </c>
      <c r="AE105" s="35">
        <f t="shared" si="120"/>
        <v>0.85615130000000006</v>
      </c>
      <c r="AF105" s="35">
        <f t="shared" si="120"/>
        <v>0.14549143</v>
      </c>
      <c r="AG105" s="35">
        <f t="shared" si="120"/>
        <v>0.25246292999999997</v>
      </c>
      <c r="AH105" s="35">
        <f t="shared" si="120"/>
        <v>0.45819694</v>
      </c>
      <c r="AI105" s="35">
        <f t="shared" si="118"/>
        <v>0</v>
      </c>
      <c r="AJ105" s="35">
        <f t="shared" ref="AJ105:BC105" si="131">SUM(AJ106:AJ123)</f>
        <v>0.36467054000000004</v>
      </c>
      <c r="AK105" s="35">
        <f t="shared" si="131"/>
        <v>8.6087710000000012E-2</v>
      </c>
      <c r="AL105" s="35">
        <f t="shared" si="131"/>
        <v>8.8823109999999997E-2</v>
      </c>
      <c r="AM105" s="35">
        <f t="shared" si="131"/>
        <v>0.18975972000000002</v>
      </c>
      <c r="AN105" s="35">
        <f t="shared" si="131"/>
        <v>0</v>
      </c>
      <c r="AO105" s="35">
        <f t="shared" si="131"/>
        <v>0.21349897000000001</v>
      </c>
      <c r="AP105" s="35">
        <f t="shared" si="131"/>
        <v>3.6647360000000004E-2</v>
      </c>
      <c r="AQ105" s="35">
        <f t="shared" si="131"/>
        <v>6.6770799999999991E-2</v>
      </c>
      <c r="AR105" s="35">
        <f t="shared" si="131"/>
        <v>0.11008081</v>
      </c>
      <c r="AS105" s="35">
        <f t="shared" si="131"/>
        <v>0</v>
      </c>
      <c r="AT105" s="35">
        <f t="shared" si="131"/>
        <v>0.13681504999999999</v>
      </c>
      <c r="AU105" s="35">
        <f t="shared" si="131"/>
        <v>0</v>
      </c>
      <c r="AV105" s="35">
        <f t="shared" si="131"/>
        <v>3.739307E-2</v>
      </c>
      <c r="AW105" s="35">
        <f t="shared" si="131"/>
        <v>9.9421979999999993E-2</v>
      </c>
      <c r="AX105" s="35">
        <f t="shared" si="131"/>
        <v>0</v>
      </c>
      <c r="AY105" s="53">
        <f t="shared" si="131"/>
        <v>0.14116674000000001</v>
      </c>
      <c r="AZ105" s="53">
        <f t="shared" si="131"/>
        <v>2.275636E-2</v>
      </c>
      <c r="BA105" s="53">
        <f t="shared" si="131"/>
        <v>5.947595E-2</v>
      </c>
      <c r="BB105" s="53">
        <f t="shared" si="131"/>
        <v>5.8934430000000003E-2</v>
      </c>
      <c r="BC105" s="53">
        <f t="shared" si="131"/>
        <v>0</v>
      </c>
    </row>
    <row r="106" spans="1:55" s="55" customFormat="1" ht="36.75" customHeight="1" x14ac:dyDescent="0.25">
      <c r="A106" s="31" t="s">
        <v>137</v>
      </c>
      <c r="B106" s="92" t="s">
        <v>139</v>
      </c>
      <c r="C106" s="93" t="s">
        <v>140</v>
      </c>
      <c r="D106" s="88">
        <v>2.8985108739840002</v>
      </c>
      <c r="E106" s="29">
        <f t="shared" si="119"/>
        <v>0</v>
      </c>
      <c r="F106" s="29">
        <f t="shared" si="119"/>
        <v>0</v>
      </c>
      <c r="G106" s="29">
        <f t="shared" si="119"/>
        <v>0</v>
      </c>
      <c r="H106" s="29">
        <f t="shared" si="119"/>
        <v>0</v>
      </c>
      <c r="I106" s="29">
        <f t="shared" si="117"/>
        <v>0</v>
      </c>
      <c r="J106" s="29">
        <f t="shared" si="29"/>
        <v>0</v>
      </c>
      <c r="K106" s="29">
        <v>0</v>
      </c>
      <c r="L106" s="29">
        <v>0</v>
      </c>
      <c r="M106" s="29">
        <v>0</v>
      </c>
      <c r="N106" s="29">
        <v>0</v>
      </c>
      <c r="O106" s="29">
        <f>P106+Q106+R106+S106</f>
        <v>0</v>
      </c>
      <c r="P106" s="29">
        <v>0</v>
      </c>
      <c r="Q106" s="29">
        <v>0</v>
      </c>
      <c r="R106" s="29">
        <v>0</v>
      </c>
      <c r="S106" s="29">
        <v>0</v>
      </c>
      <c r="T106" s="30">
        <f t="shared" ref="T106:T122" si="132">U106+V106+W106+X106</f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f t="shared" ref="Y106:Y121" si="133">Z106+AA106+AB106+AC106</f>
        <v>0</v>
      </c>
      <c r="Z106" s="30">
        <v>0</v>
      </c>
      <c r="AA106" s="30">
        <v>0</v>
      </c>
      <c r="AB106" s="30">
        <v>0</v>
      </c>
      <c r="AC106" s="34">
        <v>0</v>
      </c>
      <c r="AD106" s="36">
        <v>2.4154257283200002</v>
      </c>
      <c r="AE106" s="36">
        <f t="shared" si="120"/>
        <v>0</v>
      </c>
      <c r="AF106" s="36">
        <f t="shared" si="120"/>
        <v>0</v>
      </c>
      <c r="AG106" s="36">
        <f t="shared" si="120"/>
        <v>0</v>
      </c>
      <c r="AH106" s="36">
        <f t="shared" si="120"/>
        <v>0</v>
      </c>
      <c r="AI106" s="36">
        <f t="shared" si="118"/>
        <v>0</v>
      </c>
      <c r="AJ106" s="36">
        <f t="shared" si="111"/>
        <v>0</v>
      </c>
      <c r="AK106" s="36">
        <v>0</v>
      </c>
      <c r="AL106" s="36">
        <v>0</v>
      </c>
      <c r="AM106" s="36">
        <v>0</v>
      </c>
      <c r="AN106" s="36">
        <v>0</v>
      </c>
      <c r="AO106" s="34">
        <f>AP106+AQ106+AR106+AS106</f>
        <v>0</v>
      </c>
      <c r="AP106" s="34">
        <v>0</v>
      </c>
      <c r="AQ106" s="34">
        <v>0</v>
      </c>
      <c r="AR106" s="34">
        <v>0</v>
      </c>
      <c r="AS106" s="34">
        <v>0</v>
      </c>
      <c r="AT106" s="34">
        <f t="shared" ref="AT106:AT120" si="134">AU106+AV106+AW106+AX106</f>
        <v>0</v>
      </c>
      <c r="AU106" s="34">
        <v>0</v>
      </c>
      <c r="AV106" s="34">
        <v>0</v>
      </c>
      <c r="AW106" s="34">
        <v>0</v>
      </c>
      <c r="AX106" s="34">
        <v>0</v>
      </c>
      <c r="AY106" s="34">
        <f t="shared" ref="AY106:AY123" si="135">AZ106+BA106+BB106+BC106</f>
        <v>0</v>
      </c>
      <c r="AZ106" s="34">
        <v>0</v>
      </c>
      <c r="BA106" s="34">
        <v>0</v>
      </c>
      <c r="BB106" s="34">
        <v>0</v>
      </c>
      <c r="BC106" s="34">
        <v>0</v>
      </c>
    </row>
    <row r="107" spans="1:55" s="55" customFormat="1" ht="41.25" customHeight="1" x14ac:dyDescent="0.25">
      <c r="A107" s="31" t="s">
        <v>137</v>
      </c>
      <c r="B107" s="94" t="s">
        <v>365</v>
      </c>
      <c r="C107" s="32" t="s">
        <v>694</v>
      </c>
      <c r="D107" s="88">
        <v>0</v>
      </c>
      <c r="E107" s="29">
        <f t="shared" si="119"/>
        <v>9.4923179999999996E-2</v>
      </c>
      <c r="F107" s="29">
        <f t="shared" si="119"/>
        <v>2.9454480000000016E-3</v>
      </c>
      <c r="G107" s="29">
        <f t="shared" si="119"/>
        <v>2.7981767999999997E-2</v>
      </c>
      <c r="H107" s="29">
        <f t="shared" si="119"/>
        <v>6.3995964000000002E-2</v>
      </c>
      <c r="I107" s="29">
        <f t="shared" si="117"/>
        <v>0</v>
      </c>
      <c r="J107" s="29">
        <f t="shared" si="29"/>
        <v>9.4923179999999996E-2</v>
      </c>
      <c r="K107" s="29">
        <v>2.9454480000000016E-3</v>
      </c>
      <c r="L107" s="29">
        <v>2.7981767999999997E-2</v>
      </c>
      <c r="M107" s="29">
        <v>6.3995964000000002E-2</v>
      </c>
      <c r="N107" s="29">
        <v>0</v>
      </c>
      <c r="O107" s="29">
        <f t="shared" ref="O107:O118" si="136">P107+Q107+R107+S107</f>
        <v>0</v>
      </c>
      <c r="P107" s="29">
        <v>0</v>
      </c>
      <c r="Q107" s="29">
        <v>0</v>
      </c>
      <c r="R107" s="29">
        <v>0</v>
      </c>
      <c r="S107" s="29">
        <v>0</v>
      </c>
      <c r="T107" s="30">
        <f t="shared" si="132"/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f t="shared" si="133"/>
        <v>0</v>
      </c>
      <c r="Z107" s="30">
        <v>0</v>
      </c>
      <c r="AA107" s="30">
        <v>0</v>
      </c>
      <c r="AB107" s="30">
        <v>0</v>
      </c>
      <c r="AC107" s="34">
        <v>0</v>
      </c>
      <c r="AD107" s="36">
        <f t="shared" ref="AD107:AD119" si="137">D107/1.2</f>
        <v>0</v>
      </c>
      <c r="AE107" s="36">
        <f t="shared" si="120"/>
        <v>9.6648110000000009E-2</v>
      </c>
      <c r="AF107" s="36">
        <f t="shared" si="120"/>
        <v>0.02</v>
      </c>
      <c r="AG107" s="36">
        <f t="shared" si="120"/>
        <v>2.3318140000000001E-2</v>
      </c>
      <c r="AH107" s="36">
        <f t="shared" si="120"/>
        <v>5.3329970000000004E-2</v>
      </c>
      <c r="AI107" s="36">
        <f t="shared" si="118"/>
        <v>0</v>
      </c>
      <c r="AJ107" s="36">
        <f t="shared" si="111"/>
        <v>9.6648110000000009E-2</v>
      </c>
      <c r="AK107" s="36">
        <v>0.02</v>
      </c>
      <c r="AL107" s="36">
        <v>2.3318140000000001E-2</v>
      </c>
      <c r="AM107" s="36">
        <v>5.3329970000000004E-2</v>
      </c>
      <c r="AN107" s="36">
        <v>0</v>
      </c>
      <c r="AO107" s="34">
        <f t="shared" ref="AO107:AO112" si="138">AP107+AQ107+AR107+AS107</f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f t="shared" si="134"/>
        <v>0</v>
      </c>
      <c r="AU107" s="34">
        <v>0</v>
      </c>
      <c r="AV107" s="34">
        <v>0</v>
      </c>
      <c r="AW107" s="34">
        <v>0</v>
      </c>
      <c r="AX107" s="34">
        <v>0</v>
      </c>
      <c r="AY107" s="34">
        <f t="shared" si="135"/>
        <v>0</v>
      </c>
      <c r="AZ107" s="34">
        <v>0</v>
      </c>
      <c r="BA107" s="34">
        <v>0</v>
      </c>
      <c r="BB107" s="34">
        <v>0</v>
      </c>
      <c r="BC107" s="34">
        <v>0</v>
      </c>
    </row>
    <row r="108" spans="1:55" s="55" customFormat="1" ht="41.25" customHeight="1" x14ac:dyDescent="0.25">
      <c r="A108" s="31" t="s">
        <v>137</v>
      </c>
      <c r="B108" s="94" t="s">
        <v>366</v>
      </c>
      <c r="C108" s="32" t="s">
        <v>695</v>
      </c>
      <c r="D108" s="88">
        <v>0</v>
      </c>
      <c r="E108" s="29">
        <f t="shared" si="119"/>
        <v>7.9978355999999987E-2</v>
      </c>
      <c r="F108" s="29">
        <f t="shared" si="119"/>
        <v>0</v>
      </c>
      <c r="G108" s="29">
        <f t="shared" si="119"/>
        <v>1.3600656000000001E-2</v>
      </c>
      <c r="H108" s="29">
        <f t="shared" si="119"/>
        <v>6.6377699999999984E-2</v>
      </c>
      <c r="I108" s="29">
        <f t="shared" si="117"/>
        <v>0</v>
      </c>
      <c r="J108" s="29">
        <f t="shared" si="29"/>
        <v>7.9978355999999987E-2</v>
      </c>
      <c r="K108" s="29">
        <v>0</v>
      </c>
      <c r="L108" s="29">
        <v>1.3600656000000001E-2</v>
      </c>
      <c r="M108" s="29">
        <v>6.6377699999999984E-2</v>
      </c>
      <c r="N108" s="29">
        <v>0</v>
      </c>
      <c r="O108" s="29">
        <f t="shared" si="136"/>
        <v>0</v>
      </c>
      <c r="P108" s="29">
        <v>0</v>
      </c>
      <c r="Q108" s="29">
        <v>0</v>
      </c>
      <c r="R108" s="29">
        <v>0</v>
      </c>
      <c r="S108" s="29">
        <v>0</v>
      </c>
      <c r="T108" s="30">
        <f t="shared" si="132"/>
        <v>0</v>
      </c>
      <c r="U108" s="30">
        <v>0</v>
      </c>
      <c r="V108" s="30">
        <v>0</v>
      </c>
      <c r="W108" s="30">
        <v>0</v>
      </c>
      <c r="X108" s="30">
        <v>0</v>
      </c>
      <c r="Y108" s="30">
        <f t="shared" si="133"/>
        <v>0</v>
      </c>
      <c r="Z108" s="30">
        <v>0</v>
      </c>
      <c r="AA108" s="30">
        <v>0</v>
      </c>
      <c r="AB108" s="30">
        <v>0</v>
      </c>
      <c r="AC108" s="34">
        <v>0</v>
      </c>
      <c r="AD108" s="36">
        <f t="shared" si="137"/>
        <v>0</v>
      </c>
      <c r="AE108" s="36">
        <f t="shared" si="120"/>
        <v>0.16561472999999999</v>
      </c>
      <c r="AF108" s="36">
        <f t="shared" si="120"/>
        <v>6.6087710000000008E-2</v>
      </c>
      <c r="AG108" s="36">
        <f t="shared" si="120"/>
        <v>2.7712319999999999E-2</v>
      </c>
      <c r="AH108" s="36">
        <f t="shared" si="120"/>
        <v>7.1814699999999995E-2</v>
      </c>
      <c r="AI108" s="36">
        <f t="shared" si="118"/>
        <v>0</v>
      </c>
      <c r="AJ108" s="36">
        <f t="shared" si="111"/>
        <v>0.16561472999999999</v>
      </c>
      <c r="AK108" s="36">
        <v>6.6087710000000008E-2</v>
      </c>
      <c r="AL108" s="36">
        <v>2.7712319999999999E-2</v>
      </c>
      <c r="AM108" s="36">
        <v>7.1814699999999995E-2</v>
      </c>
      <c r="AN108" s="36">
        <v>0</v>
      </c>
      <c r="AO108" s="34">
        <f t="shared" si="138"/>
        <v>0</v>
      </c>
      <c r="AP108" s="34">
        <v>0</v>
      </c>
      <c r="AQ108" s="34">
        <v>0</v>
      </c>
      <c r="AR108" s="34">
        <v>0</v>
      </c>
      <c r="AS108" s="34">
        <v>0</v>
      </c>
      <c r="AT108" s="34">
        <f t="shared" si="134"/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f t="shared" si="135"/>
        <v>0</v>
      </c>
      <c r="AZ108" s="34">
        <v>0</v>
      </c>
      <c r="BA108" s="34">
        <v>0</v>
      </c>
      <c r="BB108" s="34">
        <v>0</v>
      </c>
      <c r="BC108" s="34">
        <v>0</v>
      </c>
    </row>
    <row r="109" spans="1:55" s="55" customFormat="1" ht="41.25" customHeight="1" x14ac:dyDescent="0.25">
      <c r="A109" s="31" t="s">
        <v>137</v>
      </c>
      <c r="B109" s="94" t="s">
        <v>367</v>
      </c>
      <c r="C109" s="32" t="s">
        <v>696</v>
      </c>
      <c r="D109" s="88">
        <v>0</v>
      </c>
      <c r="E109" s="29">
        <f t="shared" si="119"/>
        <v>0.11273455200000002</v>
      </c>
      <c r="F109" s="29">
        <f t="shared" si="119"/>
        <v>0</v>
      </c>
      <c r="G109" s="29">
        <f t="shared" si="119"/>
        <v>4.0072212000000003E-2</v>
      </c>
      <c r="H109" s="29">
        <f t="shared" si="119"/>
        <v>7.2662340000000006E-2</v>
      </c>
      <c r="I109" s="29">
        <f t="shared" si="117"/>
        <v>0</v>
      </c>
      <c r="J109" s="29">
        <f t="shared" si="29"/>
        <v>0.11273455200000002</v>
      </c>
      <c r="K109" s="29">
        <v>0</v>
      </c>
      <c r="L109" s="29">
        <v>4.0072212000000003E-2</v>
      </c>
      <c r="M109" s="29">
        <v>7.2662340000000006E-2</v>
      </c>
      <c r="N109" s="29">
        <v>0</v>
      </c>
      <c r="O109" s="29">
        <f t="shared" si="136"/>
        <v>0</v>
      </c>
      <c r="P109" s="29">
        <v>0</v>
      </c>
      <c r="Q109" s="29">
        <v>0</v>
      </c>
      <c r="R109" s="29">
        <v>0</v>
      </c>
      <c r="S109" s="29">
        <v>0</v>
      </c>
      <c r="T109" s="30">
        <f t="shared" si="132"/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f t="shared" si="133"/>
        <v>0</v>
      </c>
      <c r="Z109" s="30">
        <v>0</v>
      </c>
      <c r="AA109" s="30">
        <v>0</v>
      </c>
      <c r="AB109" s="30">
        <v>0</v>
      </c>
      <c r="AC109" s="34">
        <v>0</v>
      </c>
      <c r="AD109" s="36">
        <f t="shared" si="137"/>
        <v>0</v>
      </c>
      <c r="AE109" s="36">
        <f t="shared" si="120"/>
        <v>9.3945460000000008E-2</v>
      </c>
      <c r="AF109" s="36">
        <f t="shared" si="120"/>
        <v>0</v>
      </c>
      <c r="AG109" s="36">
        <f t="shared" si="120"/>
        <v>3.3393510000000001E-2</v>
      </c>
      <c r="AH109" s="36">
        <f t="shared" si="120"/>
        <v>6.055195E-2</v>
      </c>
      <c r="AI109" s="36">
        <f t="shared" si="118"/>
        <v>0</v>
      </c>
      <c r="AJ109" s="36">
        <f t="shared" si="111"/>
        <v>9.3945460000000008E-2</v>
      </c>
      <c r="AK109" s="36">
        <v>0</v>
      </c>
      <c r="AL109" s="36">
        <v>3.3393510000000001E-2</v>
      </c>
      <c r="AM109" s="36">
        <v>6.055195E-2</v>
      </c>
      <c r="AN109" s="36">
        <v>0</v>
      </c>
      <c r="AO109" s="34">
        <f t="shared" si="138"/>
        <v>0</v>
      </c>
      <c r="AP109" s="34">
        <v>0</v>
      </c>
      <c r="AQ109" s="34">
        <v>0</v>
      </c>
      <c r="AR109" s="34">
        <v>0</v>
      </c>
      <c r="AS109" s="34">
        <v>0</v>
      </c>
      <c r="AT109" s="34">
        <f t="shared" si="134"/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f t="shared" si="135"/>
        <v>0</v>
      </c>
      <c r="AZ109" s="34">
        <v>0</v>
      </c>
      <c r="BA109" s="34">
        <v>0</v>
      </c>
      <c r="BB109" s="34">
        <v>0</v>
      </c>
      <c r="BC109" s="34">
        <v>0</v>
      </c>
    </row>
    <row r="110" spans="1:55" s="55" customFormat="1" ht="41.25" customHeight="1" x14ac:dyDescent="0.25">
      <c r="A110" s="31" t="s">
        <v>137</v>
      </c>
      <c r="B110" s="94" t="s">
        <v>368</v>
      </c>
      <c r="C110" s="32" t="s">
        <v>697</v>
      </c>
      <c r="D110" s="88">
        <v>0</v>
      </c>
      <c r="E110" s="29">
        <f t="shared" si="119"/>
        <v>1.0154688E-2</v>
      </c>
      <c r="F110" s="29">
        <f t="shared" si="119"/>
        <v>0</v>
      </c>
      <c r="G110" s="29">
        <f t="shared" si="119"/>
        <v>5.2789680000000002E-3</v>
      </c>
      <c r="H110" s="29">
        <f t="shared" si="119"/>
        <v>4.8757200000000001E-3</v>
      </c>
      <c r="I110" s="29">
        <f t="shared" si="117"/>
        <v>0</v>
      </c>
      <c r="J110" s="29">
        <f t="shared" si="29"/>
        <v>1.0154688E-2</v>
      </c>
      <c r="K110" s="29">
        <v>0</v>
      </c>
      <c r="L110" s="29">
        <v>5.2789680000000002E-3</v>
      </c>
      <c r="M110" s="29">
        <v>4.8757200000000001E-3</v>
      </c>
      <c r="N110" s="29">
        <v>0</v>
      </c>
      <c r="O110" s="29">
        <f t="shared" si="136"/>
        <v>0</v>
      </c>
      <c r="P110" s="29">
        <v>0</v>
      </c>
      <c r="Q110" s="29">
        <v>0</v>
      </c>
      <c r="R110" s="29">
        <v>0</v>
      </c>
      <c r="S110" s="29">
        <v>0</v>
      </c>
      <c r="T110" s="30">
        <f t="shared" si="132"/>
        <v>0</v>
      </c>
      <c r="U110" s="30">
        <v>0</v>
      </c>
      <c r="V110" s="30">
        <v>0</v>
      </c>
      <c r="W110" s="30">
        <v>0</v>
      </c>
      <c r="X110" s="30">
        <v>0</v>
      </c>
      <c r="Y110" s="30">
        <f t="shared" si="133"/>
        <v>0</v>
      </c>
      <c r="Z110" s="30">
        <v>0</v>
      </c>
      <c r="AA110" s="30">
        <v>0</v>
      </c>
      <c r="AB110" s="30">
        <v>0</v>
      </c>
      <c r="AC110" s="34">
        <v>0</v>
      </c>
      <c r="AD110" s="36">
        <f t="shared" si="137"/>
        <v>0</v>
      </c>
      <c r="AE110" s="36">
        <f t="shared" si="120"/>
        <v>8.4622399999999993E-3</v>
      </c>
      <c r="AF110" s="36">
        <f t="shared" si="120"/>
        <v>0</v>
      </c>
      <c r="AG110" s="36">
        <f t="shared" si="120"/>
        <v>4.3991400000000002E-3</v>
      </c>
      <c r="AH110" s="36">
        <f t="shared" si="120"/>
        <v>4.0631E-3</v>
      </c>
      <c r="AI110" s="36">
        <f t="shared" si="118"/>
        <v>0</v>
      </c>
      <c r="AJ110" s="36">
        <f t="shared" si="111"/>
        <v>8.4622399999999993E-3</v>
      </c>
      <c r="AK110" s="36">
        <v>0</v>
      </c>
      <c r="AL110" s="36">
        <v>4.3991400000000002E-3</v>
      </c>
      <c r="AM110" s="36">
        <v>4.0631E-3</v>
      </c>
      <c r="AN110" s="36">
        <v>0</v>
      </c>
      <c r="AO110" s="34">
        <f t="shared" si="138"/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f t="shared" si="134"/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f t="shared" si="135"/>
        <v>0</v>
      </c>
      <c r="AZ110" s="34">
        <v>0</v>
      </c>
      <c r="BA110" s="34">
        <v>0</v>
      </c>
      <c r="BB110" s="34">
        <v>0</v>
      </c>
      <c r="BC110" s="34">
        <v>0</v>
      </c>
    </row>
    <row r="111" spans="1:55" s="55" customFormat="1" ht="30.75" customHeight="1" x14ac:dyDescent="0.25">
      <c r="A111" s="31" t="s">
        <v>137</v>
      </c>
      <c r="B111" s="94" t="s">
        <v>369</v>
      </c>
      <c r="C111" s="32" t="s">
        <v>698</v>
      </c>
      <c r="D111" s="88">
        <v>0</v>
      </c>
      <c r="E111" s="29">
        <f t="shared" si="119"/>
        <v>5.9166047999999999E-2</v>
      </c>
      <c r="F111" s="29">
        <f t="shared" si="119"/>
        <v>2.0349599999999999E-2</v>
      </c>
      <c r="G111" s="29">
        <f t="shared" si="119"/>
        <v>8.7282239999999997E-3</v>
      </c>
      <c r="H111" s="29">
        <f t="shared" si="119"/>
        <v>3.0088223999999997E-2</v>
      </c>
      <c r="I111" s="29">
        <f t="shared" si="117"/>
        <v>0</v>
      </c>
      <c r="J111" s="29">
        <f t="shared" si="29"/>
        <v>2.0349599999999999E-2</v>
      </c>
      <c r="K111" s="29">
        <v>2.0349599999999999E-2</v>
      </c>
      <c r="L111" s="29">
        <v>0</v>
      </c>
      <c r="M111" s="29">
        <v>0</v>
      </c>
      <c r="N111" s="29">
        <v>0</v>
      </c>
      <c r="O111" s="29">
        <f t="shared" si="136"/>
        <v>3.8816447999999996E-2</v>
      </c>
      <c r="P111" s="29">
        <v>0</v>
      </c>
      <c r="Q111" s="29">
        <v>8.7282239999999997E-3</v>
      </c>
      <c r="R111" s="29">
        <v>3.0088223999999997E-2</v>
      </c>
      <c r="S111" s="29">
        <v>0</v>
      </c>
      <c r="T111" s="30">
        <f t="shared" si="132"/>
        <v>0</v>
      </c>
      <c r="U111" s="30">
        <v>0</v>
      </c>
      <c r="V111" s="30">
        <v>0</v>
      </c>
      <c r="W111" s="30">
        <v>0</v>
      </c>
      <c r="X111" s="30">
        <v>0</v>
      </c>
      <c r="Y111" s="30">
        <f t="shared" si="133"/>
        <v>0</v>
      </c>
      <c r="Z111" s="30">
        <v>0</v>
      </c>
      <c r="AA111" s="30">
        <v>0</v>
      </c>
      <c r="AB111" s="30">
        <v>0</v>
      </c>
      <c r="AC111" s="34">
        <v>0</v>
      </c>
      <c r="AD111" s="36">
        <f t="shared" si="137"/>
        <v>0</v>
      </c>
      <c r="AE111" s="36">
        <f t="shared" si="120"/>
        <v>5.1739400000000005E-2</v>
      </c>
      <c r="AF111" s="36">
        <f t="shared" si="120"/>
        <v>1.9392360000000001E-2</v>
      </c>
      <c r="AG111" s="36">
        <f t="shared" si="120"/>
        <v>7.2735200000000003E-3</v>
      </c>
      <c r="AH111" s="36">
        <f t="shared" si="120"/>
        <v>2.5073519999999998E-2</v>
      </c>
      <c r="AI111" s="36">
        <f t="shared" si="118"/>
        <v>0</v>
      </c>
      <c r="AJ111" s="36">
        <f t="shared" si="111"/>
        <v>0</v>
      </c>
      <c r="AK111" s="36">
        <v>0</v>
      </c>
      <c r="AL111" s="36">
        <v>0</v>
      </c>
      <c r="AM111" s="36">
        <v>0</v>
      </c>
      <c r="AN111" s="36">
        <v>0</v>
      </c>
      <c r="AO111" s="34">
        <f t="shared" si="138"/>
        <v>5.1739400000000005E-2</v>
      </c>
      <c r="AP111" s="34">
        <v>1.9392360000000001E-2</v>
      </c>
      <c r="AQ111" s="34">
        <v>7.2735200000000003E-3</v>
      </c>
      <c r="AR111" s="34">
        <v>2.5073519999999998E-2</v>
      </c>
      <c r="AS111" s="34">
        <v>0</v>
      </c>
      <c r="AT111" s="34">
        <f t="shared" si="134"/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f t="shared" si="135"/>
        <v>0</v>
      </c>
      <c r="AZ111" s="34">
        <v>0</v>
      </c>
      <c r="BA111" s="34">
        <v>0</v>
      </c>
      <c r="BB111" s="34">
        <v>0</v>
      </c>
      <c r="BC111" s="34">
        <v>0</v>
      </c>
    </row>
    <row r="112" spans="1:55" s="55" customFormat="1" ht="31.5" customHeight="1" x14ac:dyDescent="0.25">
      <c r="A112" s="31" t="s">
        <v>137</v>
      </c>
      <c r="B112" s="94" t="s">
        <v>370</v>
      </c>
      <c r="C112" s="32" t="s">
        <v>699</v>
      </c>
      <c r="D112" s="88">
        <v>0</v>
      </c>
      <c r="E112" s="29">
        <f t="shared" si="119"/>
        <v>0</v>
      </c>
      <c r="F112" s="29">
        <f t="shared" si="119"/>
        <v>0</v>
      </c>
      <c r="G112" s="29">
        <f t="shared" si="119"/>
        <v>0</v>
      </c>
      <c r="H112" s="29">
        <f t="shared" si="119"/>
        <v>0</v>
      </c>
      <c r="I112" s="29">
        <f t="shared" si="117"/>
        <v>0</v>
      </c>
      <c r="J112" s="29">
        <f t="shared" si="29"/>
        <v>0</v>
      </c>
      <c r="K112" s="29">
        <v>0</v>
      </c>
      <c r="L112" s="29">
        <v>0</v>
      </c>
      <c r="M112" s="29">
        <v>0</v>
      </c>
      <c r="N112" s="29">
        <v>0</v>
      </c>
      <c r="O112" s="29">
        <f t="shared" si="136"/>
        <v>0</v>
      </c>
      <c r="P112" s="29">
        <v>0</v>
      </c>
      <c r="Q112" s="29">
        <v>0</v>
      </c>
      <c r="R112" s="29">
        <v>0</v>
      </c>
      <c r="S112" s="29">
        <v>0</v>
      </c>
      <c r="T112" s="30">
        <f t="shared" si="132"/>
        <v>0</v>
      </c>
      <c r="U112" s="30">
        <v>0</v>
      </c>
      <c r="V112" s="30">
        <v>0</v>
      </c>
      <c r="W112" s="30">
        <v>0</v>
      </c>
      <c r="X112" s="30">
        <v>0</v>
      </c>
      <c r="Y112" s="30">
        <f t="shared" si="133"/>
        <v>0</v>
      </c>
      <c r="Z112" s="30">
        <v>0</v>
      </c>
      <c r="AA112" s="30">
        <v>0</v>
      </c>
      <c r="AB112" s="30">
        <v>0</v>
      </c>
      <c r="AC112" s="34">
        <v>0</v>
      </c>
      <c r="AD112" s="36">
        <f t="shared" si="137"/>
        <v>0</v>
      </c>
      <c r="AE112" s="36">
        <f t="shared" si="120"/>
        <v>0</v>
      </c>
      <c r="AF112" s="36">
        <f t="shared" si="120"/>
        <v>0</v>
      </c>
      <c r="AG112" s="36">
        <f t="shared" si="120"/>
        <v>0</v>
      </c>
      <c r="AH112" s="36">
        <f t="shared" si="120"/>
        <v>0</v>
      </c>
      <c r="AI112" s="36">
        <f t="shared" si="118"/>
        <v>0</v>
      </c>
      <c r="AJ112" s="36">
        <f t="shared" si="111"/>
        <v>0</v>
      </c>
      <c r="AK112" s="36">
        <v>0</v>
      </c>
      <c r="AL112" s="36">
        <v>0</v>
      </c>
      <c r="AM112" s="36">
        <v>0</v>
      </c>
      <c r="AN112" s="36">
        <v>0</v>
      </c>
      <c r="AO112" s="34">
        <f t="shared" si="138"/>
        <v>0</v>
      </c>
      <c r="AP112" s="34">
        <v>0</v>
      </c>
      <c r="AQ112" s="34">
        <v>0</v>
      </c>
      <c r="AR112" s="34">
        <v>0</v>
      </c>
      <c r="AS112" s="34">
        <v>0</v>
      </c>
      <c r="AT112" s="34">
        <f t="shared" si="134"/>
        <v>0</v>
      </c>
      <c r="AU112" s="34">
        <v>0</v>
      </c>
      <c r="AV112" s="34">
        <v>0</v>
      </c>
      <c r="AW112" s="34">
        <v>0</v>
      </c>
      <c r="AX112" s="34">
        <v>0</v>
      </c>
      <c r="AY112" s="34">
        <f t="shared" si="135"/>
        <v>0</v>
      </c>
      <c r="AZ112" s="34">
        <v>0</v>
      </c>
      <c r="BA112" s="34">
        <v>0</v>
      </c>
      <c r="BB112" s="34">
        <v>0</v>
      </c>
      <c r="BC112" s="34">
        <v>0</v>
      </c>
    </row>
    <row r="113" spans="1:55" s="55" customFormat="1" ht="41.25" customHeight="1" x14ac:dyDescent="0.25">
      <c r="A113" s="31" t="s">
        <v>137</v>
      </c>
      <c r="B113" s="94" t="s">
        <v>478</v>
      </c>
      <c r="C113" s="32" t="s">
        <v>700</v>
      </c>
      <c r="D113" s="88">
        <v>0</v>
      </c>
      <c r="E113" s="29">
        <f t="shared" si="119"/>
        <v>8.4656700000000001E-2</v>
      </c>
      <c r="F113" s="29">
        <f t="shared" si="119"/>
        <v>0</v>
      </c>
      <c r="G113" s="29">
        <f t="shared" si="119"/>
        <v>2.2708884000000002E-2</v>
      </c>
      <c r="H113" s="29">
        <f t="shared" si="119"/>
        <v>6.1947815999999996E-2</v>
      </c>
      <c r="I113" s="29">
        <f t="shared" si="117"/>
        <v>0</v>
      </c>
      <c r="J113" s="29">
        <f t="shared" si="29"/>
        <v>0</v>
      </c>
      <c r="K113" s="29">
        <v>0</v>
      </c>
      <c r="L113" s="29">
        <v>0</v>
      </c>
      <c r="M113" s="29">
        <v>0</v>
      </c>
      <c r="N113" s="29">
        <v>0</v>
      </c>
      <c r="O113" s="29">
        <f t="shared" si="136"/>
        <v>8.4656700000000001E-2</v>
      </c>
      <c r="P113" s="29">
        <v>0</v>
      </c>
      <c r="Q113" s="29">
        <v>2.2708884000000002E-2</v>
      </c>
      <c r="R113" s="29">
        <v>6.1947815999999996E-2</v>
      </c>
      <c r="S113" s="29">
        <v>0</v>
      </c>
      <c r="T113" s="30">
        <f t="shared" si="132"/>
        <v>0</v>
      </c>
      <c r="U113" s="30">
        <v>0</v>
      </c>
      <c r="V113" s="30">
        <v>0</v>
      </c>
      <c r="W113" s="30">
        <v>0</v>
      </c>
      <c r="X113" s="30">
        <v>0</v>
      </c>
      <c r="Y113" s="30">
        <f t="shared" si="133"/>
        <v>0</v>
      </c>
      <c r="Z113" s="30">
        <v>0</v>
      </c>
      <c r="AA113" s="30">
        <v>0</v>
      </c>
      <c r="AB113" s="30">
        <v>0</v>
      </c>
      <c r="AC113" s="34">
        <v>0</v>
      </c>
      <c r="AD113" s="36">
        <f t="shared" si="137"/>
        <v>0</v>
      </c>
      <c r="AE113" s="36">
        <f t="shared" si="120"/>
        <v>7.0547250000000006E-2</v>
      </c>
      <c r="AF113" s="36">
        <f t="shared" si="120"/>
        <v>0</v>
      </c>
      <c r="AG113" s="36">
        <f t="shared" si="120"/>
        <v>1.8924070000000001E-2</v>
      </c>
      <c r="AH113" s="36">
        <f t="shared" si="120"/>
        <v>5.1623179999999998E-2</v>
      </c>
      <c r="AI113" s="36">
        <f t="shared" si="118"/>
        <v>0</v>
      </c>
      <c r="AJ113" s="36">
        <f t="shared" si="111"/>
        <v>0</v>
      </c>
      <c r="AK113" s="36">
        <v>0</v>
      </c>
      <c r="AL113" s="36">
        <v>0</v>
      </c>
      <c r="AM113" s="36">
        <v>0</v>
      </c>
      <c r="AN113" s="36">
        <v>0</v>
      </c>
      <c r="AO113" s="34">
        <f>AP113+AQ113+AR113+AS113</f>
        <v>7.0547250000000006E-2</v>
      </c>
      <c r="AP113" s="34">
        <v>0</v>
      </c>
      <c r="AQ113" s="34">
        <v>1.8924070000000001E-2</v>
      </c>
      <c r="AR113" s="34">
        <v>5.1623179999999998E-2</v>
      </c>
      <c r="AS113" s="34">
        <v>0</v>
      </c>
      <c r="AT113" s="34">
        <f t="shared" si="134"/>
        <v>0</v>
      </c>
      <c r="AU113" s="34">
        <v>0</v>
      </c>
      <c r="AV113" s="34">
        <v>0</v>
      </c>
      <c r="AW113" s="34">
        <v>0</v>
      </c>
      <c r="AX113" s="34">
        <v>0</v>
      </c>
      <c r="AY113" s="34">
        <f t="shared" si="135"/>
        <v>0</v>
      </c>
      <c r="AZ113" s="34">
        <v>0</v>
      </c>
      <c r="BA113" s="34">
        <v>0</v>
      </c>
      <c r="BB113" s="34">
        <v>0</v>
      </c>
      <c r="BC113" s="34">
        <v>0</v>
      </c>
    </row>
    <row r="114" spans="1:55" s="55" customFormat="1" ht="41.25" customHeight="1" x14ac:dyDescent="0.25">
      <c r="A114" s="31" t="s">
        <v>137</v>
      </c>
      <c r="B114" s="94" t="s">
        <v>622</v>
      </c>
      <c r="C114" s="32" t="s">
        <v>701</v>
      </c>
      <c r="D114" s="88">
        <v>0</v>
      </c>
      <c r="E114" s="29">
        <f t="shared" si="119"/>
        <v>1.0646052E-2</v>
      </c>
      <c r="F114" s="29">
        <f t="shared" si="119"/>
        <v>0</v>
      </c>
      <c r="G114" s="29">
        <f t="shared" si="119"/>
        <v>4.6936080000000002E-3</v>
      </c>
      <c r="H114" s="29">
        <f t="shared" si="119"/>
        <v>5.9524440000000003E-3</v>
      </c>
      <c r="I114" s="29">
        <f t="shared" si="117"/>
        <v>0</v>
      </c>
      <c r="J114" s="29">
        <f t="shared" si="29"/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f t="shared" si="136"/>
        <v>1.0646052E-2</v>
      </c>
      <c r="P114" s="29">
        <v>0</v>
      </c>
      <c r="Q114" s="29">
        <v>4.6936080000000002E-3</v>
      </c>
      <c r="R114" s="29">
        <v>5.9524440000000003E-3</v>
      </c>
      <c r="S114" s="29">
        <v>0</v>
      </c>
      <c r="T114" s="30">
        <f t="shared" si="132"/>
        <v>0</v>
      </c>
      <c r="U114" s="30">
        <v>0</v>
      </c>
      <c r="V114" s="30">
        <v>0</v>
      </c>
      <c r="W114" s="30">
        <v>0</v>
      </c>
      <c r="X114" s="30">
        <v>0</v>
      </c>
      <c r="Y114" s="30">
        <f t="shared" si="133"/>
        <v>0</v>
      </c>
      <c r="Z114" s="30">
        <v>0</v>
      </c>
      <c r="AA114" s="30">
        <v>0</v>
      </c>
      <c r="AB114" s="30">
        <v>0</v>
      </c>
      <c r="AC114" s="34">
        <v>0</v>
      </c>
      <c r="AD114" s="36">
        <f t="shared" si="137"/>
        <v>0</v>
      </c>
      <c r="AE114" s="36">
        <f t="shared" si="120"/>
        <v>8.8717100000000014E-3</v>
      </c>
      <c r="AF114" s="36">
        <f t="shared" si="120"/>
        <v>0</v>
      </c>
      <c r="AG114" s="36">
        <f t="shared" si="120"/>
        <v>3.9113400000000001E-3</v>
      </c>
      <c r="AH114" s="36">
        <f t="shared" si="120"/>
        <v>4.9603700000000004E-3</v>
      </c>
      <c r="AI114" s="36">
        <f t="shared" si="118"/>
        <v>0</v>
      </c>
      <c r="AJ114" s="36">
        <f t="shared" si="111"/>
        <v>0</v>
      </c>
      <c r="AK114" s="36">
        <v>0</v>
      </c>
      <c r="AL114" s="36">
        <v>0</v>
      </c>
      <c r="AM114" s="36">
        <v>0</v>
      </c>
      <c r="AN114" s="36">
        <v>0</v>
      </c>
      <c r="AO114" s="34">
        <f>AP114+AQ114+AR114+AS114</f>
        <v>8.8717100000000014E-3</v>
      </c>
      <c r="AP114" s="34">
        <v>0</v>
      </c>
      <c r="AQ114" s="34">
        <v>3.9113400000000001E-3</v>
      </c>
      <c r="AR114" s="34">
        <v>4.9603700000000004E-3</v>
      </c>
      <c r="AS114" s="34">
        <v>0</v>
      </c>
      <c r="AT114" s="34">
        <f t="shared" si="134"/>
        <v>0</v>
      </c>
      <c r="AU114" s="34">
        <v>0</v>
      </c>
      <c r="AV114" s="34">
        <v>0</v>
      </c>
      <c r="AW114" s="34">
        <v>0</v>
      </c>
      <c r="AX114" s="34">
        <v>0</v>
      </c>
      <c r="AY114" s="34">
        <f t="shared" si="135"/>
        <v>0</v>
      </c>
      <c r="AZ114" s="34">
        <v>0</v>
      </c>
      <c r="BA114" s="34">
        <v>0</v>
      </c>
      <c r="BB114" s="34">
        <v>0</v>
      </c>
      <c r="BC114" s="34">
        <v>0</v>
      </c>
    </row>
    <row r="115" spans="1:55" s="55" customFormat="1" ht="41.25" customHeight="1" x14ac:dyDescent="0.25">
      <c r="A115" s="31" t="s">
        <v>137</v>
      </c>
      <c r="B115" s="94" t="s">
        <v>666</v>
      </c>
      <c r="C115" s="32" t="s">
        <v>702</v>
      </c>
      <c r="D115" s="88">
        <v>0</v>
      </c>
      <c r="E115" s="29">
        <f t="shared" si="119"/>
        <v>2.9595599999999993E-2</v>
      </c>
      <c r="F115" s="29">
        <f t="shared" si="119"/>
        <v>2.9595599999999993E-2</v>
      </c>
      <c r="G115" s="29">
        <f t="shared" si="119"/>
        <v>0</v>
      </c>
      <c r="H115" s="29">
        <f t="shared" si="119"/>
        <v>0</v>
      </c>
      <c r="I115" s="29">
        <f t="shared" si="117"/>
        <v>0</v>
      </c>
      <c r="J115" s="29">
        <f t="shared" si="29"/>
        <v>0</v>
      </c>
      <c r="K115" s="29">
        <v>0</v>
      </c>
      <c r="L115" s="29">
        <v>0</v>
      </c>
      <c r="M115" s="29">
        <v>0</v>
      </c>
      <c r="N115" s="29">
        <v>0</v>
      </c>
      <c r="O115" s="29">
        <f t="shared" si="136"/>
        <v>1.9575599999999995E-2</v>
      </c>
      <c r="P115" s="29">
        <v>1.9575599999999995E-2</v>
      </c>
      <c r="Q115" s="29">
        <v>0</v>
      </c>
      <c r="R115" s="29">
        <v>0</v>
      </c>
      <c r="S115" s="29">
        <v>0</v>
      </c>
      <c r="T115" s="30">
        <f t="shared" si="132"/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f t="shared" si="133"/>
        <v>1.0019999999999999E-2</v>
      </c>
      <c r="Z115" s="30">
        <v>1.0019999999999999E-2</v>
      </c>
      <c r="AA115" s="30">
        <v>0</v>
      </c>
      <c r="AB115" s="30">
        <v>0</v>
      </c>
      <c r="AC115" s="34">
        <v>0</v>
      </c>
      <c r="AD115" s="36">
        <f t="shared" si="137"/>
        <v>0</v>
      </c>
      <c r="AE115" s="36">
        <f t="shared" si="120"/>
        <v>0</v>
      </c>
      <c r="AF115" s="36">
        <f t="shared" si="120"/>
        <v>0</v>
      </c>
      <c r="AG115" s="36">
        <f t="shared" si="120"/>
        <v>0</v>
      </c>
      <c r="AH115" s="36">
        <f t="shared" si="120"/>
        <v>0</v>
      </c>
      <c r="AI115" s="36">
        <f t="shared" si="118"/>
        <v>0</v>
      </c>
      <c r="AJ115" s="36">
        <f t="shared" si="111"/>
        <v>0</v>
      </c>
      <c r="AK115" s="36">
        <v>0</v>
      </c>
      <c r="AL115" s="36">
        <v>0</v>
      </c>
      <c r="AM115" s="36">
        <v>0</v>
      </c>
      <c r="AN115" s="36">
        <v>0</v>
      </c>
      <c r="AO115" s="34">
        <f t="shared" ref="AO115:AO118" si="139">AP115+AQ115+AR115+AS115</f>
        <v>0</v>
      </c>
      <c r="AP115" s="34">
        <v>0</v>
      </c>
      <c r="AQ115" s="34">
        <v>0</v>
      </c>
      <c r="AR115" s="34">
        <v>0</v>
      </c>
      <c r="AS115" s="34">
        <v>0</v>
      </c>
      <c r="AT115" s="34">
        <f t="shared" si="134"/>
        <v>0</v>
      </c>
      <c r="AU115" s="34">
        <v>0</v>
      </c>
      <c r="AV115" s="34">
        <v>0</v>
      </c>
      <c r="AW115" s="34">
        <v>0</v>
      </c>
      <c r="AX115" s="34">
        <v>0</v>
      </c>
      <c r="AY115" s="34">
        <f t="shared" si="135"/>
        <v>0</v>
      </c>
      <c r="AZ115" s="34">
        <v>0</v>
      </c>
      <c r="BA115" s="34">
        <v>0</v>
      </c>
      <c r="BB115" s="34">
        <v>0</v>
      </c>
      <c r="BC115" s="34">
        <v>0</v>
      </c>
    </row>
    <row r="116" spans="1:55" s="55" customFormat="1" ht="41.25" customHeight="1" x14ac:dyDescent="0.25">
      <c r="A116" s="31" t="s">
        <v>137</v>
      </c>
      <c r="B116" s="94" t="s">
        <v>667</v>
      </c>
      <c r="C116" s="32" t="s">
        <v>703</v>
      </c>
      <c r="D116" s="88">
        <v>0</v>
      </c>
      <c r="E116" s="29">
        <f t="shared" si="119"/>
        <v>0.15120866400000002</v>
      </c>
      <c r="F116" s="29">
        <f t="shared" si="119"/>
        <v>1.4999999999999999E-2</v>
      </c>
      <c r="G116" s="29">
        <f t="shared" si="119"/>
        <v>0.13620866400000001</v>
      </c>
      <c r="H116" s="29">
        <f t="shared" si="119"/>
        <v>0</v>
      </c>
      <c r="I116" s="29">
        <f t="shared" si="117"/>
        <v>0</v>
      </c>
      <c r="J116" s="29">
        <f t="shared" si="29"/>
        <v>0</v>
      </c>
      <c r="K116" s="29">
        <v>0</v>
      </c>
      <c r="L116" s="29">
        <v>0</v>
      </c>
      <c r="M116" s="29">
        <v>0</v>
      </c>
      <c r="N116" s="29">
        <v>0</v>
      </c>
      <c r="O116" s="29">
        <f t="shared" si="136"/>
        <v>6.0000000000000001E-3</v>
      </c>
      <c r="P116" s="29">
        <v>6.0000000000000001E-3</v>
      </c>
      <c r="Q116" s="29">
        <v>0</v>
      </c>
      <c r="R116" s="29">
        <v>0</v>
      </c>
      <c r="S116" s="29">
        <v>0</v>
      </c>
      <c r="T116" s="30">
        <f t="shared" si="132"/>
        <v>0.14520866400000002</v>
      </c>
      <c r="U116" s="30">
        <v>8.9999999999999993E-3</v>
      </c>
      <c r="V116" s="30">
        <v>0.13620866400000001</v>
      </c>
      <c r="W116" s="30">
        <v>0</v>
      </c>
      <c r="X116" s="30">
        <v>0</v>
      </c>
      <c r="Y116" s="30">
        <f t="shared" si="133"/>
        <v>0</v>
      </c>
      <c r="Z116" s="30">
        <v>0</v>
      </c>
      <c r="AA116" s="30">
        <v>0</v>
      </c>
      <c r="AB116" s="30">
        <v>0</v>
      </c>
      <c r="AC116" s="34">
        <v>0</v>
      </c>
      <c r="AD116" s="36">
        <f t="shared" si="137"/>
        <v>0</v>
      </c>
      <c r="AE116" s="36">
        <f t="shared" si="120"/>
        <v>0</v>
      </c>
      <c r="AF116" s="36">
        <f t="shared" si="120"/>
        <v>0</v>
      </c>
      <c r="AG116" s="36">
        <f t="shared" si="120"/>
        <v>0</v>
      </c>
      <c r="AH116" s="36">
        <f t="shared" si="120"/>
        <v>0</v>
      </c>
      <c r="AI116" s="36">
        <f t="shared" si="118"/>
        <v>0</v>
      </c>
      <c r="AJ116" s="36">
        <f t="shared" si="111"/>
        <v>0</v>
      </c>
      <c r="AK116" s="36">
        <v>0</v>
      </c>
      <c r="AL116" s="36">
        <v>0</v>
      </c>
      <c r="AM116" s="36">
        <v>0</v>
      </c>
      <c r="AN116" s="36">
        <v>0</v>
      </c>
      <c r="AO116" s="34">
        <f t="shared" si="139"/>
        <v>0</v>
      </c>
      <c r="AP116" s="34">
        <v>0</v>
      </c>
      <c r="AQ116" s="34">
        <v>0</v>
      </c>
      <c r="AR116" s="34">
        <v>0</v>
      </c>
      <c r="AS116" s="34">
        <v>0</v>
      </c>
      <c r="AT116" s="34">
        <f t="shared" si="134"/>
        <v>0</v>
      </c>
      <c r="AU116" s="34">
        <v>0</v>
      </c>
      <c r="AV116" s="34">
        <v>0</v>
      </c>
      <c r="AW116" s="34">
        <v>0</v>
      </c>
      <c r="AX116" s="34">
        <v>0</v>
      </c>
      <c r="AY116" s="34">
        <f t="shared" si="135"/>
        <v>0</v>
      </c>
      <c r="AZ116" s="34">
        <v>0</v>
      </c>
      <c r="BA116" s="34">
        <v>0</v>
      </c>
      <c r="BB116" s="34">
        <v>0</v>
      </c>
      <c r="BC116" s="34">
        <v>0</v>
      </c>
    </row>
    <row r="117" spans="1:55" s="55" customFormat="1" ht="41.25" customHeight="1" x14ac:dyDescent="0.25">
      <c r="A117" s="31" t="s">
        <v>137</v>
      </c>
      <c r="B117" s="94" t="s">
        <v>668</v>
      </c>
      <c r="C117" s="32" t="s">
        <v>704</v>
      </c>
      <c r="D117" s="88">
        <v>0</v>
      </c>
      <c r="E117" s="29">
        <f t="shared" si="119"/>
        <v>6.5305595999999994E-2</v>
      </c>
      <c r="F117" s="29">
        <f t="shared" si="119"/>
        <v>3.6101231999999997E-2</v>
      </c>
      <c r="G117" s="29">
        <f t="shared" si="119"/>
        <v>2.9204363999999997E-2</v>
      </c>
      <c r="H117" s="29">
        <f t="shared" si="119"/>
        <v>0</v>
      </c>
      <c r="I117" s="29">
        <f t="shared" si="117"/>
        <v>0</v>
      </c>
      <c r="J117" s="29">
        <f t="shared" si="29"/>
        <v>0</v>
      </c>
      <c r="K117" s="29">
        <v>0</v>
      </c>
      <c r="L117" s="29">
        <v>0</v>
      </c>
      <c r="M117" s="29">
        <v>0</v>
      </c>
      <c r="N117" s="29">
        <v>0</v>
      </c>
      <c r="O117" s="29">
        <f t="shared" si="136"/>
        <v>2.9204363999999997E-2</v>
      </c>
      <c r="P117" s="29">
        <v>0</v>
      </c>
      <c r="Q117" s="29">
        <v>2.9204363999999997E-2</v>
      </c>
      <c r="R117" s="29">
        <v>0</v>
      </c>
      <c r="S117" s="29">
        <v>0</v>
      </c>
      <c r="T117" s="30">
        <f t="shared" si="132"/>
        <v>2.7101231999999999E-2</v>
      </c>
      <c r="U117" s="30">
        <v>2.7101231999999999E-2</v>
      </c>
      <c r="V117" s="30">
        <v>0</v>
      </c>
      <c r="W117" s="30">
        <v>0</v>
      </c>
      <c r="X117" s="30">
        <v>0</v>
      </c>
      <c r="Y117" s="30">
        <f t="shared" si="133"/>
        <v>8.9999999999999993E-3</v>
      </c>
      <c r="Z117" s="30">
        <v>8.9999999999999993E-3</v>
      </c>
      <c r="AA117" s="30">
        <v>0</v>
      </c>
      <c r="AB117" s="30">
        <v>0</v>
      </c>
      <c r="AC117" s="34">
        <v>0</v>
      </c>
      <c r="AD117" s="36">
        <f t="shared" si="137"/>
        <v>0</v>
      </c>
      <c r="AE117" s="36">
        <f t="shared" si="120"/>
        <v>0</v>
      </c>
      <c r="AF117" s="36">
        <f t="shared" si="120"/>
        <v>0</v>
      </c>
      <c r="AG117" s="36">
        <f t="shared" si="120"/>
        <v>0</v>
      </c>
      <c r="AH117" s="36">
        <f t="shared" si="120"/>
        <v>0</v>
      </c>
      <c r="AI117" s="36">
        <f t="shared" si="118"/>
        <v>0</v>
      </c>
      <c r="AJ117" s="36">
        <f t="shared" si="111"/>
        <v>0</v>
      </c>
      <c r="AK117" s="36">
        <v>0</v>
      </c>
      <c r="AL117" s="36">
        <v>0</v>
      </c>
      <c r="AM117" s="36">
        <v>0</v>
      </c>
      <c r="AN117" s="36">
        <v>0</v>
      </c>
      <c r="AO117" s="34">
        <f t="shared" si="139"/>
        <v>0</v>
      </c>
      <c r="AP117" s="34">
        <v>0</v>
      </c>
      <c r="AQ117" s="34">
        <v>0</v>
      </c>
      <c r="AR117" s="34">
        <v>0</v>
      </c>
      <c r="AS117" s="34">
        <v>0</v>
      </c>
      <c r="AT117" s="34">
        <f t="shared" si="134"/>
        <v>0</v>
      </c>
      <c r="AU117" s="34">
        <v>0</v>
      </c>
      <c r="AV117" s="34">
        <v>0</v>
      </c>
      <c r="AW117" s="34">
        <v>0</v>
      </c>
      <c r="AX117" s="34">
        <v>0</v>
      </c>
      <c r="AY117" s="34">
        <f t="shared" si="135"/>
        <v>0</v>
      </c>
      <c r="AZ117" s="34">
        <v>0</v>
      </c>
      <c r="BA117" s="34">
        <v>0</v>
      </c>
      <c r="BB117" s="34">
        <v>0</v>
      </c>
      <c r="BC117" s="34">
        <v>0</v>
      </c>
    </row>
    <row r="118" spans="1:55" s="55" customFormat="1" ht="41.25" customHeight="1" x14ac:dyDescent="0.25">
      <c r="A118" s="31" t="s">
        <v>137</v>
      </c>
      <c r="B118" s="94" t="s">
        <v>479</v>
      </c>
      <c r="C118" s="32" t="s">
        <v>705</v>
      </c>
      <c r="D118" s="88">
        <v>0</v>
      </c>
      <c r="E118" s="29">
        <f t="shared" si="119"/>
        <v>5.2426415999999997E-2</v>
      </c>
      <c r="F118" s="29">
        <f t="shared" si="119"/>
        <v>0</v>
      </c>
      <c r="G118" s="29">
        <f t="shared" si="119"/>
        <v>1.8317927999999997E-2</v>
      </c>
      <c r="H118" s="29">
        <f t="shared" si="119"/>
        <v>3.4108487999999999E-2</v>
      </c>
      <c r="I118" s="29">
        <f t="shared" si="117"/>
        <v>0</v>
      </c>
      <c r="J118" s="29">
        <f t="shared" si="29"/>
        <v>0</v>
      </c>
      <c r="K118" s="29">
        <v>0</v>
      </c>
      <c r="L118" s="29">
        <v>0</v>
      </c>
      <c r="M118" s="29">
        <v>0</v>
      </c>
      <c r="N118" s="29">
        <v>0</v>
      </c>
      <c r="O118" s="29">
        <f t="shared" si="136"/>
        <v>5.2426415999999997E-2</v>
      </c>
      <c r="P118" s="29">
        <v>0</v>
      </c>
      <c r="Q118" s="29">
        <v>1.8317927999999997E-2</v>
      </c>
      <c r="R118" s="29">
        <v>3.4108487999999999E-2</v>
      </c>
      <c r="S118" s="29">
        <v>0</v>
      </c>
      <c r="T118" s="30">
        <f t="shared" si="132"/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f t="shared" si="133"/>
        <v>0</v>
      </c>
      <c r="Z118" s="30">
        <v>0</v>
      </c>
      <c r="AA118" s="30">
        <v>0</v>
      </c>
      <c r="AB118" s="30">
        <v>0</v>
      </c>
      <c r="AC118" s="34">
        <v>0</v>
      </c>
      <c r="AD118" s="36">
        <f t="shared" si="137"/>
        <v>0</v>
      </c>
      <c r="AE118" s="36">
        <f t="shared" si="120"/>
        <v>8.2340609999999995E-2</v>
      </c>
      <c r="AF118" s="36">
        <f t="shared" si="120"/>
        <v>1.7255E-2</v>
      </c>
      <c r="AG118" s="36">
        <f t="shared" si="120"/>
        <v>3.6661869999999999E-2</v>
      </c>
      <c r="AH118" s="36">
        <f t="shared" si="120"/>
        <v>2.8423739999999999E-2</v>
      </c>
      <c r="AI118" s="36">
        <f t="shared" si="118"/>
        <v>0</v>
      </c>
      <c r="AJ118" s="36">
        <f t="shared" si="111"/>
        <v>0</v>
      </c>
      <c r="AK118" s="36">
        <v>0</v>
      </c>
      <c r="AL118" s="36">
        <v>0</v>
      </c>
      <c r="AM118" s="36">
        <v>0</v>
      </c>
      <c r="AN118" s="36">
        <v>0</v>
      </c>
      <c r="AO118" s="34">
        <f t="shared" si="139"/>
        <v>8.2340609999999995E-2</v>
      </c>
      <c r="AP118" s="34">
        <v>1.7255E-2</v>
      </c>
      <c r="AQ118" s="34">
        <v>3.6661869999999999E-2</v>
      </c>
      <c r="AR118" s="34">
        <v>2.8423739999999999E-2</v>
      </c>
      <c r="AS118" s="34">
        <v>0</v>
      </c>
      <c r="AT118" s="34">
        <f t="shared" si="134"/>
        <v>0</v>
      </c>
      <c r="AU118" s="34">
        <v>0</v>
      </c>
      <c r="AV118" s="34">
        <v>0</v>
      </c>
      <c r="AW118" s="34">
        <v>0</v>
      </c>
      <c r="AX118" s="34">
        <v>0</v>
      </c>
      <c r="AY118" s="34">
        <f t="shared" si="135"/>
        <v>0</v>
      </c>
      <c r="AZ118" s="34">
        <v>0</v>
      </c>
      <c r="BA118" s="34">
        <v>0</v>
      </c>
      <c r="BB118" s="34">
        <v>0</v>
      </c>
      <c r="BC118" s="34">
        <v>0</v>
      </c>
    </row>
    <row r="119" spans="1:55" s="55" customFormat="1" ht="41.25" customHeight="1" x14ac:dyDescent="0.25">
      <c r="A119" s="31" t="s">
        <v>137</v>
      </c>
      <c r="B119" s="94" t="s">
        <v>623</v>
      </c>
      <c r="C119" s="32" t="s">
        <v>706</v>
      </c>
      <c r="D119" s="88">
        <v>0</v>
      </c>
      <c r="E119" s="29">
        <f t="shared" si="119"/>
        <v>7.619224799999999E-2</v>
      </c>
      <c r="F119" s="29">
        <f t="shared" si="119"/>
        <v>0</v>
      </c>
      <c r="G119" s="29">
        <f t="shared" si="119"/>
        <v>2.1513312E-2</v>
      </c>
      <c r="H119" s="29">
        <f t="shared" si="119"/>
        <v>5.467893599999999E-2</v>
      </c>
      <c r="I119" s="29">
        <f t="shared" si="117"/>
        <v>0</v>
      </c>
      <c r="J119" s="29">
        <v>0</v>
      </c>
      <c r="K119" s="29">
        <v>0</v>
      </c>
      <c r="L119" s="29">
        <v>0</v>
      </c>
      <c r="M119" s="29">
        <v>0</v>
      </c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30">
        <f t="shared" si="132"/>
        <v>7.619224799999999E-2</v>
      </c>
      <c r="U119" s="30">
        <v>0</v>
      </c>
      <c r="V119" s="30">
        <v>2.1513312E-2</v>
      </c>
      <c r="W119" s="30">
        <v>5.467893599999999E-2</v>
      </c>
      <c r="X119" s="30">
        <v>0</v>
      </c>
      <c r="Y119" s="30">
        <f t="shared" si="133"/>
        <v>0</v>
      </c>
      <c r="Z119" s="30">
        <v>0</v>
      </c>
      <c r="AA119" s="30">
        <v>0</v>
      </c>
      <c r="AB119" s="30">
        <v>0</v>
      </c>
      <c r="AC119" s="34">
        <v>0</v>
      </c>
      <c r="AD119" s="36">
        <f t="shared" si="137"/>
        <v>0</v>
      </c>
      <c r="AE119" s="36">
        <f t="shared" si="120"/>
        <v>6.3493539999999987E-2</v>
      </c>
      <c r="AF119" s="36">
        <f t="shared" si="120"/>
        <v>0</v>
      </c>
      <c r="AG119" s="36">
        <f t="shared" si="120"/>
        <v>1.7927760000000001E-2</v>
      </c>
      <c r="AH119" s="36">
        <f t="shared" si="120"/>
        <v>4.5565779999999993E-2</v>
      </c>
      <c r="AI119" s="36">
        <f t="shared" si="118"/>
        <v>0</v>
      </c>
      <c r="AJ119" s="36">
        <f t="shared" si="111"/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0</v>
      </c>
      <c r="AQ119" s="36">
        <v>0</v>
      </c>
      <c r="AR119" s="36">
        <v>0</v>
      </c>
      <c r="AS119" s="36">
        <v>0</v>
      </c>
      <c r="AT119" s="34">
        <f t="shared" si="134"/>
        <v>6.3493539999999987E-2</v>
      </c>
      <c r="AU119" s="34">
        <v>0</v>
      </c>
      <c r="AV119" s="34">
        <v>1.7927760000000001E-2</v>
      </c>
      <c r="AW119" s="34">
        <v>4.5565779999999993E-2</v>
      </c>
      <c r="AX119" s="34">
        <v>0</v>
      </c>
      <c r="AY119" s="34">
        <f t="shared" si="135"/>
        <v>0</v>
      </c>
      <c r="AZ119" s="34">
        <v>0</v>
      </c>
      <c r="BA119" s="34">
        <v>0</v>
      </c>
      <c r="BB119" s="34">
        <v>0</v>
      </c>
      <c r="BC119" s="34">
        <v>0</v>
      </c>
    </row>
    <row r="120" spans="1:55" s="55" customFormat="1" ht="41.25" customHeight="1" x14ac:dyDescent="0.25">
      <c r="A120" s="31" t="s">
        <v>137</v>
      </c>
      <c r="B120" s="94" t="s">
        <v>624</v>
      </c>
      <c r="C120" s="32" t="s">
        <v>707</v>
      </c>
      <c r="D120" s="88">
        <v>0</v>
      </c>
      <c r="E120" s="29">
        <f t="shared" si="119"/>
        <v>8.7985811999999997E-2</v>
      </c>
      <c r="F120" s="29">
        <f t="shared" si="119"/>
        <v>0</v>
      </c>
      <c r="G120" s="29">
        <f t="shared" si="119"/>
        <v>2.3358371999999999E-2</v>
      </c>
      <c r="H120" s="29">
        <f t="shared" si="119"/>
        <v>6.4627439999999994E-2</v>
      </c>
      <c r="I120" s="29">
        <f t="shared" si="117"/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95">
        <v>0</v>
      </c>
      <c r="Q120" s="95">
        <v>0</v>
      </c>
      <c r="R120" s="95">
        <v>0</v>
      </c>
      <c r="S120" s="95">
        <v>0</v>
      </c>
      <c r="T120" s="30">
        <f t="shared" si="132"/>
        <v>8.7985811999999997E-2</v>
      </c>
      <c r="U120" s="30">
        <v>0</v>
      </c>
      <c r="V120" s="30">
        <v>2.3358371999999999E-2</v>
      </c>
      <c r="W120" s="30">
        <v>6.4627439999999994E-2</v>
      </c>
      <c r="X120" s="30">
        <v>0</v>
      </c>
      <c r="Y120" s="30">
        <f t="shared" si="133"/>
        <v>0</v>
      </c>
      <c r="Z120" s="30">
        <v>0</v>
      </c>
      <c r="AA120" s="30">
        <v>0</v>
      </c>
      <c r="AB120" s="30">
        <v>0</v>
      </c>
      <c r="AC120" s="34">
        <v>0</v>
      </c>
      <c r="AD120" s="36">
        <v>0</v>
      </c>
      <c r="AE120" s="36">
        <f t="shared" si="120"/>
        <v>7.3321510000000006E-2</v>
      </c>
      <c r="AF120" s="36">
        <f t="shared" si="120"/>
        <v>0</v>
      </c>
      <c r="AG120" s="36">
        <f t="shared" si="120"/>
        <v>1.946531E-2</v>
      </c>
      <c r="AH120" s="36">
        <f t="shared" si="120"/>
        <v>5.38562E-2</v>
      </c>
      <c r="AI120" s="36">
        <f t="shared" si="118"/>
        <v>0</v>
      </c>
      <c r="AJ120" s="36">
        <f t="shared" ref="AJ120:AJ121" si="140">AK120+AL120+AM120+AN120</f>
        <v>0</v>
      </c>
      <c r="AK120" s="36">
        <v>0</v>
      </c>
      <c r="AL120" s="36">
        <v>0</v>
      </c>
      <c r="AM120" s="36">
        <v>0</v>
      </c>
      <c r="AN120" s="36">
        <v>0</v>
      </c>
      <c r="AO120" s="34">
        <v>0</v>
      </c>
      <c r="AP120" s="34">
        <v>0</v>
      </c>
      <c r="AQ120" s="34">
        <v>0</v>
      </c>
      <c r="AR120" s="34">
        <v>0</v>
      </c>
      <c r="AS120" s="34">
        <v>0</v>
      </c>
      <c r="AT120" s="34">
        <f t="shared" si="134"/>
        <v>7.3321510000000006E-2</v>
      </c>
      <c r="AU120" s="34">
        <v>0</v>
      </c>
      <c r="AV120" s="34">
        <v>1.946531E-2</v>
      </c>
      <c r="AW120" s="34">
        <f>53.8562/1000</f>
        <v>5.38562E-2</v>
      </c>
      <c r="AX120" s="34">
        <v>0</v>
      </c>
      <c r="AY120" s="34">
        <f t="shared" si="135"/>
        <v>0</v>
      </c>
      <c r="AZ120" s="34">
        <v>0</v>
      </c>
      <c r="BA120" s="34">
        <v>0</v>
      </c>
      <c r="BB120" s="34">
        <v>0</v>
      </c>
      <c r="BC120" s="34">
        <v>0</v>
      </c>
    </row>
    <row r="121" spans="1:55" ht="41.25" customHeight="1" x14ac:dyDescent="0.25">
      <c r="A121" s="31" t="s">
        <v>137</v>
      </c>
      <c r="B121" s="94" t="s">
        <v>625</v>
      </c>
      <c r="C121" s="32" t="s">
        <v>579</v>
      </c>
      <c r="D121" s="88">
        <v>0</v>
      </c>
      <c r="E121" s="29">
        <f t="shared" si="119"/>
        <v>0</v>
      </c>
      <c r="F121" s="29">
        <f t="shared" si="119"/>
        <v>0</v>
      </c>
      <c r="G121" s="29">
        <f t="shared" si="119"/>
        <v>0</v>
      </c>
      <c r="H121" s="29">
        <f t="shared" si="119"/>
        <v>0</v>
      </c>
      <c r="I121" s="29">
        <f t="shared" si="117"/>
        <v>0</v>
      </c>
      <c r="J121" s="29">
        <v>0</v>
      </c>
      <c r="K121" s="29">
        <v>0</v>
      </c>
      <c r="L121" s="29">
        <v>0</v>
      </c>
      <c r="M121" s="29">
        <v>0</v>
      </c>
      <c r="N121" s="29">
        <v>0</v>
      </c>
      <c r="O121" s="29">
        <v>0</v>
      </c>
      <c r="P121" s="95">
        <v>0</v>
      </c>
      <c r="Q121" s="95">
        <v>0</v>
      </c>
      <c r="R121" s="95">
        <v>0</v>
      </c>
      <c r="S121" s="95">
        <v>0</v>
      </c>
      <c r="T121" s="30">
        <f t="shared" si="132"/>
        <v>0</v>
      </c>
      <c r="U121" s="30">
        <v>0</v>
      </c>
      <c r="V121" s="30">
        <v>0</v>
      </c>
      <c r="W121" s="30">
        <v>0</v>
      </c>
      <c r="X121" s="30">
        <v>0</v>
      </c>
      <c r="Y121" s="30">
        <f t="shared" si="133"/>
        <v>0</v>
      </c>
      <c r="Z121" s="30">
        <v>0</v>
      </c>
      <c r="AA121" s="30">
        <v>0</v>
      </c>
      <c r="AB121" s="30">
        <v>0</v>
      </c>
      <c r="AC121" s="30">
        <v>0</v>
      </c>
      <c r="AD121" s="36">
        <v>0</v>
      </c>
      <c r="AE121" s="36">
        <f t="shared" si="120"/>
        <v>0</v>
      </c>
      <c r="AF121" s="29">
        <f t="shared" si="120"/>
        <v>0</v>
      </c>
      <c r="AG121" s="29">
        <f t="shared" si="120"/>
        <v>0</v>
      </c>
      <c r="AH121" s="29">
        <f t="shared" si="120"/>
        <v>0</v>
      </c>
      <c r="AI121" s="29">
        <f t="shared" si="118"/>
        <v>0</v>
      </c>
      <c r="AJ121" s="29">
        <f t="shared" si="140"/>
        <v>0</v>
      </c>
      <c r="AK121" s="29">
        <v>0</v>
      </c>
      <c r="AL121" s="29">
        <v>0</v>
      </c>
      <c r="AM121" s="29">
        <v>0</v>
      </c>
      <c r="AN121" s="29">
        <v>0</v>
      </c>
      <c r="AO121" s="30">
        <v>0</v>
      </c>
      <c r="AP121" s="30">
        <v>0</v>
      </c>
      <c r="AQ121" s="30">
        <v>0</v>
      </c>
      <c r="AR121" s="30">
        <v>0</v>
      </c>
      <c r="AS121" s="30">
        <v>0</v>
      </c>
      <c r="AT121" s="30">
        <v>0</v>
      </c>
      <c r="AU121" s="30">
        <v>0</v>
      </c>
      <c r="AV121" s="30">
        <v>0</v>
      </c>
      <c r="AW121" s="30">
        <v>0</v>
      </c>
      <c r="AX121" s="30">
        <v>0</v>
      </c>
      <c r="AY121" s="30">
        <f t="shared" si="135"/>
        <v>0</v>
      </c>
      <c r="AZ121" s="30">
        <v>0</v>
      </c>
      <c r="BA121" s="30">
        <v>0</v>
      </c>
      <c r="BB121" s="30">
        <v>0</v>
      </c>
      <c r="BC121" s="30">
        <v>0</v>
      </c>
    </row>
    <row r="122" spans="1:55" s="55" customFormat="1" ht="41.25" customHeight="1" x14ac:dyDescent="0.25">
      <c r="A122" s="31" t="s">
        <v>137</v>
      </c>
      <c r="B122" s="94" t="s">
        <v>710</v>
      </c>
      <c r="C122" s="32" t="s">
        <v>708</v>
      </c>
      <c r="D122" s="88">
        <v>0</v>
      </c>
      <c r="E122" s="29">
        <f t="shared" si="119"/>
        <v>0.14971962</v>
      </c>
      <c r="F122" s="29">
        <f t="shared" si="119"/>
        <v>2.7307631999999998E-2</v>
      </c>
      <c r="G122" s="29">
        <f t="shared" si="119"/>
        <v>6.6943091999999996E-2</v>
      </c>
      <c r="H122" s="29">
        <f t="shared" si="119"/>
        <v>5.5468896000000004E-2</v>
      </c>
      <c r="I122" s="29">
        <f t="shared" si="117"/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95">
        <v>0</v>
      </c>
      <c r="Q122" s="95">
        <v>0</v>
      </c>
      <c r="R122" s="95">
        <v>0</v>
      </c>
      <c r="S122" s="95">
        <v>0</v>
      </c>
      <c r="T122" s="30">
        <f t="shared" si="132"/>
        <v>7.0687572000000004E-2</v>
      </c>
      <c r="U122" s="30">
        <v>2.7307631999999998E-2</v>
      </c>
      <c r="V122" s="30">
        <v>4.3379939999999999E-2</v>
      </c>
      <c r="W122" s="30">
        <v>0</v>
      </c>
      <c r="X122" s="30">
        <v>0</v>
      </c>
      <c r="Y122" s="30">
        <f>+Z122+AA122+AB122+AC122</f>
        <v>7.9032048000000008E-2</v>
      </c>
      <c r="Z122" s="30">
        <v>0</v>
      </c>
      <c r="AA122" s="30">
        <v>2.3563152E-2</v>
      </c>
      <c r="AB122" s="30">
        <v>5.5468896000000004E-2</v>
      </c>
      <c r="AC122" s="34">
        <v>0</v>
      </c>
      <c r="AD122" s="36">
        <v>0</v>
      </c>
      <c r="AE122" s="36">
        <f t="shared" si="120"/>
        <v>0.12476635</v>
      </c>
      <c r="AF122" s="36">
        <f t="shared" si="120"/>
        <v>2.275636E-2</v>
      </c>
      <c r="AG122" s="36">
        <f t="shared" si="120"/>
        <v>5.5785910000000001E-2</v>
      </c>
      <c r="AH122" s="36">
        <f t="shared" si="120"/>
        <v>4.6224080000000001E-2</v>
      </c>
      <c r="AI122" s="36">
        <f t="shared" si="118"/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4">
        <v>0</v>
      </c>
      <c r="AP122" s="34">
        <v>0</v>
      </c>
      <c r="AQ122" s="34">
        <v>0</v>
      </c>
      <c r="AR122" s="34">
        <v>0</v>
      </c>
      <c r="AS122" s="34">
        <v>0</v>
      </c>
      <c r="AT122" s="34">
        <v>0</v>
      </c>
      <c r="AU122" s="34">
        <v>0</v>
      </c>
      <c r="AV122" s="34">
        <v>0</v>
      </c>
      <c r="AW122" s="34">
        <v>0</v>
      </c>
      <c r="AX122" s="34">
        <v>0</v>
      </c>
      <c r="AY122" s="34">
        <f t="shared" si="135"/>
        <v>0.12476635</v>
      </c>
      <c r="AZ122" s="34">
        <v>2.275636E-2</v>
      </c>
      <c r="BA122" s="34">
        <v>5.5785910000000001E-2</v>
      </c>
      <c r="BB122" s="34">
        <v>4.6224080000000001E-2</v>
      </c>
      <c r="BC122" s="34">
        <v>0</v>
      </c>
    </row>
    <row r="123" spans="1:55" s="55" customFormat="1" ht="41.25" customHeight="1" x14ac:dyDescent="0.25">
      <c r="A123" s="31" t="s">
        <v>137</v>
      </c>
      <c r="B123" s="94" t="s">
        <v>711</v>
      </c>
      <c r="C123" s="32" t="s">
        <v>709</v>
      </c>
      <c r="D123" s="88">
        <v>0</v>
      </c>
      <c r="E123" s="29">
        <f t="shared" si="119"/>
        <v>1.9680468E-2</v>
      </c>
      <c r="F123" s="29">
        <f t="shared" si="119"/>
        <v>0</v>
      </c>
      <c r="G123" s="29">
        <f t="shared" si="119"/>
        <v>4.4280480000000004E-3</v>
      </c>
      <c r="H123" s="29">
        <f t="shared" si="119"/>
        <v>1.5252419999999999E-2</v>
      </c>
      <c r="I123" s="29">
        <f t="shared" si="117"/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0</v>
      </c>
      <c r="P123" s="95">
        <v>0</v>
      </c>
      <c r="Q123" s="95">
        <v>0</v>
      </c>
      <c r="R123" s="95">
        <v>0</v>
      </c>
      <c r="S123" s="95">
        <v>0</v>
      </c>
      <c r="T123" s="30">
        <v>0</v>
      </c>
      <c r="U123" s="30">
        <v>0</v>
      </c>
      <c r="V123" s="30">
        <v>0</v>
      </c>
      <c r="W123" s="30">
        <v>0</v>
      </c>
      <c r="X123" s="30">
        <v>0</v>
      </c>
      <c r="Y123" s="30">
        <f>Z123+AA123+AB123+AC123</f>
        <v>1.9680468E-2</v>
      </c>
      <c r="Z123" s="30">
        <v>0</v>
      </c>
      <c r="AA123" s="30">
        <v>4.4280480000000004E-3</v>
      </c>
      <c r="AB123" s="30">
        <v>1.5252419999999999E-2</v>
      </c>
      <c r="AC123" s="34">
        <v>0</v>
      </c>
      <c r="AD123" s="36">
        <v>0</v>
      </c>
      <c r="AE123" s="36">
        <f t="shared" si="120"/>
        <v>1.6400390000000001E-2</v>
      </c>
      <c r="AF123" s="36">
        <f t="shared" si="120"/>
        <v>0</v>
      </c>
      <c r="AG123" s="36">
        <f t="shared" si="120"/>
        <v>3.6900400000000003E-3</v>
      </c>
      <c r="AH123" s="36">
        <f t="shared" si="120"/>
        <v>1.271035E-2</v>
      </c>
      <c r="AI123" s="36">
        <f t="shared" si="118"/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4">
        <v>0</v>
      </c>
      <c r="AP123" s="34">
        <v>0</v>
      </c>
      <c r="AQ123" s="34">
        <v>0</v>
      </c>
      <c r="AR123" s="34">
        <v>0</v>
      </c>
      <c r="AS123" s="34">
        <v>0</v>
      </c>
      <c r="AT123" s="34">
        <v>0</v>
      </c>
      <c r="AU123" s="34">
        <v>0</v>
      </c>
      <c r="AV123" s="34">
        <v>0</v>
      </c>
      <c r="AW123" s="34">
        <v>0</v>
      </c>
      <c r="AX123" s="34">
        <v>0</v>
      </c>
      <c r="AY123" s="34">
        <f t="shared" si="135"/>
        <v>1.6400390000000001E-2</v>
      </c>
      <c r="AZ123" s="34">
        <v>0</v>
      </c>
      <c r="BA123" s="34">
        <v>3.6900400000000003E-3</v>
      </c>
      <c r="BB123" s="34">
        <v>1.271035E-2</v>
      </c>
      <c r="BC123" s="34">
        <v>0</v>
      </c>
    </row>
    <row r="124" spans="1:55" s="55" customFormat="1" ht="45.75" customHeight="1" x14ac:dyDescent="0.25">
      <c r="A124" s="71" t="s">
        <v>141</v>
      </c>
      <c r="B124" s="78" t="s">
        <v>142</v>
      </c>
      <c r="C124" s="79" t="s">
        <v>101</v>
      </c>
      <c r="D124" s="84">
        <v>0</v>
      </c>
      <c r="E124" s="75">
        <f t="shared" si="119"/>
        <v>0</v>
      </c>
      <c r="F124" s="75">
        <f t="shared" si="119"/>
        <v>0</v>
      </c>
      <c r="G124" s="75">
        <f t="shared" si="119"/>
        <v>0</v>
      </c>
      <c r="H124" s="75">
        <f t="shared" si="119"/>
        <v>0</v>
      </c>
      <c r="I124" s="75">
        <f t="shared" si="117"/>
        <v>0</v>
      </c>
      <c r="J124" s="75">
        <v>0</v>
      </c>
      <c r="K124" s="75">
        <v>0</v>
      </c>
      <c r="L124" s="75">
        <v>0</v>
      </c>
      <c r="M124" s="75">
        <v>0</v>
      </c>
      <c r="N124" s="75">
        <v>0</v>
      </c>
      <c r="O124" s="75">
        <v>0</v>
      </c>
      <c r="P124" s="76">
        <v>0</v>
      </c>
      <c r="Q124" s="76">
        <v>0</v>
      </c>
      <c r="R124" s="76">
        <v>0</v>
      </c>
      <c r="S124" s="76">
        <v>0</v>
      </c>
      <c r="T124" s="118">
        <v>0</v>
      </c>
      <c r="U124" s="118">
        <v>0</v>
      </c>
      <c r="V124" s="118">
        <v>0</v>
      </c>
      <c r="W124" s="118">
        <v>0</v>
      </c>
      <c r="X124" s="118">
        <v>0</v>
      </c>
      <c r="Y124" s="118">
        <v>0</v>
      </c>
      <c r="Z124" s="118">
        <v>0</v>
      </c>
      <c r="AA124" s="118">
        <v>0</v>
      </c>
      <c r="AB124" s="118">
        <v>0</v>
      </c>
      <c r="AC124" s="53">
        <v>0</v>
      </c>
      <c r="AD124" s="35">
        <f>D124/1.2</f>
        <v>0</v>
      </c>
      <c r="AE124" s="35">
        <f t="shared" si="120"/>
        <v>0</v>
      </c>
      <c r="AF124" s="35">
        <f t="shared" si="120"/>
        <v>0</v>
      </c>
      <c r="AG124" s="35">
        <f t="shared" si="120"/>
        <v>0</v>
      </c>
      <c r="AH124" s="35">
        <f t="shared" si="120"/>
        <v>0</v>
      </c>
      <c r="AI124" s="35">
        <f t="shared" si="118"/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53">
        <v>0</v>
      </c>
      <c r="AP124" s="53">
        <v>0</v>
      </c>
      <c r="AQ124" s="53">
        <v>0</v>
      </c>
      <c r="AR124" s="53">
        <v>0</v>
      </c>
      <c r="AS124" s="53">
        <v>0</v>
      </c>
      <c r="AT124" s="53">
        <v>0</v>
      </c>
      <c r="AU124" s="53">
        <v>0</v>
      </c>
      <c r="AV124" s="53">
        <v>0</v>
      </c>
      <c r="AW124" s="53">
        <v>0</v>
      </c>
      <c r="AX124" s="53">
        <v>0</v>
      </c>
      <c r="AY124" s="53">
        <v>0</v>
      </c>
      <c r="AZ124" s="53">
        <v>0</v>
      </c>
      <c r="BA124" s="53">
        <v>0</v>
      </c>
      <c r="BB124" s="53">
        <v>0</v>
      </c>
      <c r="BC124" s="53">
        <v>0</v>
      </c>
    </row>
    <row r="125" spans="1:55" s="55" customFormat="1" ht="39.75" customHeight="1" x14ac:dyDescent="0.25">
      <c r="A125" s="71" t="s">
        <v>53</v>
      </c>
      <c r="B125" s="78" t="s">
        <v>143</v>
      </c>
      <c r="C125" s="79" t="s">
        <v>101</v>
      </c>
      <c r="D125" s="84">
        <f>D126+D274+D390</f>
        <v>160.74550229056274</v>
      </c>
      <c r="E125" s="75">
        <f t="shared" si="119"/>
        <v>115.12294576799999</v>
      </c>
      <c r="F125" s="75">
        <f t="shared" si="119"/>
        <v>1.56500226</v>
      </c>
      <c r="G125" s="75">
        <f t="shared" si="119"/>
        <v>32.307248244</v>
      </c>
      <c r="H125" s="75">
        <f t="shared" si="119"/>
        <v>81.250695263999987</v>
      </c>
      <c r="I125" s="75">
        <f t="shared" ref="I125:I188" si="141">N125+S125+X125+AC125</f>
        <v>0</v>
      </c>
      <c r="J125" s="84">
        <f>J126+J274+J390</f>
        <v>22.333238231999999</v>
      </c>
      <c r="K125" s="84">
        <f t="shared" ref="K125:N125" si="142">K126+K274+K390</f>
        <v>0.14994014399999997</v>
      </c>
      <c r="L125" s="84">
        <f t="shared" si="142"/>
        <v>3.5844751319999997</v>
      </c>
      <c r="M125" s="84">
        <f t="shared" si="142"/>
        <v>18.598822955999996</v>
      </c>
      <c r="N125" s="84">
        <f t="shared" si="142"/>
        <v>0</v>
      </c>
      <c r="O125" s="84">
        <f t="shared" ref="O125:AC125" si="143">O126+O274+O390</f>
        <v>11.432494152000004</v>
      </c>
      <c r="P125" s="84">
        <f t="shared" si="143"/>
        <v>0.38631748799999999</v>
      </c>
      <c r="Q125" s="84">
        <f t="shared" si="143"/>
        <v>4.0824268799999999</v>
      </c>
      <c r="R125" s="84">
        <f t="shared" si="143"/>
        <v>6.9637497839999973</v>
      </c>
      <c r="S125" s="84">
        <f t="shared" si="143"/>
        <v>0</v>
      </c>
      <c r="T125" s="118">
        <f t="shared" si="143"/>
        <v>17.201938164000001</v>
      </c>
      <c r="U125" s="118">
        <f t="shared" si="143"/>
        <v>0.437061276</v>
      </c>
      <c r="V125" s="118">
        <f t="shared" si="143"/>
        <v>4.9189594079999992</v>
      </c>
      <c r="W125" s="118">
        <f t="shared" si="143"/>
        <v>11.845917479999999</v>
      </c>
      <c r="X125" s="118">
        <f t="shared" si="143"/>
        <v>0</v>
      </c>
      <c r="Y125" s="118">
        <f t="shared" si="143"/>
        <v>64.155275219999993</v>
      </c>
      <c r="Z125" s="118">
        <f t="shared" si="143"/>
        <v>0.59168335199999988</v>
      </c>
      <c r="AA125" s="118">
        <f t="shared" si="143"/>
        <v>19.721386824000003</v>
      </c>
      <c r="AB125" s="118">
        <f t="shared" si="143"/>
        <v>43.842205043999996</v>
      </c>
      <c r="AC125" s="53">
        <f t="shared" si="143"/>
        <v>0</v>
      </c>
      <c r="AD125" s="35">
        <f>AD126+AD273+AD390</f>
        <v>133.9545862321356</v>
      </c>
      <c r="AE125" s="35">
        <f t="shared" si="120"/>
        <v>99.295148390000008</v>
      </c>
      <c r="AF125" s="35">
        <f t="shared" si="120"/>
        <v>1.6801531819999997</v>
      </c>
      <c r="AG125" s="35">
        <f t="shared" si="120"/>
        <v>43.714891279999996</v>
      </c>
      <c r="AH125" s="35">
        <f t="shared" si="120"/>
        <v>58.887699760000011</v>
      </c>
      <c r="AI125" s="35">
        <f t="shared" ref="AI125:AI188" si="144">AN125+AS125+AX125+BC125</f>
        <v>2.4937979159999997</v>
      </c>
      <c r="AJ125" s="35">
        <f t="shared" ref="AJ125:BC125" si="145">AJ126+AJ274+AJ390</f>
        <v>21.773626309999997</v>
      </c>
      <c r="AK125" s="35">
        <f t="shared" si="145"/>
        <v>0.22102147</v>
      </c>
      <c r="AL125" s="35">
        <f t="shared" si="145"/>
        <v>6.2433836300000003</v>
      </c>
      <c r="AM125" s="35">
        <f t="shared" si="145"/>
        <v>15.30922121</v>
      </c>
      <c r="AN125" s="35">
        <f t="shared" si="145"/>
        <v>0</v>
      </c>
      <c r="AO125" s="35">
        <f t="shared" si="145"/>
        <v>9.7814750599999982</v>
      </c>
      <c r="AP125" s="35">
        <f t="shared" si="145"/>
        <v>0.303656806</v>
      </c>
      <c r="AQ125" s="35">
        <f t="shared" si="145"/>
        <v>6.0186027499999994</v>
      </c>
      <c r="AR125" s="35">
        <f t="shared" si="145"/>
        <v>5.9530134200000013</v>
      </c>
      <c r="AS125" s="35">
        <f t="shared" si="145"/>
        <v>2.4937979159999997</v>
      </c>
      <c r="AT125" s="35">
        <f t="shared" si="145"/>
        <v>13.646142220000002</v>
      </c>
      <c r="AU125" s="35">
        <f t="shared" si="145"/>
        <v>0.21327595599999999</v>
      </c>
      <c r="AV125" s="35">
        <f t="shared" si="145"/>
        <v>6.6539058600000001</v>
      </c>
      <c r="AW125" s="35">
        <f t="shared" si="145"/>
        <v>9.2727583199999994</v>
      </c>
      <c r="AX125" s="35">
        <f t="shared" si="145"/>
        <v>0</v>
      </c>
      <c r="AY125" s="53">
        <f t="shared" si="145"/>
        <v>54.093904800000011</v>
      </c>
      <c r="AZ125" s="53">
        <f t="shared" si="145"/>
        <v>0.94219894999999998</v>
      </c>
      <c r="BA125" s="53">
        <f t="shared" si="145"/>
        <v>24.798999039999998</v>
      </c>
      <c r="BB125" s="53">
        <f t="shared" si="145"/>
        <v>28.352706810000008</v>
      </c>
      <c r="BC125" s="53">
        <f t="shared" si="145"/>
        <v>0</v>
      </c>
    </row>
    <row r="126" spans="1:55" s="55" customFormat="1" ht="58.5" customHeight="1" x14ac:dyDescent="0.25">
      <c r="A126" s="71" t="s">
        <v>54</v>
      </c>
      <c r="B126" s="78" t="s">
        <v>144</v>
      </c>
      <c r="C126" s="79" t="s">
        <v>101</v>
      </c>
      <c r="D126" s="84">
        <f t="shared" ref="D126" si="146">D127+D143</f>
        <v>39.917228870562731</v>
      </c>
      <c r="E126" s="75">
        <f t="shared" si="119"/>
        <v>50.256502223999988</v>
      </c>
      <c r="F126" s="75">
        <f t="shared" si="119"/>
        <v>8.9999999999999993E-3</v>
      </c>
      <c r="G126" s="75">
        <f t="shared" si="119"/>
        <v>4.5765601559999993</v>
      </c>
      <c r="H126" s="75">
        <f t="shared" si="119"/>
        <v>45.670942067999995</v>
      </c>
      <c r="I126" s="75">
        <f t="shared" si="141"/>
        <v>0</v>
      </c>
      <c r="J126" s="84">
        <f>J127+J143</f>
        <v>18.749706395999997</v>
      </c>
      <c r="K126" s="84">
        <f t="shared" ref="K126:N126" si="147">K127+K143</f>
        <v>0</v>
      </c>
      <c r="L126" s="84">
        <f t="shared" si="147"/>
        <v>1.8578472239999999</v>
      </c>
      <c r="M126" s="84">
        <f t="shared" si="147"/>
        <v>16.891859171999997</v>
      </c>
      <c r="N126" s="84">
        <f t="shared" si="147"/>
        <v>0</v>
      </c>
      <c r="O126" s="84">
        <f t="shared" ref="O126:R126" si="148">O127+O143</f>
        <v>2.302241988</v>
      </c>
      <c r="P126" s="84">
        <f t="shared" si="148"/>
        <v>0</v>
      </c>
      <c r="Q126" s="84">
        <f t="shared" si="148"/>
        <v>0.61159957199999992</v>
      </c>
      <c r="R126" s="84">
        <f t="shared" si="148"/>
        <v>1.6906424159999998</v>
      </c>
      <c r="S126" s="84">
        <f t="shared" ref="S126" si="149">S127+S143</f>
        <v>0</v>
      </c>
      <c r="T126" s="84">
        <f>T127+T143</f>
        <v>7.7358600360000001</v>
      </c>
      <c r="U126" s="84">
        <f t="shared" ref="U126:X126" si="150">U127+U143</f>
        <v>0</v>
      </c>
      <c r="V126" s="84">
        <f t="shared" si="150"/>
        <v>0.7383085920000001</v>
      </c>
      <c r="W126" s="84">
        <f t="shared" si="150"/>
        <v>6.9975514439999991</v>
      </c>
      <c r="X126" s="84">
        <f t="shared" si="150"/>
        <v>0</v>
      </c>
      <c r="Y126" s="118">
        <f>Y127+Y143</f>
        <v>21.468693803999987</v>
      </c>
      <c r="Z126" s="118">
        <f t="shared" ref="Z126:AC126" si="151">Z127+Z143</f>
        <v>8.9999999999999993E-3</v>
      </c>
      <c r="AA126" s="118">
        <f t="shared" si="151"/>
        <v>1.3688047679999995</v>
      </c>
      <c r="AB126" s="118">
        <f t="shared" si="151"/>
        <v>20.090889036</v>
      </c>
      <c r="AC126" s="53">
        <f t="shared" si="151"/>
        <v>0</v>
      </c>
      <c r="AD126" s="35">
        <f>AD127+AD143</f>
        <v>33.264358382135612</v>
      </c>
      <c r="AE126" s="35">
        <f t="shared" si="120"/>
        <v>41.498974340000004</v>
      </c>
      <c r="AF126" s="35">
        <f t="shared" si="120"/>
        <v>0.19174983200000001</v>
      </c>
      <c r="AG126" s="35">
        <f t="shared" si="120"/>
        <v>9.3403486800000017</v>
      </c>
      <c r="AH126" s="35">
        <f t="shared" si="120"/>
        <v>36.954471659999996</v>
      </c>
      <c r="AI126" s="35">
        <f t="shared" si="144"/>
        <v>2.4937979159999997</v>
      </c>
      <c r="AJ126" s="35">
        <f>AJ127+AJ143</f>
        <v>15.586592619999999</v>
      </c>
      <c r="AK126" s="35">
        <f t="shared" ref="AK126:AN126" si="152">AK127+AK143</f>
        <v>7.9176270000000007E-2</v>
      </c>
      <c r="AL126" s="35">
        <f t="shared" si="152"/>
        <v>1.4707763600000006</v>
      </c>
      <c r="AM126" s="35">
        <f t="shared" si="152"/>
        <v>14.036639990000001</v>
      </c>
      <c r="AN126" s="35">
        <f t="shared" si="152"/>
        <v>0</v>
      </c>
      <c r="AO126" s="35">
        <f t="shared" ref="AO126:AX126" si="153">AO127+AO143</f>
        <v>1.82481157</v>
      </c>
      <c r="AP126" s="35">
        <f t="shared" si="153"/>
        <v>5.1700896000000003E-2</v>
      </c>
      <c r="AQ126" s="35">
        <f t="shared" si="153"/>
        <v>2.85803991</v>
      </c>
      <c r="AR126" s="35">
        <f t="shared" si="153"/>
        <v>1.4088686799999999</v>
      </c>
      <c r="AS126" s="35">
        <f t="shared" si="153"/>
        <v>2.4937979159999997</v>
      </c>
      <c r="AT126" s="35">
        <f t="shared" si="153"/>
        <v>5.9965363800000002</v>
      </c>
      <c r="AU126" s="35">
        <f t="shared" si="153"/>
        <v>5.1700896000000003E-2</v>
      </c>
      <c r="AV126" s="35">
        <f t="shared" si="153"/>
        <v>3.20618011</v>
      </c>
      <c r="AW126" s="35">
        <f t="shared" si="153"/>
        <v>5.2324532899999987</v>
      </c>
      <c r="AX126" s="35">
        <f t="shared" si="153"/>
        <v>0</v>
      </c>
      <c r="AY126" s="53">
        <f>AY127+AY143</f>
        <v>18.091033770000006</v>
      </c>
      <c r="AZ126" s="53">
        <f t="shared" ref="AZ126:BC126" si="154">AZ127+AZ143</f>
        <v>9.171770000000001E-3</v>
      </c>
      <c r="BA126" s="53">
        <f t="shared" si="154"/>
        <v>1.8053523000000005</v>
      </c>
      <c r="BB126" s="53">
        <f t="shared" si="154"/>
        <v>16.276509700000002</v>
      </c>
      <c r="BC126" s="53">
        <f t="shared" si="154"/>
        <v>0</v>
      </c>
    </row>
    <row r="127" spans="1:55" s="55" customFormat="1" ht="34.5" customHeight="1" x14ac:dyDescent="0.25">
      <c r="A127" s="71" t="s">
        <v>55</v>
      </c>
      <c r="B127" s="78" t="s">
        <v>145</v>
      </c>
      <c r="C127" s="79" t="s">
        <v>101</v>
      </c>
      <c r="D127" s="84">
        <f t="shared" ref="D127" si="155">SUM(D128:D142)</f>
        <v>0.41597786879999993</v>
      </c>
      <c r="E127" s="75">
        <f t="shared" si="119"/>
        <v>3.0222339960000002</v>
      </c>
      <c r="F127" s="75">
        <f t="shared" si="119"/>
        <v>0</v>
      </c>
      <c r="G127" s="75">
        <f t="shared" si="119"/>
        <v>0.58013697599999992</v>
      </c>
      <c r="H127" s="75">
        <f t="shared" si="119"/>
        <v>2.4420970200000003</v>
      </c>
      <c r="I127" s="75">
        <f t="shared" si="141"/>
        <v>0</v>
      </c>
      <c r="J127" s="84">
        <f>SUM(J128:J142)</f>
        <v>2.568764448</v>
      </c>
      <c r="K127" s="84">
        <f t="shared" ref="K127:N127" si="156">SUM(K128:K142)</f>
        <v>0</v>
      </c>
      <c r="L127" s="84">
        <f t="shared" si="156"/>
        <v>0.126667428</v>
      </c>
      <c r="M127" s="84">
        <f t="shared" si="156"/>
        <v>2.4420970200000003</v>
      </c>
      <c r="N127" s="84">
        <f t="shared" si="156"/>
        <v>0</v>
      </c>
      <c r="O127" s="84">
        <f t="shared" ref="O127:R127" si="157">SUM(O128:O139)</f>
        <v>0.18982411199999996</v>
      </c>
      <c r="P127" s="84">
        <f t="shared" si="157"/>
        <v>0</v>
      </c>
      <c r="Q127" s="84">
        <f t="shared" si="157"/>
        <v>0.18982411199999996</v>
      </c>
      <c r="R127" s="84">
        <f t="shared" si="157"/>
        <v>0</v>
      </c>
      <c r="S127" s="84">
        <f t="shared" ref="S127" si="158">SUM(S128:S139)</f>
        <v>0</v>
      </c>
      <c r="T127" s="84">
        <f>SUM(T128:T142)</f>
        <v>0.18827194799999999</v>
      </c>
      <c r="U127" s="84">
        <f t="shared" ref="U127:X127" si="159">SUM(U128:U142)</f>
        <v>0</v>
      </c>
      <c r="V127" s="84">
        <f t="shared" si="159"/>
        <v>0.18827194799999999</v>
      </c>
      <c r="W127" s="84">
        <f t="shared" si="159"/>
        <v>0</v>
      </c>
      <c r="X127" s="84">
        <f t="shared" si="159"/>
        <v>0</v>
      </c>
      <c r="Y127" s="118">
        <f>SUM(Y128:Y142)</f>
        <v>7.5373487999999988E-2</v>
      </c>
      <c r="Z127" s="118">
        <f t="shared" ref="Z127:AC127" si="160">SUM(Z128:Z142)</f>
        <v>0</v>
      </c>
      <c r="AA127" s="118">
        <f t="shared" si="160"/>
        <v>7.5373487999999988E-2</v>
      </c>
      <c r="AB127" s="118">
        <f t="shared" si="160"/>
        <v>0</v>
      </c>
      <c r="AC127" s="53">
        <f t="shared" si="160"/>
        <v>0</v>
      </c>
      <c r="AD127" s="35">
        <f>SUM(AD128:AD138)</f>
        <v>0.34664822400000012</v>
      </c>
      <c r="AE127" s="35">
        <f t="shared" si="120"/>
        <v>2.5977045999999997</v>
      </c>
      <c r="AF127" s="35">
        <f t="shared" si="120"/>
        <v>0.18257806200000001</v>
      </c>
      <c r="AG127" s="35">
        <f t="shared" si="120"/>
        <v>5.3676415200000003</v>
      </c>
      <c r="AH127" s="35">
        <f t="shared" si="120"/>
        <v>2.0350808499999999</v>
      </c>
      <c r="AI127" s="35">
        <f t="shared" si="144"/>
        <v>2.4937979159999997</v>
      </c>
      <c r="AJ127" s="35">
        <f>SUM(AJ128:AJ142)</f>
        <v>2.2198133099999997</v>
      </c>
      <c r="AK127" s="35">
        <f t="shared" ref="AK127:AN127" si="161">SUM(AK128:AK142)</f>
        <v>7.9176270000000007E-2</v>
      </c>
      <c r="AL127" s="35">
        <f t="shared" si="161"/>
        <v>0.10555618999999999</v>
      </c>
      <c r="AM127" s="35">
        <f t="shared" si="161"/>
        <v>2.0350808499999999</v>
      </c>
      <c r="AN127" s="35">
        <f t="shared" si="161"/>
        <v>0</v>
      </c>
      <c r="AO127" s="35">
        <f t="shared" ref="AO127:AX127" si="162">SUM(AO128:AO142)</f>
        <v>6.4463339999999994E-2</v>
      </c>
      <c r="AP127" s="35">
        <f t="shared" si="162"/>
        <v>5.1700896000000003E-2</v>
      </c>
      <c r="AQ127" s="35">
        <f t="shared" si="162"/>
        <v>2.5065603599999999</v>
      </c>
      <c r="AR127" s="35">
        <f t="shared" si="162"/>
        <v>0</v>
      </c>
      <c r="AS127" s="35">
        <f t="shared" si="162"/>
        <v>2.4937979159999997</v>
      </c>
      <c r="AT127" s="35">
        <f t="shared" si="162"/>
        <v>0.25061671000000002</v>
      </c>
      <c r="AU127" s="35">
        <f t="shared" si="162"/>
        <v>5.1700896000000003E-2</v>
      </c>
      <c r="AV127" s="35">
        <f t="shared" si="162"/>
        <v>2.6927137299999999</v>
      </c>
      <c r="AW127" s="35">
        <f t="shared" si="162"/>
        <v>0</v>
      </c>
      <c r="AX127" s="35">
        <f t="shared" si="162"/>
        <v>0</v>
      </c>
      <c r="AY127" s="53">
        <f>SUM(AY128:AY142)</f>
        <v>6.281123999999999E-2</v>
      </c>
      <c r="AZ127" s="53">
        <f t="shared" ref="AZ127:BC127" si="163">SUM(AZ128:AZ142)</f>
        <v>0</v>
      </c>
      <c r="BA127" s="53">
        <f t="shared" si="163"/>
        <v>6.281123999999999E-2</v>
      </c>
      <c r="BB127" s="53">
        <f t="shared" si="163"/>
        <v>0</v>
      </c>
      <c r="BC127" s="53">
        <f t="shared" si="163"/>
        <v>0</v>
      </c>
    </row>
    <row r="128" spans="1:55" s="55" customFormat="1" ht="33" customHeight="1" x14ac:dyDescent="0.25">
      <c r="A128" s="85" t="s">
        <v>55</v>
      </c>
      <c r="B128" s="96" t="s">
        <v>146</v>
      </c>
      <c r="C128" s="97" t="s">
        <v>147</v>
      </c>
      <c r="D128" s="88">
        <v>4.1597786880000001E-2</v>
      </c>
      <c r="E128" s="29">
        <f t="shared" si="119"/>
        <v>3.9431327999999995E-2</v>
      </c>
      <c r="F128" s="29">
        <f t="shared" si="119"/>
        <v>0</v>
      </c>
      <c r="G128" s="29">
        <f t="shared" si="119"/>
        <v>3.9431327999999995E-2</v>
      </c>
      <c r="H128" s="29">
        <f t="shared" si="119"/>
        <v>0</v>
      </c>
      <c r="I128" s="29">
        <f t="shared" si="141"/>
        <v>0</v>
      </c>
      <c r="J128" s="29">
        <f>K128+L128+M128+N128</f>
        <v>0</v>
      </c>
      <c r="K128" s="29">
        <v>0</v>
      </c>
      <c r="L128" s="29">
        <v>0</v>
      </c>
      <c r="M128" s="29">
        <v>0</v>
      </c>
      <c r="N128" s="29">
        <v>0</v>
      </c>
      <c r="O128" s="29">
        <f>P128+Q128+R128+S128</f>
        <v>3.9431327999999995E-2</v>
      </c>
      <c r="P128" s="29">
        <v>0</v>
      </c>
      <c r="Q128" s="29">
        <v>3.9431327999999995E-2</v>
      </c>
      <c r="R128" s="29">
        <v>0</v>
      </c>
      <c r="S128" s="29">
        <v>0</v>
      </c>
      <c r="T128" s="30">
        <f t="shared" ref="T128:T139" si="164">U128+V128+W128+X128</f>
        <v>0</v>
      </c>
      <c r="U128" s="30">
        <v>0</v>
      </c>
      <c r="V128" s="30">
        <v>0</v>
      </c>
      <c r="W128" s="30">
        <v>0</v>
      </c>
      <c r="X128" s="30">
        <v>0</v>
      </c>
      <c r="Y128" s="30">
        <f t="shared" ref="Y128:Y142" si="165">Z128+AA128+AB128+AC128</f>
        <v>0</v>
      </c>
      <c r="Z128" s="30">
        <v>0</v>
      </c>
      <c r="AA128" s="30">
        <v>0</v>
      </c>
      <c r="AB128" s="30">
        <v>0</v>
      </c>
      <c r="AC128" s="34">
        <v>0</v>
      </c>
      <c r="AD128" s="36">
        <v>3.4664822400000003E-2</v>
      </c>
      <c r="AE128" s="36">
        <f t="shared" si="120"/>
        <v>3.2859439999999997E-2</v>
      </c>
      <c r="AF128" s="36">
        <f t="shared" si="120"/>
        <v>0</v>
      </c>
      <c r="AG128" s="36">
        <f t="shared" si="120"/>
        <v>3.2859439999999997E-2</v>
      </c>
      <c r="AH128" s="36">
        <f t="shared" si="120"/>
        <v>0</v>
      </c>
      <c r="AI128" s="36">
        <f t="shared" si="144"/>
        <v>0</v>
      </c>
      <c r="AJ128" s="36">
        <f t="shared" ref="AJ128:AJ183" si="166">AK128+AL128+AM128+AN128</f>
        <v>0</v>
      </c>
      <c r="AK128" s="36">
        <v>0</v>
      </c>
      <c r="AL128" s="36">
        <v>0</v>
      </c>
      <c r="AM128" s="36">
        <v>0</v>
      </c>
      <c r="AN128" s="36">
        <v>0</v>
      </c>
      <c r="AO128" s="34">
        <f>AP128+AQ128+AR128+AS128</f>
        <v>3.2859439999999997E-2</v>
      </c>
      <c r="AP128" s="34">
        <v>0</v>
      </c>
      <c r="AQ128" s="34">
        <v>3.2859439999999997E-2</v>
      </c>
      <c r="AR128" s="34">
        <v>0</v>
      </c>
      <c r="AS128" s="34">
        <v>0</v>
      </c>
      <c r="AT128" s="34">
        <f t="shared" ref="AT128:AT139" si="167">AU128+AV128+AW128+AX128</f>
        <v>0</v>
      </c>
      <c r="AU128" s="34">
        <v>0</v>
      </c>
      <c r="AV128" s="34">
        <v>0</v>
      </c>
      <c r="AW128" s="34">
        <v>0</v>
      </c>
      <c r="AX128" s="34">
        <v>0</v>
      </c>
      <c r="AY128" s="34">
        <f t="shared" ref="AY128:AY139" si="168">AZ128+BA128+BB128+BC128</f>
        <v>0</v>
      </c>
      <c r="AZ128" s="34">
        <v>0</v>
      </c>
      <c r="BA128" s="34">
        <v>0</v>
      </c>
      <c r="BB128" s="34">
        <v>0</v>
      </c>
      <c r="BC128" s="34">
        <v>0</v>
      </c>
    </row>
    <row r="129" spans="1:90" s="55" customFormat="1" ht="33" customHeight="1" x14ac:dyDescent="0.25">
      <c r="A129" s="85" t="s">
        <v>55</v>
      </c>
      <c r="B129" s="96" t="s">
        <v>148</v>
      </c>
      <c r="C129" s="97" t="s">
        <v>149</v>
      </c>
      <c r="D129" s="88">
        <v>4.1597786880000001E-2</v>
      </c>
      <c r="E129" s="29">
        <f t="shared" si="119"/>
        <v>3.7924679999999995E-2</v>
      </c>
      <c r="F129" s="29">
        <f t="shared" si="119"/>
        <v>0</v>
      </c>
      <c r="G129" s="29">
        <f t="shared" si="119"/>
        <v>3.7924679999999995E-2</v>
      </c>
      <c r="H129" s="29">
        <f t="shared" ref="H129:I192" si="169">M129+R129+W129+AB129</f>
        <v>0</v>
      </c>
      <c r="I129" s="29">
        <f t="shared" si="141"/>
        <v>0</v>
      </c>
      <c r="J129" s="29">
        <f t="shared" ref="J129:J192" si="170">K129+L129+M129+N129</f>
        <v>0</v>
      </c>
      <c r="K129" s="29">
        <v>0</v>
      </c>
      <c r="L129" s="29">
        <v>0</v>
      </c>
      <c r="M129" s="29">
        <v>0</v>
      </c>
      <c r="N129" s="29">
        <v>0</v>
      </c>
      <c r="O129" s="29">
        <f t="shared" ref="O129:O138" si="171">P129+Q129+R129+S129</f>
        <v>3.7924679999999995E-2</v>
      </c>
      <c r="P129" s="29">
        <v>0</v>
      </c>
      <c r="Q129" s="29">
        <v>3.7924679999999995E-2</v>
      </c>
      <c r="R129" s="29">
        <v>0</v>
      </c>
      <c r="S129" s="29">
        <v>0</v>
      </c>
      <c r="T129" s="30">
        <f t="shared" si="164"/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f t="shared" si="165"/>
        <v>0</v>
      </c>
      <c r="Z129" s="30">
        <v>0</v>
      </c>
      <c r="AA129" s="30">
        <v>0</v>
      </c>
      <c r="AB129" s="30">
        <v>0</v>
      </c>
      <c r="AC129" s="34">
        <v>0</v>
      </c>
      <c r="AD129" s="36">
        <v>3.4664822400000003E-2</v>
      </c>
      <c r="AE129" s="36">
        <f t="shared" si="120"/>
        <v>3.1603899999999997E-2</v>
      </c>
      <c r="AF129" s="36">
        <f t="shared" si="120"/>
        <v>0</v>
      </c>
      <c r="AG129" s="36">
        <f t="shared" si="120"/>
        <v>3.1603899999999997E-2</v>
      </c>
      <c r="AH129" s="36">
        <f t="shared" ref="AH129:AI192" si="172">AM129+AR129+AW129+BB129</f>
        <v>0</v>
      </c>
      <c r="AI129" s="36">
        <f t="shared" si="144"/>
        <v>0</v>
      </c>
      <c r="AJ129" s="36">
        <f t="shared" si="166"/>
        <v>0</v>
      </c>
      <c r="AK129" s="36">
        <v>0</v>
      </c>
      <c r="AL129" s="36">
        <v>0</v>
      </c>
      <c r="AM129" s="36">
        <v>0</v>
      </c>
      <c r="AN129" s="36">
        <v>0</v>
      </c>
      <c r="AO129" s="34">
        <f t="shared" ref="AO129:AO138" si="173">AP129+AQ129+AR129+AS129</f>
        <v>3.1603899999999997E-2</v>
      </c>
      <c r="AP129" s="34">
        <v>0</v>
      </c>
      <c r="AQ129" s="34">
        <v>3.1603899999999997E-2</v>
      </c>
      <c r="AR129" s="34">
        <v>0</v>
      </c>
      <c r="AS129" s="34">
        <v>0</v>
      </c>
      <c r="AT129" s="34">
        <f t="shared" si="167"/>
        <v>0</v>
      </c>
      <c r="AU129" s="34">
        <v>0</v>
      </c>
      <c r="AV129" s="34">
        <v>0</v>
      </c>
      <c r="AW129" s="34">
        <v>0</v>
      </c>
      <c r="AX129" s="34">
        <v>0</v>
      </c>
      <c r="AY129" s="34">
        <f t="shared" si="168"/>
        <v>0</v>
      </c>
      <c r="AZ129" s="34">
        <v>0</v>
      </c>
      <c r="BA129" s="34">
        <v>0</v>
      </c>
      <c r="BB129" s="34">
        <v>0</v>
      </c>
      <c r="BC129" s="34">
        <v>0</v>
      </c>
    </row>
    <row r="130" spans="1:90" s="55" customFormat="1" ht="33" customHeight="1" x14ac:dyDescent="0.25">
      <c r="A130" s="85" t="s">
        <v>55</v>
      </c>
      <c r="B130" s="96" t="s">
        <v>150</v>
      </c>
      <c r="C130" s="97" t="s">
        <v>151</v>
      </c>
      <c r="D130" s="88">
        <v>4.1597786880000001E-2</v>
      </c>
      <c r="E130" s="29">
        <f t="shared" ref="E130:I193" si="174">J130+O130+T130+Y130</f>
        <v>3.7403279999999997E-2</v>
      </c>
      <c r="F130" s="29">
        <f t="shared" si="174"/>
        <v>0</v>
      </c>
      <c r="G130" s="29">
        <f t="shared" si="174"/>
        <v>3.7403279999999997E-2</v>
      </c>
      <c r="H130" s="29">
        <f t="shared" si="169"/>
        <v>0</v>
      </c>
      <c r="I130" s="29">
        <f t="shared" si="141"/>
        <v>0</v>
      </c>
      <c r="J130" s="29">
        <f t="shared" si="170"/>
        <v>0</v>
      </c>
      <c r="K130" s="29">
        <v>0</v>
      </c>
      <c r="L130" s="29">
        <v>0</v>
      </c>
      <c r="M130" s="29">
        <v>0</v>
      </c>
      <c r="N130" s="29">
        <v>0</v>
      </c>
      <c r="O130" s="29">
        <f t="shared" si="171"/>
        <v>3.7403279999999997E-2</v>
      </c>
      <c r="P130" s="29">
        <v>0</v>
      </c>
      <c r="Q130" s="29">
        <v>3.7403279999999997E-2</v>
      </c>
      <c r="R130" s="29">
        <v>0</v>
      </c>
      <c r="S130" s="29">
        <v>0</v>
      </c>
      <c r="T130" s="30">
        <f t="shared" si="164"/>
        <v>0</v>
      </c>
      <c r="U130" s="30">
        <v>0</v>
      </c>
      <c r="V130" s="30">
        <v>0</v>
      </c>
      <c r="W130" s="30">
        <v>0</v>
      </c>
      <c r="X130" s="30">
        <v>0</v>
      </c>
      <c r="Y130" s="30">
        <f t="shared" si="165"/>
        <v>0</v>
      </c>
      <c r="Z130" s="30">
        <v>0</v>
      </c>
      <c r="AA130" s="30">
        <v>0</v>
      </c>
      <c r="AB130" s="30">
        <v>0</v>
      </c>
      <c r="AC130" s="34">
        <v>0</v>
      </c>
      <c r="AD130" s="36">
        <v>3.4664822400000003E-2</v>
      </c>
      <c r="AE130" s="36">
        <f t="shared" ref="AE130:AI193" si="175">AJ130+AO130+AT130+AY130</f>
        <v>3.11694E-2</v>
      </c>
      <c r="AF130" s="36">
        <f t="shared" si="175"/>
        <v>0</v>
      </c>
      <c r="AG130" s="36">
        <f t="shared" si="175"/>
        <v>3.11694E-2</v>
      </c>
      <c r="AH130" s="36">
        <f t="shared" si="172"/>
        <v>0</v>
      </c>
      <c r="AI130" s="36">
        <f t="shared" si="144"/>
        <v>0</v>
      </c>
      <c r="AJ130" s="36">
        <f t="shared" si="166"/>
        <v>0</v>
      </c>
      <c r="AK130" s="36">
        <v>0</v>
      </c>
      <c r="AL130" s="36">
        <v>0</v>
      </c>
      <c r="AM130" s="36">
        <v>0</v>
      </c>
      <c r="AN130" s="36">
        <v>0</v>
      </c>
      <c r="AO130" s="34">
        <f t="shared" si="173"/>
        <v>0</v>
      </c>
      <c r="AP130" s="34">
        <v>0</v>
      </c>
      <c r="AQ130" s="34">
        <v>0</v>
      </c>
      <c r="AR130" s="34">
        <v>0</v>
      </c>
      <c r="AS130" s="34">
        <v>0</v>
      </c>
      <c r="AT130" s="34">
        <f t="shared" si="167"/>
        <v>3.11694E-2</v>
      </c>
      <c r="AU130" s="34">
        <v>0</v>
      </c>
      <c r="AV130" s="34">
        <v>3.11694E-2</v>
      </c>
      <c r="AW130" s="34">
        <v>0</v>
      </c>
      <c r="AX130" s="34">
        <v>0</v>
      </c>
      <c r="AY130" s="34">
        <f t="shared" si="168"/>
        <v>0</v>
      </c>
      <c r="AZ130" s="34">
        <v>0</v>
      </c>
      <c r="BA130" s="34">
        <v>0</v>
      </c>
      <c r="BB130" s="34">
        <v>0</v>
      </c>
      <c r="BC130" s="34">
        <v>0</v>
      </c>
    </row>
    <row r="131" spans="1:90" s="55" customFormat="1" ht="33" customHeight="1" x14ac:dyDescent="0.25">
      <c r="A131" s="85" t="s">
        <v>55</v>
      </c>
      <c r="B131" s="96" t="s">
        <v>152</v>
      </c>
      <c r="C131" s="97" t="s">
        <v>153</v>
      </c>
      <c r="D131" s="88">
        <v>4.1597786880000001E-2</v>
      </c>
      <c r="E131" s="29">
        <f t="shared" si="174"/>
        <v>3.7582091999999998E-2</v>
      </c>
      <c r="F131" s="29">
        <f t="shared" si="174"/>
        <v>0</v>
      </c>
      <c r="G131" s="29">
        <f t="shared" si="174"/>
        <v>3.7582091999999998E-2</v>
      </c>
      <c r="H131" s="29">
        <f t="shared" si="169"/>
        <v>0</v>
      </c>
      <c r="I131" s="29">
        <f t="shared" si="141"/>
        <v>0</v>
      </c>
      <c r="J131" s="29">
        <f t="shared" si="170"/>
        <v>0</v>
      </c>
      <c r="K131" s="29">
        <v>0</v>
      </c>
      <c r="L131" s="29">
        <v>0</v>
      </c>
      <c r="M131" s="29">
        <v>0</v>
      </c>
      <c r="N131" s="29">
        <v>0</v>
      </c>
      <c r="O131" s="29">
        <f t="shared" si="171"/>
        <v>3.7582091999999998E-2</v>
      </c>
      <c r="P131" s="29">
        <v>0</v>
      </c>
      <c r="Q131" s="29">
        <v>3.7582091999999998E-2</v>
      </c>
      <c r="R131" s="29">
        <v>0</v>
      </c>
      <c r="S131" s="29">
        <v>0</v>
      </c>
      <c r="T131" s="30">
        <f t="shared" si="164"/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f t="shared" si="165"/>
        <v>0</v>
      </c>
      <c r="Z131" s="30">
        <v>0</v>
      </c>
      <c r="AA131" s="30">
        <v>0</v>
      </c>
      <c r="AB131" s="30">
        <v>0</v>
      </c>
      <c r="AC131" s="34">
        <v>0</v>
      </c>
      <c r="AD131" s="36">
        <v>3.4664822400000003E-2</v>
      </c>
      <c r="AE131" s="36">
        <f t="shared" si="175"/>
        <v>3.1318409999999998E-2</v>
      </c>
      <c r="AF131" s="36">
        <f t="shared" si="175"/>
        <v>0</v>
      </c>
      <c r="AG131" s="36">
        <f t="shared" si="175"/>
        <v>3.1318409999999998E-2</v>
      </c>
      <c r="AH131" s="36">
        <f t="shared" si="172"/>
        <v>0</v>
      </c>
      <c r="AI131" s="36">
        <f t="shared" si="144"/>
        <v>0</v>
      </c>
      <c r="AJ131" s="36">
        <f t="shared" si="166"/>
        <v>0</v>
      </c>
      <c r="AK131" s="36">
        <v>0</v>
      </c>
      <c r="AL131" s="36">
        <v>0</v>
      </c>
      <c r="AM131" s="36">
        <v>0</v>
      </c>
      <c r="AN131" s="36">
        <v>0</v>
      </c>
      <c r="AO131" s="34">
        <f t="shared" si="173"/>
        <v>0</v>
      </c>
      <c r="AP131" s="34">
        <v>0</v>
      </c>
      <c r="AQ131" s="34">
        <v>0</v>
      </c>
      <c r="AR131" s="34">
        <v>0</v>
      </c>
      <c r="AS131" s="34">
        <v>0</v>
      </c>
      <c r="AT131" s="34">
        <f t="shared" si="167"/>
        <v>3.1318409999999998E-2</v>
      </c>
      <c r="AU131" s="34">
        <v>0</v>
      </c>
      <c r="AV131" s="34">
        <v>3.1318409999999998E-2</v>
      </c>
      <c r="AW131" s="34">
        <v>0</v>
      </c>
      <c r="AX131" s="34">
        <v>0</v>
      </c>
      <c r="AY131" s="34">
        <f t="shared" si="168"/>
        <v>0</v>
      </c>
      <c r="AZ131" s="34">
        <v>0</v>
      </c>
      <c r="BA131" s="34">
        <v>0</v>
      </c>
      <c r="BB131" s="34">
        <v>0</v>
      </c>
      <c r="BC131" s="34">
        <v>0</v>
      </c>
    </row>
    <row r="132" spans="1:90" s="55" customFormat="1" ht="33" customHeight="1" x14ac:dyDescent="0.25">
      <c r="A132" s="85" t="s">
        <v>55</v>
      </c>
      <c r="B132" s="96" t="s">
        <v>154</v>
      </c>
      <c r="C132" s="97" t="s">
        <v>155</v>
      </c>
      <c r="D132" s="88">
        <v>4.1597786880000001E-2</v>
      </c>
      <c r="E132" s="29">
        <f t="shared" si="174"/>
        <v>3.7482731999999998E-2</v>
      </c>
      <c r="F132" s="29">
        <f t="shared" si="174"/>
        <v>0</v>
      </c>
      <c r="G132" s="29">
        <f t="shared" si="174"/>
        <v>3.7482731999999998E-2</v>
      </c>
      <c r="H132" s="29">
        <f t="shared" si="169"/>
        <v>0</v>
      </c>
      <c r="I132" s="29">
        <f t="shared" si="141"/>
        <v>0</v>
      </c>
      <c r="J132" s="29">
        <f t="shared" si="170"/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f t="shared" si="171"/>
        <v>3.7482731999999998E-2</v>
      </c>
      <c r="P132" s="29">
        <v>0</v>
      </c>
      <c r="Q132" s="29">
        <v>3.7482731999999998E-2</v>
      </c>
      <c r="R132" s="29">
        <v>0</v>
      </c>
      <c r="S132" s="29">
        <v>0</v>
      </c>
      <c r="T132" s="30">
        <f t="shared" si="164"/>
        <v>0</v>
      </c>
      <c r="U132" s="30">
        <v>0</v>
      </c>
      <c r="V132" s="30">
        <v>0</v>
      </c>
      <c r="W132" s="30">
        <v>0</v>
      </c>
      <c r="X132" s="30">
        <v>0</v>
      </c>
      <c r="Y132" s="30">
        <f t="shared" si="165"/>
        <v>0</v>
      </c>
      <c r="Z132" s="30">
        <v>0</v>
      </c>
      <c r="AA132" s="30">
        <v>0</v>
      </c>
      <c r="AB132" s="30">
        <v>0</v>
      </c>
      <c r="AC132" s="34">
        <v>0</v>
      </c>
      <c r="AD132" s="36">
        <v>3.4664822400000003E-2</v>
      </c>
      <c r="AE132" s="36">
        <f t="shared" si="175"/>
        <v>3.123561E-2</v>
      </c>
      <c r="AF132" s="36">
        <f t="shared" si="175"/>
        <v>0</v>
      </c>
      <c r="AG132" s="36">
        <f t="shared" si="175"/>
        <v>3.123561E-2</v>
      </c>
      <c r="AH132" s="36">
        <f t="shared" si="172"/>
        <v>0</v>
      </c>
      <c r="AI132" s="36">
        <f t="shared" si="144"/>
        <v>0</v>
      </c>
      <c r="AJ132" s="36">
        <f t="shared" si="166"/>
        <v>0</v>
      </c>
      <c r="AK132" s="36">
        <v>0</v>
      </c>
      <c r="AL132" s="36">
        <v>0</v>
      </c>
      <c r="AM132" s="36">
        <v>0</v>
      </c>
      <c r="AN132" s="36">
        <v>0</v>
      </c>
      <c r="AO132" s="34">
        <f t="shared" si="173"/>
        <v>0</v>
      </c>
      <c r="AP132" s="34">
        <v>0</v>
      </c>
      <c r="AQ132" s="34">
        <v>0</v>
      </c>
      <c r="AR132" s="34">
        <v>0</v>
      </c>
      <c r="AS132" s="34">
        <v>0</v>
      </c>
      <c r="AT132" s="34">
        <f t="shared" si="167"/>
        <v>3.123561E-2</v>
      </c>
      <c r="AU132" s="34">
        <v>0</v>
      </c>
      <c r="AV132" s="34">
        <v>3.123561E-2</v>
      </c>
      <c r="AW132" s="34">
        <v>0</v>
      </c>
      <c r="AX132" s="34">
        <v>0</v>
      </c>
      <c r="AY132" s="34">
        <f t="shared" si="168"/>
        <v>0</v>
      </c>
      <c r="AZ132" s="34">
        <v>0</v>
      </c>
      <c r="BA132" s="34">
        <v>0</v>
      </c>
      <c r="BB132" s="34">
        <v>0</v>
      </c>
      <c r="BC132" s="34">
        <v>0</v>
      </c>
    </row>
    <row r="133" spans="1:90" s="55" customFormat="1" ht="33.75" customHeight="1" x14ac:dyDescent="0.25">
      <c r="A133" s="85" t="s">
        <v>55</v>
      </c>
      <c r="B133" s="96" t="s">
        <v>156</v>
      </c>
      <c r="C133" s="97" t="s">
        <v>157</v>
      </c>
      <c r="D133" s="88">
        <v>4.1597786880000001E-2</v>
      </c>
      <c r="E133" s="29">
        <f t="shared" si="174"/>
        <v>3.7690776000000002E-2</v>
      </c>
      <c r="F133" s="29">
        <f t="shared" si="174"/>
        <v>0</v>
      </c>
      <c r="G133" s="29">
        <f t="shared" si="174"/>
        <v>3.7690776000000002E-2</v>
      </c>
      <c r="H133" s="29">
        <f t="shared" si="169"/>
        <v>0</v>
      </c>
      <c r="I133" s="29">
        <f t="shared" si="141"/>
        <v>0</v>
      </c>
      <c r="J133" s="29">
        <f t="shared" si="170"/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f t="shared" si="171"/>
        <v>0</v>
      </c>
      <c r="P133" s="29">
        <v>0</v>
      </c>
      <c r="Q133" s="29">
        <v>0</v>
      </c>
      <c r="R133" s="29">
        <v>0</v>
      </c>
      <c r="S133" s="29">
        <v>0</v>
      </c>
      <c r="T133" s="30">
        <f t="shared" si="164"/>
        <v>3.7690776000000002E-2</v>
      </c>
      <c r="U133" s="30">
        <v>0</v>
      </c>
      <c r="V133" s="30">
        <v>3.7690776000000002E-2</v>
      </c>
      <c r="W133" s="30">
        <v>0</v>
      </c>
      <c r="X133" s="30">
        <v>0</v>
      </c>
      <c r="Y133" s="30">
        <f t="shared" si="165"/>
        <v>0</v>
      </c>
      <c r="Z133" s="30">
        <v>0</v>
      </c>
      <c r="AA133" s="30">
        <v>0</v>
      </c>
      <c r="AB133" s="30">
        <v>0</v>
      </c>
      <c r="AC133" s="34">
        <v>0</v>
      </c>
      <c r="AD133" s="36">
        <v>3.4664822400000003E-2</v>
      </c>
      <c r="AE133" s="36">
        <f t="shared" si="175"/>
        <v>3.1408980000000003E-2</v>
      </c>
      <c r="AF133" s="36">
        <f t="shared" si="175"/>
        <v>0</v>
      </c>
      <c r="AG133" s="36">
        <f t="shared" si="175"/>
        <v>3.1408980000000003E-2</v>
      </c>
      <c r="AH133" s="36">
        <f t="shared" si="172"/>
        <v>0</v>
      </c>
      <c r="AI133" s="36">
        <f t="shared" si="144"/>
        <v>0</v>
      </c>
      <c r="AJ133" s="36">
        <f t="shared" si="166"/>
        <v>0</v>
      </c>
      <c r="AK133" s="36">
        <v>0</v>
      </c>
      <c r="AL133" s="36">
        <v>0</v>
      </c>
      <c r="AM133" s="36">
        <v>0</v>
      </c>
      <c r="AN133" s="36">
        <v>0</v>
      </c>
      <c r="AO133" s="34">
        <f t="shared" si="173"/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f t="shared" si="167"/>
        <v>3.1408980000000003E-2</v>
      </c>
      <c r="AU133" s="34">
        <v>0</v>
      </c>
      <c r="AV133" s="34">
        <v>3.1408980000000003E-2</v>
      </c>
      <c r="AW133" s="34">
        <v>0</v>
      </c>
      <c r="AX133" s="34">
        <v>0</v>
      </c>
      <c r="AY133" s="34">
        <f t="shared" si="168"/>
        <v>0</v>
      </c>
      <c r="AZ133" s="34">
        <v>0</v>
      </c>
      <c r="BA133" s="34">
        <v>0</v>
      </c>
      <c r="BB133" s="34">
        <v>0</v>
      </c>
      <c r="BC133" s="34">
        <v>0</v>
      </c>
    </row>
    <row r="134" spans="1:90" s="55" customFormat="1" ht="35.25" customHeight="1" x14ac:dyDescent="0.25">
      <c r="A134" s="85" t="s">
        <v>55</v>
      </c>
      <c r="B134" s="96" t="s">
        <v>158</v>
      </c>
      <c r="C134" s="97" t="s">
        <v>159</v>
      </c>
      <c r="D134" s="88">
        <v>4.1597786880000001E-2</v>
      </c>
      <c r="E134" s="29">
        <f t="shared" si="174"/>
        <v>3.7758647999999999E-2</v>
      </c>
      <c r="F134" s="29">
        <f t="shared" si="174"/>
        <v>0</v>
      </c>
      <c r="G134" s="29">
        <f t="shared" si="174"/>
        <v>3.7758647999999999E-2</v>
      </c>
      <c r="H134" s="29">
        <f t="shared" si="169"/>
        <v>0</v>
      </c>
      <c r="I134" s="29">
        <f t="shared" si="141"/>
        <v>0</v>
      </c>
      <c r="J134" s="29">
        <f t="shared" si="170"/>
        <v>0</v>
      </c>
      <c r="K134" s="29">
        <v>0</v>
      </c>
      <c r="L134" s="29">
        <v>0</v>
      </c>
      <c r="M134" s="29">
        <v>0</v>
      </c>
      <c r="N134" s="29">
        <v>0</v>
      </c>
      <c r="O134" s="29">
        <f t="shared" si="171"/>
        <v>0</v>
      </c>
      <c r="P134" s="29">
        <v>0</v>
      </c>
      <c r="Q134" s="29">
        <v>0</v>
      </c>
      <c r="R134" s="29">
        <v>0</v>
      </c>
      <c r="S134" s="29">
        <v>0</v>
      </c>
      <c r="T134" s="30">
        <f t="shared" si="164"/>
        <v>3.7758647999999999E-2</v>
      </c>
      <c r="U134" s="30">
        <v>0</v>
      </c>
      <c r="V134" s="30">
        <v>3.7758647999999999E-2</v>
      </c>
      <c r="W134" s="30">
        <v>0</v>
      </c>
      <c r="X134" s="30">
        <v>0</v>
      </c>
      <c r="Y134" s="30">
        <f t="shared" si="165"/>
        <v>0</v>
      </c>
      <c r="Z134" s="30">
        <v>0</v>
      </c>
      <c r="AA134" s="30">
        <v>0</v>
      </c>
      <c r="AB134" s="30">
        <v>0</v>
      </c>
      <c r="AC134" s="34">
        <v>0</v>
      </c>
      <c r="AD134" s="36">
        <v>3.4664822400000003E-2</v>
      </c>
      <c r="AE134" s="36">
        <f t="shared" si="175"/>
        <v>3.146554E-2</v>
      </c>
      <c r="AF134" s="36">
        <f t="shared" si="175"/>
        <v>0</v>
      </c>
      <c r="AG134" s="36">
        <f t="shared" si="175"/>
        <v>3.146554E-2</v>
      </c>
      <c r="AH134" s="36">
        <f t="shared" si="172"/>
        <v>0</v>
      </c>
      <c r="AI134" s="36">
        <f t="shared" si="144"/>
        <v>0</v>
      </c>
      <c r="AJ134" s="36">
        <f t="shared" si="166"/>
        <v>0</v>
      </c>
      <c r="AK134" s="36">
        <v>0</v>
      </c>
      <c r="AL134" s="36">
        <v>0</v>
      </c>
      <c r="AM134" s="36">
        <v>0</v>
      </c>
      <c r="AN134" s="36">
        <v>0</v>
      </c>
      <c r="AO134" s="34">
        <f t="shared" si="173"/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f t="shared" si="167"/>
        <v>3.146554E-2</v>
      </c>
      <c r="AU134" s="34">
        <v>0</v>
      </c>
      <c r="AV134" s="34">
        <v>3.146554E-2</v>
      </c>
      <c r="AW134" s="34">
        <v>0</v>
      </c>
      <c r="AX134" s="34">
        <v>0</v>
      </c>
      <c r="AY134" s="34">
        <f t="shared" si="168"/>
        <v>0</v>
      </c>
      <c r="AZ134" s="34">
        <v>0</v>
      </c>
      <c r="BA134" s="34">
        <v>0</v>
      </c>
      <c r="BB134" s="34">
        <v>0</v>
      </c>
      <c r="BC134" s="34">
        <v>0</v>
      </c>
    </row>
    <row r="135" spans="1:90" s="55" customFormat="1" ht="35.25" customHeight="1" x14ac:dyDescent="0.25">
      <c r="A135" s="85" t="s">
        <v>55</v>
      </c>
      <c r="B135" s="96" t="s">
        <v>160</v>
      </c>
      <c r="C135" s="97" t="s">
        <v>161</v>
      </c>
      <c r="D135" s="88">
        <v>4.1597786880000001E-2</v>
      </c>
      <c r="E135" s="29">
        <f t="shared" si="174"/>
        <v>3.8055371999999997E-2</v>
      </c>
      <c r="F135" s="29">
        <f t="shared" si="174"/>
        <v>0</v>
      </c>
      <c r="G135" s="29">
        <f t="shared" si="174"/>
        <v>3.8055371999999997E-2</v>
      </c>
      <c r="H135" s="29">
        <f t="shared" si="169"/>
        <v>0</v>
      </c>
      <c r="I135" s="29">
        <f t="shared" si="141"/>
        <v>0</v>
      </c>
      <c r="J135" s="29">
        <f t="shared" si="170"/>
        <v>0</v>
      </c>
      <c r="K135" s="29">
        <v>0</v>
      </c>
      <c r="L135" s="29">
        <v>0</v>
      </c>
      <c r="M135" s="29">
        <v>0</v>
      </c>
      <c r="N135" s="29">
        <v>0</v>
      </c>
      <c r="O135" s="29">
        <f t="shared" si="171"/>
        <v>0</v>
      </c>
      <c r="P135" s="29">
        <v>0</v>
      </c>
      <c r="Q135" s="29">
        <v>0</v>
      </c>
      <c r="R135" s="29">
        <v>0</v>
      </c>
      <c r="S135" s="29">
        <v>0</v>
      </c>
      <c r="T135" s="30">
        <f t="shared" si="164"/>
        <v>3.8055371999999997E-2</v>
      </c>
      <c r="U135" s="30">
        <v>0</v>
      </c>
      <c r="V135" s="30">
        <v>3.8055371999999997E-2</v>
      </c>
      <c r="W135" s="30">
        <v>0</v>
      </c>
      <c r="X135" s="30">
        <v>0</v>
      </c>
      <c r="Y135" s="30">
        <f t="shared" si="165"/>
        <v>0</v>
      </c>
      <c r="Z135" s="30">
        <v>0</v>
      </c>
      <c r="AA135" s="30">
        <v>0</v>
      </c>
      <c r="AB135" s="30">
        <v>0</v>
      </c>
      <c r="AC135" s="34">
        <v>0</v>
      </c>
      <c r="AD135" s="36">
        <v>3.4664822400000003E-2</v>
      </c>
      <c r="AE135" s="36">
        <f t="shared" si="175"/>
        <v>3.1712810000000001E-2</v>
      </c>
      <c r="AF135" s="36">
        <f t="shared" si="175"/>
        <v>0</v>
      </c>
      <c r="AG135" s="36">
        <f t="shared" si="175"/>
        <v>3.1712810000000001E-2</v>
      </c>
      <c r="AH135" s="36">
        <f t="shared" si="172"/>
        <v>0</v>
      </c>
      <c r="AI135" s="36">
        <f t="shared" si="144"/>
        <v>0</v>
      </c>
      <c r="AJ135" s="36">
        <f t="shared" si="166"/>
        <v>0</v>
      </c>
      <c r="AK135" s="36">
        <v>0</v>
      </c>
      <c r="AL135" s="36">
        <v>0</v>
      </c>
      <c r="AM135" s="36">
        <v>0</v>
      </c>
      <c r="AN135" s="36">
        <v>0</v>
      </c>
      <c r="AO135" s="34">
        <f t="shared" si="173"/>
        <v>0</v>
      </c>
      <c r="AP135" s="34">
        <v>0</v>
      </c>
      <c r="AQ135" s="34">
        <v>0</v>
      </c>
      <c r="AR135" s="34">
        <v>0</v>
      </c>
      <c r="AS135" s="34">
        <v>0</v>
      </c>
      <c r="AT135" s="34">
        <f t="shared" si="167"/>
        <v>3.1712810000000001E-2</v>
      </c>
      <c r="AU135" s="34">
        <v>0</v>
      </c>
      <c r="AV135" s="34">
        <v>3.1712810000000001E-2</v>
      </c>
      <c r="AW135" s="34">
        <v>0</v>
      </c>
      <c r="AX135" s="34">
        <v>0</v>
      </c>
      <c r="AY135" s="34">
        <f t="shared" si="168"/>
        <v>0</v>
      </c>
      <c r="AZ135" s="34">
        <v>0</v>
      </c>
      <c r="BA135" s="34">
        <v>0</v>
      </c>
      <c r="BB135" s="34">
        <v>0</v>
      </c>
      <c r="BC135" s="34">
        <v>0</v>
      </c>
    </row>
    <row r="136" spans="1:90" s="55" customFormat="1" ht="37.5" customHeight="1" x14ac:dyDescent="0.25">
      <c r="A136" s="85" t="s">
        <v>55</v>
      </c>
      <c r="B136" s="96" t="s">
        <v>162</v>
      </c>
      <c r="C136" s="97" t="s">
        <v>163</v>
      </c>
      <c r="D136" s="88">
        <v>4.1597786880000001E-2</v>
      </c>
      <c r="E136" s="29">
        <f t="shared" si="174"/>
        <v>3.7561079999999997E-2</v>
      </c>
      <c r="F136" s="29">
        <f t="shared" si="174"/>
        <v>0</v>
      </c>
      <c r="G136" s="29">
        <f t="shared" si="174"/>
        <v>3.7561079999999997E-2</v>
      </c>
      <c r="H136" s="29">
        <f t="shared" si="169"/>
        <v>0</v>
      </c>
      <c r="I136" s="29">
        <f t="shared" si="141"/>
        <v>0</v>
      </c>
      <c r="J136" s="29">
        <f t="shared" si="170"/>
        <v>3.7561079999999997E-2</v>
      </c>
      <c r="K136" s="29">
        <v>0</v>
      </c>
      <c r="L136" s="29">
        <v>3.7561079999999997E-2</v>
      </c>
      <c r="M136" s="29">
        <v>0</v>
      </c>
      <c r="N136" s="29">
        <v>0</v>
      </c>
      <c r="O136" s="29">
        <f t="shared" si="171"/>
        <v>0</v>
      </c>
      <c r="P136" s="29">
        <v>0</v>
      </c>
      <c r="Q136" s="29">
        <v>0</v>
      </c>
      <c r="R136" s="29">
        <v>0</v>
      </c>
      <c r="S136" s="29">
        <v>0</v>
      </c>
      <c r="T136" s="30">
        <f t="shared" si="164"/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f t="shared" si="165"/>
        <v>0</v>
      </c>
      <c r="Z136" s="30">
        <v>0</v>
      </c>
      <c r="AA136" s="30">
        <v>0</v>
      </c>
      <c r="AB136" s="30">
        <v>0</v>
      </c>
      <c r="AC136" s="34">
        <v>0</v>
      </c>
      <c r="AD136" s="36">
        <v>3.4664822400000003E-2</v>
      </c>
      <c r="AE136" s="36">
        <f t="shared" si="175"/>
        <v>3.13009E-2</v>
      </c>
      <c r="AF136" s="36">
        <f t="shared" si="175"/>
        <v>0</v>
      </c>
      <c r="AG136" s="36">
        <f t="shared" si="175"/>
        <v>3.13009E-2</v>
      </c>
      <c r="AH136" s="36">
        <f t="shared" si="172"/>
        <v>0</v>
      </c>
      <c r="AI136" s="36">
        <f t="shared" si="144"/>
        <v>0</v>
      </c>
      <c r="AJ136" s="36">
        <f t="shared" si="166"/>
        <v>3.13009E-2</v>
      </c>
      <c r="AK136" s="36">
        <v>0</v>
      </c>
      <c r="AL136" s="36">
        <v>3.13009E-2</v>
      </c>
      <c r="AM136" s="36">
        <v>0</v>
      </c>
      <c r="AN136" s="36">
        <v>0</v>
      </c>
      <c r="AO136" s="34">
        <f t="shared" si="173"/>
        <v>0</v>
      </c>
      <c r="AP136" s="34">
        <v>0</v>
      </c>
      <c r="AQ136" s="34">
        <v>0</v>
      </c>
      <c r="AR136" s="34">
        <v>0</v>
      </c>
      <c r="AS136" s="34">
        <v>0</v>
      </c>
      <c r="AT136" s="34">
        <f t="shared" si="167"/>
        <v>0</v>
      </c>
      <c r="AU136" s="34">
        <v>0</v>
      </c>
      <c r="AV136" s="34">
        <v>0</v>
      </c>
      <c r="AW136" s="34">
        <v>0</v>
      </c>
      <c r="AX136" s="34">
        <v>0</v>
      </c>
      <c r="AY136" s="34">
        <f t="shared" si="168"/>
        <v>0</v>
      </c>
      <c r="AZ136" s="34">
        <v>0</v>
      </c>
      <c r="BA136" s="34">
        <v>0</v>
      </c>
      <c r="BB136" s="34">
        <v>0</v>
      </c>
      <c r="BC136" s="34">
        <v>0</v>
      </c>
    </row>
    <row r="137" spans="1:90" s="55" customFormat="1" ht="35.25" customHeight="1" x14ac:dyDescent="0.25">
      <c r="A137" s="85" t="s">
        <v>55</v>
      </c>
      <c r="B137" s="96" t="s">
        <v>164</v>
      </c>
      <c r="C137" s="97" t="s">
        <v>165</v>
      </c>
      <c r="D137" s="88">
        <v>4.1597786880000001E-2</v>
      </c>
      <c r="E137" s="29">
        <f t="shared" si="174"/>
        <v>3.7649964000000001E-2</v>
      </c>
      <c r="F137" s="29">
        <f t="shared" si="174"/>
        <v>0</v>
      </c>
      <c r="G137" s="29">
        <f t="shared" si="174"/>
        <v>3.7649964000000001E-2</v>
      </c>
      <c r="H137" s="29">
        <f t="shared" si="169"/>
        <v>0</v>
      </c>
      <c r="I137" s="29">
        <f t="shared" si="141"/>
        <v>0</v>
      </c>
      <c r="J137" s="29">
        <f t="shared" si="170"/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f t="shared" si="171"/>
        <v>0</v>
      </c>
      <c r="P137" s="29">
        <v>0</v>
      </c>
      <c r="Q137" s="29">
        <v>0</v>
      </c>
      <c r="R137" s="29">
        <v>0</v>
      </c>
      <c r="S137" s="29">
        <v>0</v>
      </c>
      <c r="T137" s="30">
        <f t="shared" si="164"/>
        <v>3.7649964000000001E-2</v>
      </c>
      <c r="U137" s="30">
        <v>0</v>
      </c>
      <c r="V137" s="30">
        <v>3.7649964000000001E-2</v>
      </c>
      <c r="W137" s="30">
        <v>0</v>
      </c>
      <c r="X137" s="30">
        <v>0</v>
      </c>
      <c r="Y137" s="30">
        <f t="shared" si="165"/>
        <v>0</v>
      </c>
      <c r="Z137" s="30">
        <v>0</v>
      </c>
      <c r="AA137" s="30">
        <v>0</v>
      </c>
      <c r="AB137" s="30">
        <v>0</v>
      </c>
      <c r="AC137" s="34">
        <v>0</v>
      </c>
      <c r="AD137" s="36">
        <v>3.4664822400000003E-2</v>
      </c>
      <c r="AE137" s="36">
        <f t="shared" si="175"/>
        <v>3.1374970000000002E-2</v>
      </c>
      <c r="AF137" s="36">
        <f t="shared" si="175"/>
        <v>0</v>
      </c>
      <c r="AG137" s="36">
        <f t="shared" si="175"/>
        <v>3.1374970000000002E-2</v>
      </c>
      <c r="AH137" s="36">
        <f t="shared" si="172"/>
        <v>0</v>
      </c>
      <c r="AI137" s="36">
        <f t="shared" si="144"/>
        <v>0</v>
      </c>
      <c r="AJ137" s="36">
        <f t="shared" si="166"/>
        <v>0</v>
      </c>
      <c r="AK137" s="36">
        <v>0</v>
      </c>
      <c r="AL137" s="36">
        <v>0</v>
      </c>
      <c r="AM137" s="36">
        <v>0</v>
      </c>
      <c r="AN137" s="36">
        <v>0</v>
      </c>
      <c r="AO137" s="34">
        <f t="shared" si="173"/>
        <v>0</v>
      </c>
      <c r="AP137" s="34">
        <v>0</v>
      </c>
      <c r="AQ137" s="34">
        <v>0</v>
      </c>
      <c r="AR137" s="34">
        <v>0</v>
      </c>
      <c r="AS137" s="34">
        <v>0</v>
      </c>
      <c r="AT137" s="34">
        <f t="shared" si="167"/>
        <v>3.1374970000000002E-2</v>
      </c>
      <c r="AU137" s="34">
        <v>0</v>
      </c>
      <c r="AV137" s="34">
        <v>3.1374970000000002E-2</v>
      </c>
      <c r="AW137" s="34">
        <v>0</v>
      </c>
      <c r="AX137" s="34">
        <v>0</v>
      </c>
      <c r="AY137" s="34">
        <f t="shared" si="168"/>
        <v>0</v>
      </c>
      <c r="AZ137" s="34">
        <v>0</v>
      </c>
      <c r="BA137" s="34">
        <v>0</v>
      </c>
      <c r="BB137" s="34">
        <v>0</v>
      </c>
      <c r="BC137" s="34">
        <v>0</v>
      </c>
    </row>
    <row r="138" spans="1:90" s="55" customFormat="1" ht="27" customHeight="1" x14ac:dyDescent="0.25">
      <c r="A138" s="98" t="s">
        <v>55</v>
      </c>
      <c r="B138" s="96" t="s">
        <v>397</v>
      </c>
      <c r="C138" s="99" t="s">
        <v>398</v>
      </c>
      <c r="D138" s="88">
        <v>0</v>
      </c>
      <c r="E138" s="29">
        <f t="shared" si="174"/>
        <v>3.7405451999999999E-2</v>
      </c>
      <c r="F138" s="29">
        <f t="shared" si="174"/>
        <v>0</v>
      </c>
      <c r="G138" s="29">
        <f t="shared" si="174"/>
        <v>3.7405451999999999E-2</v>
      </c>
      <c r="H138" s="29">
        <f t="shared" si="169"/>
        <v>0</v>
      </c>
      <c r="I138" s="29">
        <f t="shared" si="141"/>
        <v>0</v>
      </c>
      <c r="J138" s="29">
        <f t="shared" si="170"/>
        <v>3.7405451999999999E-2</v>
      </c>
      <c r="K138" s="29">
        <v>0</v>
      </c>
      <c r="L138" s="29">
        <v>3.7405451999999999E-2</v>
      </c>
      <c r="M138" s="29">
        <v>0</v>
      </c>
      <c r="N138" s="29">
        <v>0</v>
      </c>
      <c r="O138" s="29">
        <f t="shared" si="171"/>
        <v>0</v>
      </c>
      <c r="P138" s="29">
        <v>0</v>
      </c>
      <c r="Q138" s="29">
        <v>0</v>
      </c>
      <c r="R138" s="29">
        <v>0</v>
      </c>
      <c r="S138" s="29">
        <v>0</v>
      </c>
      <c r="T138" s="30">
        <f t="shared" si="164"/>
        <v>0</v>
      </c>
      <c r="U138" s="30">
        <v>0</v>
      </c>
      <c r="V138" s="30">
        <v>0</v>
      </c>
      <c r="W138" s="30">
        <v>0</v>
      </c>
      <c r="X138" s="30">
        <v>0</v>
      </c>
      <c r="Y138" s="30">
        <f t="shared" si="165"/>
        <v>0</v>
      </c>
      <c r="Z138" s="30">
        <v>0</v>
      </c>
      <c r="AA138" s="30">
        <v>0</v>
      </c>
      <c r="AB138" s="30">
        <v>0</v>
      </c>
      <c r="AC138" s="34">
        <v>0</v>
      </c>
      <c r="AD138" s="36">
        <f>D138/1.2</f>
        <v>0</v>
      </c>
      <c r="AE138" s="36">
        <f t="shared" si="175"/>
        <v>3.1171209999999998E-2</v>
      </c>
      <c r="AF138" s="36">
        <f t="shared" si="175"/>
        <v>0</v>
      </c>
      <c r="AG138" s="36">
        <f t="shared" si="175"/>
        <v>3.1171209999999998E-2</v>
      </c>
      <c r="AH138" s="36">
        <f t="shared" si="172"/>
        <v>0</v>
      </c>
      <c r="AI138" s="36">
        <f t="shared" si="144"/>
        <v>0</v>
      </c>
      <c r="AJ138" s="36">
        <f t="shared" si="166"/>
        <v>3.1171209999999998E-2</v>
      </c>
      <c r="AK138" s="36">
        <v>0</v>
      </c>
      <c r="AL138" s="36">
        <v>3.1171209999999998E-2</v>
      </c>
      <c r="AM138" s="36">
        <v>0</v>
      </c>
      <c r="AN138" s="36">
        <v>0</v>
      </c>
      <c r="AO138" s="34">
        <f t="shared" si="173"/>
        <v>0</v>
      </c>
      <c r="AP138" s="34">
        <v>0</v>
      </c>
      <c r="AQ138" s="34">
        <v>0</v>
      </c>
      <c r="AR138" s="34">
        <v>0</v>
      </c>
      <c r="AS138" s="34">
        <v>0</v>
      </c>
      <c r="AT138" s="34">
        <f t="shared" si="167"/>
        <v>0</v>
      </c>
      <c r="AU138" s="34">
        <v>0</v>
      </c>
      <c r="AV138" s="34">
        <v>0</v>
      </c>
      <c r="AW138" s="34">
        <v>0</v>
      </c>
      <c r="AX138" s="34">
        <v>0</v>
      </c>
      <c r="AY138" s="34">
        <f t="shared" si="168"/>
        <v>0</v>
      </c>
      <c r="AZ138" s="34">
        <v>0</v>
      </c>
      <c r="BA138" s="34">
        <v>0</v>
      </c>
      <c r="BB138" s="34">
        <v>0</v>
      </c>
      <c r="BC138" s="34">
        <v>0</v>
      </c>
    </row>
    <row r="139" spans="1:90" s="55" customFormat="1" ht="35.25" customHeight="1" x14ac:dyDescent="0.25">
      <c r="A139" s="100" t="s">
        <v>55</v>
      </c>
      <c r="B139" s="101" t="s">
        <v>626</v>
      </c>
      <c r="C139" s="102" t="s">
        <v>627</v>
      </c>
      <c r="D139" s="88">
        <v>0</v>
      </c>
      <c r="E139" s="29">
        <f t="shared" si="174"/>
        <v>3.7117188000000002E-2</v>
      </c>
      <c r="F139" s="29">
        <f t="shared" si="174"/>
        <v>0</v>
      </c>
      <c r="G139" s="29">
        <f t="shared" si="174"/>
        <v>3.7117188000000002E-2</v>
      </c>
      <c r="H139" s="29">
        <f t="shared" si="169"/>
        <v>0</v>
      </c>
      <c r="I139" s="29">
        <f t="shared" si="141"/>
        <v>0</v>
      </c>
      <c r="J139" s="29">
        <f t="shared" si="170"/>
        <v>0</v>
      </c>
      <c r="K139" s="103">
        <v>0</v>
      </c>
      <c r="L139" s="103">
        <v>0</v>
      </c>
      <c r="M139" s="103">
        <v>0</v>
      </c>
      <c r="N139" s="103">
        <v>0</v>
      </c>
      <c r="O139" s="103">
        <v>0</v>
      </c>
      <c r="P139" s="103">
        <v>0</v>
      </c>
      <c r="Q139" s="103">
        <v>0</v>
      </c>
      <c r="R139" s="103">
        <v>0</v>
      </c>
      <c r="S139" s="103">
        <v>0</v>
      </c>
      <c r="T139" s="30">
        <f t="shared" si="164"/>
        <v>3.7117188000000002E-2</v>
      </c>
      <c r="U139" s="30">
        <v>0</v>
      </c>
      <c r="V139" s="30">
        <v>3.7117188000000002E-2</v>
      </c>
      <c r="W139" s="30">
        <v>0</v>
      </c>
      <c r="X139" s="30">
        <v>0</v>
      </c>
      <c r="Y139" s="30">
        <f t="shared" si="165"/>
        <v>0</v>
      </c>
      <c r="Z139" s="30">
        <v>0</v>
      </c>
      <c r="AA139" s="30">
        <v>0</v>
      </c>
      <c r="AB139" s="30">
        <v>0</v>
      </c>
      <c r="AC139" s="34">
        <v>0</v>
      </c>
      <c r="AD139" s="36">
        <v>0</v>
      </c>
      <c r="AE139" s="36">
        <f t="shared" si="175"/>
        <v>3.0930990000000002E-2</v>
      </c>
      <c r="AF139" s="36">
        <f t="shared" si="175"/>
        <v>0</v>
      </c>
      <c r="AG139" s="36">
        <f t="shared" si="175"/>
        <v>3.0930990000000002E-2</v>
      </c>
      <c r="AH139" s="36">
        <f t="shared" si="172"/>
        <v>0</v>
      </c>
      <c r="AI139" s="36">
        <f t="shared" si="144"/>
        <v>0</v>
      </c>
      <c r="AJ139" s="36">
        <v>0</v>
      </c>
      <c r="AK139" s="36">
        <v>0</v>
      </c>
      <c r="AL139" s="36">
        <v>0</v>
      </c>
      <c r="AM139" s="36">
        <v>0</v>
      </c>
      <c r="AN139" s="36">
        <v>0</v>
      </c>
      <c r="AO139" s="36">
        <v>0</v>
      </c>
      <c r="AP139" s="36">
        <v>0</v>
      </c>
      <c r="AQ139" s="36">
        <v>0</v>
      </c>
      <c r="AR139" s="36">
        <v>0</v>
      </c>
      <c r="AS139" s="36">
        <v>0</v>
      </c>
      <c r="AT139" s="34">
        <f t="shared" si="167"/>
        <v>3.0930990000000002E-2</v>
      </c>
      <c r="AU139" s="34">
        <v>0</v>
      </c>
      <c r="AV139" s="34">
        <v>3.0930990000000002E-2</v>
      </c>
      <c r="AW139" s="34">
        <v>0</v>
      </c>
      <c r="AX139" s="34">
        <v>0</v>
      </c>
      <c r="AY139" s="34">
        <f t="shared" si="168"/>
        <v>0</v>
      </c>
      <c r="AZ139" s="34">
        <v>0</v>
      </c>
      <c r="BA139" s="34">
        <v>0</v>
      </c>
      <c r="BB139" s="34">
        <v>0</v>
      </c>
      <c r="BC139" s="34">
        <v>0</v>
      </c>
    </row>
    <row r="140" spans="1:90" s="55" customFormat="1" ht="35.25" customHeight="1" x14ac:dyDescent="0.25">
      <c r="A140" s="100" t="s">
        <v>55</v>
      </c>
      <c r="B140" s="101" t="s">
        <v>712</v>
      </c>
      <c r="C140" s="102" t="s">
        <v>713</v>
      </c>
      <c r="D140" s="88">
        <v>0</v>
      </c>
      <c r="E140" s="29">
        <f t="shared" si="174"/>
        <v>3.7832364E-2</v>
      </c>
      <c r="F140" s="29">
        <f t="shared" si="174"/>
        <v>0</v>
      </c>
      <c r="G140" s="29">
        <f t="shared" si="174"/>
        <v>3.7832364E-2</v>
      </c>
      <c r="H140" s="29">
        <f t="shared" si="169"/>
        <v>0</v>
      </c>
      <c r="I140" s="29">
        <f t="shared" si="141"/>
        <v>0</v>
      </c>
      <c r="J140" s="29">
        <f t="shared" si="170"/>
        <v>0</v>
      </c>
      <c r="K140" s="103">
        <v>0</v>
      </c>
      <c r="L140" s="103">
        <v>0</v>
      </c>
      <c r="M140" s="103">
        <v>0</v>
      </c>
      <c r="N140" s="103">
        <v>0</v>
      </c>
      <c r="O140" s="103">
        <v>0</v>
      </c>
      <c r="P140" s="103">
        <v>0</v>
      </c>
      <c r="Q140" s="103">
        <v>0</v>
      </c>
      <c r="R140" s="103">
        <v>0</v>
      </c>
      <c r="S140" s="103">
        <v>0</v>
      </c>
      <c r="T140" s="119">
        <v>0</v>
      </c>
      <c r="U140" s="119">
        <v>0</v>
      </c>
      <c r="V140" s="119">
        <v>0</v>
      </c>
      <c r="W140" s="119">
        <v>0</v>
      </c>
      <c r="X140" s="119">
        <v>0</v>
      </c>
      <c r="Y140" s="30">
        <f t="shared" si="165"/>
        <v>3.7832364E-2</v>
      </c>
      <c r="Z140" s="30">
        <v>0</v>
      </c>
      <c r="AA140" s="30">
        <v>3.7832364E-2</v>
      </c>
      <c r="AB140" s="30">
        <v>0</v>
      </c>
      <c r="AC140" s="34">
        <v>0</v>
      </c>
      <c r="AD140" s="36">
        <v>0</v>
      </c>
      <c r="AE140" s="36">
        <f t="shared" si="175"/>
        <v>3.1526970000000001E-2</v>
      </c>
      <c r="AF140" s="36">
        <f t="shared" si="175"/>
        <v>0</v>
      </c>
      <c r="AG140" s="36">
        <f t="shared" si="175"/>
        <v>3.1526970000000001E-2</v>
      </c>
      <c r="AH140" s="36">
        <f t="shared" si="172"/>
        <v>0</v>
      </c>
      <c r="AI140" s="36">
        <f t="shared" si="144"/>
        <v>0</v>
      </c>
      <c r="AJ140" s="36">
        <v>0</v>
      </c>
      <c r="AK140" s="36">
        <v>0</v>
      </c>
      <c r="AL140" s="36">
        <v>0</v>
      </c>
      <c r="AM140" s="36">
        <v>0</v>
      </c>
      <c r="AN140" s="36">
        <v>0</v>
      </c>
      <c r="AO140" s="36">
        <v>0</v>
      </c>
      <c r="AP140" s="36">
        <v>0</v>
      </c>
      <c r="AQ140" s="36">
        <v>0</v>
      </c>
      <c r="AR140" s="36">
        <v>0</v>
      </c>
      <c r="AS140" s="36">
        <v>0</v>
      </c>
      <c r="AT140" s="36">
        <v>0</v>
      </c>
      <c r="AU140" s="36">
        <v>0</v>
      </c>
      <c r="AV140" s="36">
        <v>0</v>
      </c>
      <c r="AW140" s="36">
        <v>0</v>
      </c>
      <c r="AX140" s="36">
        <v>0</v>
      </c>
      <c r="AY140" s="34">
        <f>AZ140+BA140+BB140+BC140</f>
        <v>3.1526970000000001E-2</v>
      </c>
      <c r="AZ140" s="34">
        <v>0</v>
      </c>
      <c r="BA140" s="34">
        <v>3.1526970000000001E-2</v>
      </c>
      <c r="BB140" s="34">
        <v>0</v>
      </c>
      <c r="BC140" s="34">
        <v>0</v>
      </c>
    </row>
    <row r="141" spans="1:90" s="55" customFormat="1" ht="35.25" customHeight="1" x14ac:dyDescent="0.25">
      <c r="A141" s="100" t="s">
        <v>55</v>
      </c>
      <c r="B141" s="101" t="s">
        <v>714</v>
      </c>
      <c r="C141" s="102" t="s">
        <v>715</v>
      </c>
      <c r="D141" s="88">
        <v>0</v>
      </c>
      <c r="E141" s="29">
        <f t="shared" si="174"/>
        <v>3.7541123999999995E-2</v>
      </c>
      <c r="F141" s="29">
        <f t="shared" si="174"/>
        <v>0</v>
      </c>
      <c r="G141" s="29">
        <f t="shared" si="174"/>
        <v>3.7541123999999995E-2</v>
      </c>
      <c r="H141" s="29">
        <f t="shared" si="169"/>
        <v>0</v>
      </c>
      <c r="I141" s="29">
        <f t="shared" si="141"/>
        <v>0</v>
      </c>
      <c r="J141" s="29">
        <f t="shared" si="170"/>
        <v>0</v>
      </c>
      <c r="K141" s="103">
        <v>0</v>
      </c>
      <c r="L141" s="103">
        <v>0</v>
      </c>
      <c r="M141" s="103">
        <v>0</v>
      </c>
      <c r="N141" s="103">
        <v>0</v>
      </c>
      <c r="O141" s="103">
        <v>0</v>
      </c>
      <c r="P141" s="103">
        <v>0</v>
      </c>
      <c r="Q141" s="103">
        <v>0</v>
      </c>
      <c r="R141" s="103">
        <v>0</v>
      </c>
      <c r="S141" s="103">
        <v>0</v>
      </c>
      <c r="T141" s="119">
        <v>0</v>
      </c>
      <c r="U141" s="119">
        <v>0</v>
      </c>
      <c r="V141" s="119">
        <v>0</v>
      </c>
      <c r="W141" s="119">
        <v>0</v>
      </c>
      <c r="X141" s="119">
        <v>0</v>
      </c>
      <c r="Y141" s="30">
        <f t="shared" si="165"/>
        <v>3.7541123999999995E-2</v>
      </c>
      <c r="Z141" s="30">
        <v>0</v>
      </c>
      <c r="AA141" s="30">
        <v>3.7541123999999995E-2</v>
      </c>
      <c r="AB141" s="30">
        <v>0</v>
      </c>
      <c r="AC141" s="34">
        <v>0</v>
      </c>
      <c r="AD141" s="36">
        <v>0</v>
      </c>
      <c r="AE141" s="36">
        <f t="shared" si="175"/>
        <v>3.1284269999999996E-2</v>
      </c>
      <c r="AF141" s="36">
        <f t="shared" si="175"/>
        <v>0</v>
      </c>
      <c r="AG141" s="36">
        <f t="shared" si="175"/>
        <v>3.1284269999999996E-2</v>
      </c>
      <c r="AH141" s="36">
        <f t="shared" si="172"/>
        <v>0</v>
      </c>
      <c r="AI141" s="36">
        <f t="shared" si="144"/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36">
        <v>0</v>
      </c>
      <c r="AT141" s="36">
        <v>0</v>
      </c>
      <c r="AU141" s="36">
        <v>0</v>
      </c>
      <c r="AV141" s="36">
        <v>0</v>
      </c>
      <c r="AW141" s="36">
        <v>0</v>
      </c>
      <c r="AX141" s="36">
        <v>0</v>
      </c>
      <c r="AY141" s="34">
        <f>AZ141+BA141+BB141+BC141</f>
        <v>3.1284269999999996E-2</v>
      </c>
      <c r="AZ141" s="34">
        <v>0</v>
      </c>
      <c r="BA141" s="34">
        <v>3.1284269999999996E-2</v>
      </c>
      <c r="BB141" s="34">
        <v>0</v>
      </c>
      <c r="BC141" s="34">
        <v>0</v>
      </c>
    </row>
    <row r="142" spans="1:90" s="55" customFormat="1" ht="35.25" customHeight="1" x14ac:dyDescent="0.25">
      <c r="A142" s="100" t="s">
        <v>55</v>
      </c>
      <c r="B142" s="101" t="s">
        <v>399</v>
      </c>
      <c r="C142" s="102" t="s">
        <v>400</v>
      </c>
      <c r="D142" s="88">
        <v>0</v>
      </c>
      <c r="E142" s="29">
        <f t="shared" si="174"/>
        <v>2.4937979160000001</v>
      </c>
      <c r="F142" s="29">
        <f t="shared" si="174"/>
        <v>0</v>
      </c>
      <c r="G142" s="29">
        <f t="shared" si="174"/>
        <v>5.1700896000000003E-2</v>
      </c>
      <c r="H142" s="29">
        <f t="shared" si="169"/>
        <v>2.4420970200000003</v>
      </c>
      <c r="I142" s="29">
        <f t="shared" si="141"/>
        <v>0</v>
      </c>
      <c r="J142" s="29">
        <f t="shared" si="170"/>
        <v>2.4937979160000001</v>
      </c>
      <c r="K142" s="103">
        <v>0</v>
      </c>
      <c r="L142" s="103">
        <f>43.08408*1.2/1000</f>
        <v>5.1700896000000003E-2</v>
      </c>
      <c r="M142" s="103">
        <f>2035.08085*1.2/1000</f>
        <v>2.4420970200000003</v>
      </c>
      <c r="N142" s="103">
        <v>0</v>
      </c>
      <c r="O142" s="103">
        <v>0</v>
      </c>
      <c r="P142" s="103">
        <v>0</v>
      </c>
      <c r="Q142" s="103">
        <v>0</v>
      </c>
      <c r="R142" s="103">
        <v>0</v>
      </c>
      <c r="S142" s="103">
        <v>0</v>
      </c>
      <c r="T142" s="119">
        <v>0</v>
      </c>
      <c r="U142" s="119">
        <v>0</v>
      </c>
      <c r="V142" s="119">
        <v>0</v>
      </c>
      <c r="W142" s="119">
        <v>0</v>
      </c>
      <c r="X142" s="119">
        <v>0</v>
      </c>
      <c r="Y142" s="30">
        <f t="shared" si="165"/>
        <v>0</v>
      </c>
      <c r="Z142" s="30">
        <v>0</v>
      </c>
      <c r="AA142" s="30">
        <v>0</v>
      </c>
      <c r="AB142" s="30">
        <v>0</v>
      </c>
      <c r="AC142" s="34">
        <v>0</v>
      </c>
      <c r="AD142" s="36">
        <v>0</v>
      </c>
      <c r="AE142" s="36">
        <f t="shared" si="175"/>
        <v>2.1573411999999998</v>
      </c>
      <c r="AF142" s="36">
        <f t="shared" si="175"/>
        <v>0.18257806200000001</v>
      </c>
      <c r="AG142" s="36">
        <f t="shared" si="175"/>
        <v>4.9272781199999995</v>
      </c>
      <c r="AH142" s="36">
        <f t="shared" si="172"/>
        <v>2.0350808499999999</v>
      </c>
      <c r="AI142" s="36">
        <f t="shared" si="144"/>
        <v>2.4937979159999997</v>
      </c>
      <c r="AJ142" s="36">
        <f>AK142+AL142+AM142+AN142</f>
        <v>2.1573411999999998</v>
      </c>
      <c r="AK142" s="36">
        <v>7.9176270000000007E-2</v>
      </c>
      <c r="AL142" s="36">
        <v>4.3084079999999997E-2</v>
      </c>
      <c r="AM142" s="39">
        <v>2.0350808499999999</v>
      </c>
      <c r="AN142" s="36">
        <v>0</v>
      </c>
      <c r="AO142" s="36">
        <f>AT142+AY142+BD142</f>
        <v>0</v>
      </c>
      <c r="AP142" s="36">
        <f>AU142+AZ142+BE142</f>
        <v>5.1700896000000003E-2</v>
      </c>
      <c r="AQ142" s="36">
        <f>AV142+BA142+BF142</f>
        <v>2.4420970199999998</v>
      </c>
      <c r="AR142" s="36">
        <f>AW142+BB142</f>
        <v>0</v>
      </c>
      <c r="AS142" s="36">
        <f t="shared" ref="AS142" si="176">AT142+AU142+AV142+AW142</f>
        <v>2.4937979159999997</v>
      </c>
      <c r="AT142" s="36">
        <v>0</v>
      </c>
      <c r="AU142" s="36">
        <v>5.1700896000000003E-2</v>
      </c>
      <c r="AV142" s="36">
        <v>2.4420970199999998</v>
      </c>
      <c r="AW142" s="36">
        <v>0</v>
      </c>
      <c r="AX142" s="36">
        <f t="shared" ref="AX142" si="177">AY142+AZ142+BA142+BB142</f>
        <v>0</v>
      </c>
      <c r="AY142" s="36">
        <v>0</v>
      </c>
      <c r="AZ142" s="36">
        <v>0</v>
      </c>
      <c r="BA142" s="36">
        <v>0</v>
      </c>
      <c r="BB142" s="36">
        <v>0</v>
      </c>
      <c r="BC142" s="34">
        <f t="shared" ref="BC142" si="178">BD142+BE142+BF142+BG142</f>
        <v>0</v>
      </c>
      <c r="BD142" s="40"/>
      <c r="BE142" s="40"/>
      <c r="BF142" s="40"/>
      <c r="BG142" s="40"/>
      <c r="BH142" s="40"/>
      <c r="BI142" s="40"/>
      <c r="BJ142" s="40"/>
      <c r="BK142" s="40"/>
      <c r="BL142" s="40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</row>
    <row r="143" spans="1:90" s="55" customFormat="1" ht="51.75" customHeight="1" x14ac:dyDescent="0.25">
      <c r="A143" s="104" t="s">
        <v>56</v>
      </c>
      <c r="B143" s="105" t="s">
        <v>166</v>
      </c>
      <c r="C143" s="106" t="s">
        <v>101</v>
      </c>
      <c r="D143" s="84">
        <f>SUM(D144:D267)</f>
        <v>39.501251001762732</v>
      </c>
      <c r="E143" s="75">
        <f t="shared" si="174"/>
        <v>47.234268227999983</v>
      </c>
      <c r="F143" s="75">
        <f t="shared" si="174"/>
        <v>8.9999999999999993E-3</v>
      </c>
      <c r="G143" s="75">
        <f t="shared" si="174"/>
        <v>3.9964231799999994</v>
      </c>
      <c r="H143" s="75">
        <f t="shared" si="169"/>
        <v>43.228845047999997</v>
      </c>
      <c r="I143" s="75">
        <f t="shared" si="141"/>
        <v>0</v>
      </c>
      <c r="J143" s="84">
        <f>SUM(J144:J273)</f>
        <v>16.180941947999997</v>
      </c>
      <c r="K143" s="84">
        <f t="shared" ref="K143:N143" si="179">SUM(K144:K273)</f>
        <v>0</v>
      </c>
      <c r="L143" s="84">
        <f t="shared" si="179"/>
        <v>1.7311797959999999</v>
      </c>
      <c r="M143" s="84">
        <f t="shared" si="179"/>
        <v>14.449762151999998</v>
      </c>
      <c r="N143" s="84">
        <f t="shared" si="179"/>
        <v>0</v>
      </c>
      <c r="O143" s="84">
        <f t="shared" ref="O143:S143" si="180">SUM(O144:O267)</f>
        <v>2.1124178759999999</v>
      </c>
      <c r="P143" s="84">
        <f t="shared" si="180"/>
        <v>0</v>
      </c>
      <c r="Q143" s="84">
        <f t="shared" si="180"/>
        <v>0.42177545999999999</v>
      </c>
      <c r="R143" s="84">
        <f t="shared" si="180"/>
        <v>1.6906424159999998</v>
      </c>
      <c r="S143" s="84">
        <f t="shared" si="180"/>
        <v>0</v>
      </c>
      <c r="T143" s="84">
        <f t="shared" ref="T143:AC143" si="181">SUM(T144:T273)</f>
        <v>7.5475880880000004</v>
      </c>
      <c r="U143" s="84">
        <f t="shared" si="181"/>
        <v>0</v>
      </c>
      <c r="V143" s="84">
        <f t="shared" si="181"/>
        <v>0.55003664400000007</v>
      </c>
      <c r="W143" s="84">
        <f t="shared" si="181"/>
        <v>6.9975514439999991</v>
      </c>
      <c r="X143" s="84">
        <f t="shared" si="181"/>
        <v>0</v>
      </c>
      <c r="Y143" s="75">
        <f t="shared" si="181"/>
        <v>21.393320315999986</v>
      </c>
      <c r="Z143" s="75">
        <f t="shared" si="181"/>
        <v>8.9999999999999993E-3</v>
      </c>
      <c r="AA143" s="75">
        <f t="shared" si="181"/>
        <v>1.2934312799999996</v>
      </c>
      <c r="AB143" s="75">
        <f t="shared" si="181"/>
        <v>20.090889036</v>
      </c>
      <c r="AC143" s="35">
        <f t="shared" si="181"/>
        <v>0</v>
      </c>
      <c r="AD143" s="35">
        <f>SUM(AD144:AD263)</f>
        <v>32.917710158135613</v>
      </c>
      <c r="AE143" s="35">
        <f t="shared" si="175"/>
        <v>38.901269740000004</v>
      </c>
      <c r="AF143" s="35">
        <f t="shared" si="175"/>
        <v>9.171770000000001E-3</v>
      </c>
      <c r="AG143" s="35">
        <f t="shared" si="175"/>
        <v>3.9727071600000015</v>
      </c>
      <c r="AH143" s="35">
        <f t="shared" si="172"/>
        <v>34.919390809999996</v>
      </c>
      <c r="AI143" s="35">
        <f t="shared" si="144"/>
        <v>0</v>
      </c>
      <c r="AJ143" s="35">
        <f>SUM(AJ144:AJ273)</f>
        <v>13.36677931</v>
      </c>
      <c r="AK143" s="35">
        <f>SUM(AK144:AK273)</f>
        <v>0</v>
      </c>
      <c r="AL143" s="35">
        <f>SUM(AL144:AL273)</f>
        <v>1.3652201700000006</v>
      </c>
      <c r="AM143" s="35">
        <f>SUM(AM144:AM273)</f>
        <v>12.001559140000001</v>
      </c>
      <c r="AN143" s="35">
        <f>SUM(AN144:AN273)</f>
        <v>0</v>
      </c>
      <c r="AO143" s="35">
        <f t="shared" ref="AO143:AX143" si="182">SUM(AO144:AO273)</f>
        <v>1.76034823</v>
      </c>
      <c r="AP143" s="35">
        <f t="shared" si="182"/>
        <v>0</v>
      </c>
      <c r="AQ143" s="35">
        <f t="shared" si="182"/>
        <v>0.35147955000000003</v>
      </c>
      <c r="AR143" s="35">
        <f t="shared" si="182"/>
        <v>1.4088686799999999</v>
      </c>
      <c r="AS143" s="35">
        <f t="shared" si="182"/>
        <v>0</v>
      </c>
      <c r="AT143" s="35">
        <f t="shared" si="182"/>
        <v>5.7459196700000001</v>
      </c>
      <c r="AU143" s="35">
        <f t="shared" si="182"/>
        <v>0</v>
      </c>
      <c r="AV143" s="35">
        <f t="shared" si="182"/>
        <v>0.51346638</v>
      </c>
      <c r="AW143" s="35">
        <f t="shared" si="182"/>
        <v>5.2324532899999987</v>
      </c>
      <c r="AX143" s="35">
        <f t="shared" si="182"/>
        <v>0</v>
      </c>
      <c r="AY143" s="35">
        <f>SUM(AY144:AY273)</f>
        <v>18.028222530000008</v>
      </c>
      <c r="AZ143" s="35">
        <f>SUM(AZ144:AZ273)</f>
        <v>9.171770000000001E-3</v>
      </c>
      <c r="BA143" s="35">
        <f>SUM(BA144:BA273)</f>
        <v>1.7425410600000004</v>
      </c>
      <c r="BB143" s="35">
        <f>SUM(BB144:BB273)</f>
        <v>16.276509700000002</v>
      </c>
      <c r="BC143" s="35">
        <f>SUM(BC144:BC273)</f>
        <v>0</v>
      </c>
    </row>
    <row r="144" spans="1:90" s="55" customFormat="1" ht="29.25" customHeight="1" x14ac:dyDescent="0.25">
      <c r="A144" s="98" t="s">
        <v>56</v>
      </c>
      <c r="B144" s="96" t="s">
        <v>167</v>
      </c>
      <c r="C144" s="107" t="s">
        <v>168</v>
      </c>
      <c r="D144" s="88">
        <v>5.2469568000000004</v>
      </c>
      <c r="E144" s="29">
        <f t="shared" si="174"/>
        <v>0.43627546799999994</v>
      </c>
      <c r="F144" s="29">
        <f t="shared" si="174"/>
        <v>0</v>
      </c>
      <c r="G144" s="29">
        <f t="shared" si="174"/>
        <v>6.1775087999999999E-2</v>
      </c>
      <c r="H144" s="29">
        <f t="shared" si="169"/>
        <v>0.37450037999999997</v>
      </c>
      <c r="I144" s="29">
        <f t="shared" si="141"/>
        <v>0</v>
      </c>
      <c r="J144" s="29">
        <f t="shared" si="170"/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f t="shared" ref="O144:O174" si="183">P144+Q144+R144+S144</f>
        <v>0</v>
      </c>
      <c r="P144" s="29">
        <v>0</v>
      </c>
      <c r="Q144" s="29">
        <v>0</v>
      </c>
      <c r="R144" s="29">
        <v>0</v>
      </c>
      <c r="S144" s="29">
        <v>0</v>
      </c>
      <c r="T144" s="30">
        <f t="shared" ref="T144:T222" si="184">U144+V144+W144+X144</f>
        <v>0</v>
      </c>
      <c r="U144" s="30">
        <v>0</v>
      </c>
      <c r="V144" s="30">
        <v>0</v>
      </c>
      <c r="W144" s="30">
        <v>0</v>
      </c>
      <c r="X144" s="30">
        <v>0</v>
      </c>
      <c r="Y144" s="30">
        <f t="shared" ref="Y144:Y222" si="185">Z144+AA144+AB144+AC144</f>
        <v>0.43627546799999994</v>
      </c>
      <c r="Z144" s="30">
        <v>0</v>
      </c>
      <c r="AA144" s="30">
        <v>6.1775087999999999E-2</v>
      </c>
      <c r="AB144" s="30">
        <v>0.37450037999999997</v>
      </c>
      <c r="AC144" s="34">
        <v>0</v>
      </c>
      <c r="AD144" s="36">
        <v>4.3724640000000008</v>
      </c>
      <c r="AE144" s="36">
        <f t="shared" si="175"/>
        <v>0.36356288999999997</v>
      </c>
      <c r="AF144" s="36">
        <f t="shared" si="175"/>
        <v>0</v>
      </c>
      <c r="AG144" s="36">
        <f t="shared" si="175"/>
        <v>5.1479239999999996E-2</v>
      </c>
      <c r="AH144" s="36">
        <f t="shared" si="172"/>
        <v>0.31208364999999999</v>
      </c>
      <c r="AI144" s="36">
        <f t="shared" si="144"/>
        <v>0</v>
      </c>
      <c r="AJ144" s="36">
        <f t="shared" si="166"/>
        <v>0</v>
      </c>
      <c r="AK144" s="36">
        <v>0</v>
      </c>
      <c r="AL144" s="36">
        <v>0</v>
      </c>
      <c r="AM144" s="36">
        <v>0</v>
      </c>
      <c r="AN144" s="36">
        <v>0</v>
      </c>
      <c r="AO144" s="34">
        <f t="shared" ref="AO144:AO174" si="186">AP144+AQ144+AR144+AS144</f>
        <v>0</v>
      </c>
      <c r="AP144" s="34">
        <v>0</v>
      </c>
      <c r="AQ144" s="34">
        <v>0</v>
      </c>
      <c r="AR144" s="34">
        <v>0</v>
      </c>
      <c r="AS144" s="34">
        <v>0</v>
      </c>
      <c r="AT144" s="34">
        <f t="shared" ref="AT144:AT222" si="187">AU144+AV144+AW144+AX144</f>
        <v>0</v>
      </c>
      <c r="AU144" s="34">
        <v>0</v>
      </c>
      <c r="AV144" s="34">
        <v>0</v>
      </c>
      <c r="AW144" s="34">
        <v>0</v>
      </c>
      <c r="AX144" s="34">
        <v>0</v>
      </c>
      <c r="AY144" s="34">
        <f t="shared" ref="AY144:AY222" si="188">AZ144+BA144+BB144+BC144</f>
        <v>0.36356288999999997</v>
      </c>
      <c r="AZ144" s="34">
        <v>0</v>
      </c>
      <c r="BA144" s="34">
        <v>5.1479239999999996E-2</v>
      </c>
      <c r="BB144" s="34">
        <v>0.31208364999999999</v>
      </c>
      <c r="BC144" s="34">
        <v>0</v>
      </c>
    </row>
    <row r="145" spans="1:55" s="55" customFormat="1" ht="27.75" customHeight="1" x14ac:dyDescent="0.25">
      <c r="A145" s="98" t="s">
        <v>56</v>
      </c>
      <c r="B145" s="96" t="s">
        <v>169</v>
      </c>
      <c r="C145" s="107" t="s">
        <v>170</v>
      </c>
      <c r="D145" s="88">
        <v>1.1140584</v>
      </c>
      <c r="E145" s="29">
        <f t="shared" si="174"/>
        <v>1.157547372</v>
      </c>
      <c r="F145" s="29">
        <f t="shared" si="174"/>
        <v>0</v>
      </c>
      <c r="G145" s="29">
        <f t="shared" si="174"/>
        <v>0.20507854799999997</v>
      </c>
      <c r="H145" s="29">
        <f t="shared" si="169"/>
        <v>0.95246882399999988</v>
      </c>
      <c r="I145" s="29">
        <f t="shared" si="141"/>
        <v>0</v>
      </c>
      <c r="J145" s="29">
        <f t="shared" si="170"/>
        <v>9.2915591999999991E-2</v>
      </c>
      <c r="K145" s="29">
        <v>0</v>
      </c>
      <c r="L145" s="29">
        <f>77.42966*1.2/1000</f>
        <v>9.2915591999999991E-2</v>
      </c>
      <c r="M145" s="29">
        <v>0</v>
      </c>
      <c r="N145" s="29">
        <v>0</v>
      </c>
      <c r="O145" s="29">
        <f t="shared" si="183"/>
        <v>0</v>
      </c>
      <c r="P145" s="29">
        <v>0</v>
      </c>
      <c r="Q145" s="29">
        <v>0</v>
      </c>
      <c r="R145" s="29">
        <v>0</v>
      </c>
      <c r="S145" s="29">
        <v>0</v>
      </c>
      <c r="T145" s="30">
        <f t="shared" si="184"/>
        <v>1.00133418</v>
      </c>
      <c r="U145" s="30">
        <v>0</v>
      </c>
      <c r="V145" s="30">
        <f>40.72113*1.2/1000</f>
        <v>4.8865355999999999E-2</v>
      </c>
      <c r="W145" s="30">
        <f>793.72402*1.2/1000</f>
        <v>0.95246882399999988</v>
      </c>
      <c r="X145" s="30">
        <v>0</v>
      </c>
      <c r="Y145" s="30">
        <f t="shared" si="185"/>
        <v>6.3297599999999996E-2</v>
      </c>
      <c r="Z145" s="30">
        <v>0</v>
      </c>
      <c r="AA145" s="30">
        <f>52.748*1.2/1000</f>
        <v>6.3297599999999996E-2</v>
      </c>
      <c r="AB145" s="30">
        <v>0</v>
      </c>
      <c r="AC145" s="34">
        <v>0</v>
      </c>
      <c r="AD145" s="36">
        <v>0.92838200000000004</v>
      </c>
      <c r="AE145" s="36">
        <f t="shared" si="175"/>
        <v>0.96462281000000005</v>
      </c>
      <c r="AF145" s="36">
        <f t="shared" si="175"/>
        <v>0</v>
      </c>
      <c r="AG145" s="36">
        <f t="shared" si="175"/>
        <v>0.17089878999999999</v>
      </c>
      <c r="AH145" s="36">
        <f t="shared" si="172"/>
        <v>0.79372401999999997</v>
      </c>
      <c r="AI145" s="36">
        <f t="shared" si="144"/>
        <v>0</v>
      </c>
      <c r="AJ145" s="36">
        <f t="shared" si="166"/>
        <v>0</v>
      </c>
      <c r="AK145" s="36">
        <v>0</v>
      </c>
      <c r="AL145" s="36">
        <v>0</v>
      </c>
      <c r="AM145" s="36">
        <v>0</v>
      </c>
      <c r="AN145" s="36">
        <v>0</v>
      </c>
      <c r="AO145" s="34">
        <f t="shared" si="186"/>
        <v>0</v>
      </c>
      <c r="AP145" s="34">
        <v>0</v>
      </c>
      <c r="AQ145" s="34">
        <v>0</v>
      </c>
      <c r="AR145" s="34">
        <v>0</v>
      </c>
      <c r="AS145" s="34">
        <v>0</v>
      </c>
      <c r="AT145" s="34">
        <f t="shared" si="187"/>
        <v>0.91187481000000004</v>
      </c>
      <c r="AU145" s="34">
        <v>0</v>
      </c>
      <c r="AV145" s="34">
        <v>0.11815079000000001</v>
      </c>
      <c r="AW145" s="34">
        <v>0.79372401999999997</v>
      </c>
      <c r="AX145" s="34">
        <v>0</v>
      </c>
      <c r="AY145" s="34">
        <f t="shared" si="188"/>
        <v>5.2747999999999996E-2</v>
      </c>
      <c r="AZ145" s="34">
        <v>0</v>
      </c>
      <c r="BA145" s="34">
        <v>5.2747999999999996E-2</v>
      </c>
      <c r="BB145" s="34">
        <v>0</v>
      </c>
      <c r="BC145" s="34">
        <v>0</v>
      </c>
    </row>
    <row r="146" spans="1:55" s="55" customFormat="1" ht="27.75" customHeight="1" x14ac:dyDescent="0.25">
      <c r="A146" s="31" t="s">
        <v>56</v>
      </c>
      <c r="B146" s="96" t="s">
        <v>401</v>
      </c>
      <c r="C146" s="108" t="s">
        <v>402</v>
      </c>
      <c r="D146" s="88">
        <v>0</v>
      </c>
      <c r="E146" s="29">
        <f t="shared" si="174"/>
        <v>5.2257275999999998E-2</v>
      </c>
      <c r="F146" s="29">
        <f t="shared" si="174"/>
        <v>0</v>
      </c>
      <c r="G146" s="29">
        <f t="shared" si="174"/>
        <v>4.4376539999999999E-2</v>
      </c>
      <c r="H146" s="29">
        <f t="shared" si="169"/>
        <v>7.8807359999999993E-3</v>
      </c>
      <c r="I146" s="29">
        <f t="shared" si="141"/>
        <v>0</v>
      </c>
      <c r="J146" s="29">
        <f t="shared" si="170"/>
        <v>5.2257275999999998E-2</v>
      </c>
      <c r="K146" s="29">
        <v>0</v>
      </c>
      <c r="L146" s="29">
        <v>4.4376539999999999E-2</v>
      </c>
      <c r="M146" s="29">
        <v>7.8807359999999993E-3</v>
      </c>
      <c r="N146" s="29">
        <v>0</v>
      </c>
      <c r="O146" s="29">
        <f t="shared" si="183"/>
        <v>0</v>
      </c>
      <c r="P146" s="29">
        <v>0</v>
      </c>
      <c r="Q146" s="29">
        <v>0</v>
      </c>
      <c r="R146" s="29">
        <v>0</v>
      </c>
      <c r="S146" s="29">
        <v>0</v>
      </c>
      <c r="T146" s="30">
        <f t="shared" si="184"/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f t="shared" si="185"/>
        <v>0</v>
      </c>
      <c r="Z146" s="30">
        <v>0</v>
      </c>
      <c r="AA146" s="30">
        <v>0</v>
      </c>
      <c r="AB146" s="30">
        <v>0</v>
      </c>
      <c r="AC146" s="34">
        <v>0</v>
      </c>
      <c r="AD146" s="36">
        <v>0</v>
      </c>
      <c r="AE146" s="36">
        <f t="shared" si="175"/>
        <v>4.354773E-2</v>
      </c>
      <c r="AF146" s="36">
        <f t="shared" si="175"/>
        <v>0</v>
      </c>
      <c r="AG146" s="36">
        <f t="shared" si="175"/>
        <v>3.6980449999999998E-2</v>
      </c>
      <c r="AH146" s="36">
        <f t="shared" si="172"/>
        <v>6.56728E-3</v>
      </c>
      <c r="AI146" s="36">
        <f t="shared" si="144"/>
        <v>0</v>
      </c>
      <c r="AJ146" s="36">
        <f t="shared" si="166"/>
        <v>4.354773E-2</v>
      </c>
      <c r="AK146" s="36">
        <v>0</v>
      </c>
      <c r="AL146" s="36">
        <v>3.6980449999999998E-2</v>
      </c>
      <c r="AM146" s="36">
        <v>6.56728E-3</v>
      </c>
      <c r="AN146" s="36">
        <v>0</v>
      </c>
      <c r="AO146" s="34">
        <f t="shared" si="186"/>
        <v>0</v>
      </c>
      <c r="AP146" s="34">
        <v>0</v>
      </c>
      <c r="AQ146" s="34">
        <v>0</v>
      </c>
      <c r="AR146" s="34">
        <v>0</v>
      </c>
      <c r="AS146" s="34">
        <v>0</v>
      </c>
      <c r="AT146" s="34">
        <f t="shared" si="187"/>
        <v>0</v>
      </c>
      <c r="AU146" s="34">
        <v>0</v>
      </c>
      <c r="AV146" s="34">
        <v>0</v>
      </c>
      <c r="AW146" s="34">
        <v>0</v>
      </c>
      <c r="AX146" s="34">
        <v>0</v>
      </c>
      <c r="AY146" s="34">
        <f t="shared" si="188"/>
        <v>0</v>
      </c>
      <c r="AZ146" s="34">
        <v>0</v>
      </c>
      <c r="BA146" s="34">
        <v>0</v>
      </c>
      <c r="BB146" s="34">
        <v>0</v>
      </c>
      <c r="BC146" s="34">
        <v>0</v>
      </c>
    </row>
    <row r="147" spans="1:55" s="55" customFormat="1" ht="27.75" customHeight="1" x14ac:dyDescent="0.25">
      <c r="A147" s="31" t="s">
        <v>56</v>
      </c>
      <c r="B147" s="96" t="s">
        <v>403</v>
      </c>
      <c r="C147" s="108" t="s">
        <v>404</v>
      </c>
      <c r="D147" s="88">
        <v>0</v>
      </c>
      <c r="E147" s="29">
        <f t="shared" si="174"/>
        <v>5.5317768000000003E-2</v>
      </c>
      <c r="F147" s="29">
        <f t="shared" si="174"/>
        <v>0</v>
      </c>
      <c r="G147" s="29">
        <f t="shared" si="174"/>
        <v>3.3039527999999999E-2</v>
      </c>
      <c r="H147" s="29">
        <f t="shared" si="169"/>
        <v>2.2278240000000001E-2</v>
      </c>
      <c r="I147" s="29">
        <f t="shared" si="141"/>
        <v>0</v>
      </c>
      <c r="J147" s="29">
        <f t="shared" si="170"/>
        <v>5.5317768000000003E-2</v>
      </c>
      <c r="K147" s="29">
        <v>0</v>
      </c>
      <c r="L147" s="29">
        <v>3.3039527999999999E-2</v>
      </c>
      <c r="M147" s="29">
        <v>2.2278240000000001E-2</v>
      </c>
      <c r="N147" s="29">
        <v>0</v>
      </c>
      <c r="O147" s="29">
        <f t="shared" si="183"/>
        <v>0</v>
      </c>
      <c r="P147" s="29">
        <v>0</v>
      </c>
      <c r="Q147" s="29">
        <v>0</v>
      </c>
      <c r="R147" s="29">
        <v>0</v>
      </c>
      <c r="S147" s="29">
        <v>0</v>
      </c>
      <c r="T147" s="30">
        <f t="shared" si="184"/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f t="shared" si="185"/>
        <v>0</v>
      </c>
      <c r="Z147" s="30">
        <v>0</v>
      </c>
      <c r="AA147" s="30">
        <v>0</v>
      </c>
      <c r="AB147" s="30">
        <v>0</v>
      </c>
      <c r="AC147" s="34">
        <v>0</v>
      </c>
      <c r="AD147" s="36">
        <v>0</v>
      </c>
      <c r="AE147" s="36">
        <f t="shared" si="175"/>
        <v>4.6098139999999996E-2</v>
      </c>
      <c r="AF147" s="36">
        <f t="shared" si="175"/>
        <v>0</v>
      </c>
      <c r="AG147" s="36">
        <f t="shared" si="175"/>
        <v>2.7532939999999999E-2</v>
      </c>
      <c r="AH147" s="36">
        <f t="shared" si="172"/>
        <v>1.85652E-2</v>
      </c>
      <c r="AI147" s="36">
        <f t="shared" si="144"/>
        <v>0</v>
      </c>
      <c r="AJ147" s="36">
        <f t="shared" si="166"/>
        <v>4.6098139999999996E-2</v>
      </c>
      <c r="AK147" s="36">
        <v>0</v>
      </c>
      <c r="AL147" s="36">
        <v>2.7532939999999999E-2</v>
      </c>
      <c r="AM147" s="36">
        <v>1.85652E-2</v>
      </c>
      <c r="AN147" s="36">
        <v>0</v>
      </c>
      <c r="AO147" s="34">
        <f t="shared" si="186"/>
        <v>0</v>
      </c>
      <c r="AP147" s="34">
        <v>0</v>
      </c>
      <c r="AQ147" s="34">
        <v>0</v>
      </c>
      <c r="AR147" s="34">
        <v>0</v>
      </c>
      <c r="AS147" s="34">
        <v>0</v>
      </c>
      <c r="AT147" s="34">
        <f t="shared" si="187"/>
        <v>0</v>
      </c>
      <c r="AU147" s="34">
        <v>0</v>
      </c>
      <c r="AV147" s="34">
        <v>0</v>
      </c>
      <c r="AW147" s="34">
        <v>0</v>
      </c>
      <c r="AX147" s="34">
        <v>0</v>
      </c>
      <c r="AY147" s="34">
        <f t="shared" si="188"/>
        <v>0</v>
      </c>
      <c r="AZ147" s="34">
        <v>0</v>
      </c>
      <c r="BA147" s="34">
        <v>0</v>
      </c>
      <c r="BB147" s="34">
        <v>0</v>
      </c>
      <c r="BC147" s="34">
        <v>0</v>
      </c>
    </row>
    <row r="148" spans="1:55" s="55" customFormat="1" ht="27.75" customHeight="1" x14ac:dyDescent="0.25">
      <c r="A148" s="31" t="s">
        <v>56</v>
      </c>
      <c r="B148" s="96" t="s">
        <v>405</v>
      </c>
      <c r="C148" s="108" t="s">
        <v>406</v>
      </c>
      <c r="D148" s="88">
        <v>0</v>
      </c>
      <c r="E148" s="29">
        <f t="shared" si="174"/>
        <v>7.0376064000000002E-2</v>
      </c>
      <c r="F148" s="29">
        <f t="shared" si="174"/>
        <v>0</v>
      </c>
      <c r="G148" s="29">
        <f t="shared" si="174"/>
        <v>6.3325800000000002E-2</v>
      </c>
      <c r="H148" s="29">
        <f t="shared" si="169"/>
        <v>7.0502640000000005E-3</v>
      </c>
      <c r="I148" s="29">
        <f t="shared" si="141"/>
        <v>0</v>
      </c>
      <c r="J148" s="29">
        <f t="shared" si="170"/>
        <v>7.0376064000000002E-2</v>
      </c>
      <c r="K148" s="29">
        <v>0</v>
      </c>
      <c r="L148" s="29">
        <v>6.3325800000000002E-2</v>
      </c>
      <c r="M148" s="29">
        <v>7.0502640000000005E-3</v>
      </c>
      <c r="N148" s="29">
        <v>0</v>
      </c>
      <c r="O148" s="29">
        <f t="shared" si="183"/>
        <v>0</v>
      </c>
      <c r="P148" s="29">
        <v>0</v>
      </c>
      <c r="Q148" s="29">
        <v>0</v>
      </c>
      <c r="R148" s="29">
        <v>0</v>
      </c>
      <c r="S148" s="29">
        <v>0</v>
      </c>
      <c r="T148" s="30">
        <f t="shared" si="184"/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f t="shared" si="185"/>
        <v>0</v>
      </c>
      <c r="Z148" s="30">
        <v>0</v>
      </c>
      <c r="AA148" s="30">
        <v>0</v>
      </c>
      <c r="AB148" s="30">
        <v>0</v>
      </c>
      <c r="AC148" s="34">
        <v>0</v>
      </c>
      <c r="AD148" s="36">
        <v>0</v>
      </c>
      <c r="AE148" s="36">
        <f t="shared" si="175"/>
        <v>5.8646720000000006E-2</v>
      </c>
      <c r="AF148" s="36">
        <f t="shared" si="175"/>
        <v>0</v>
      </c>
      <c r="AG148" s="36">
        <f t="shared" si="175"/>
        <v>5.2771500000000006E-2</v>
      </c>
      <c r="AH148" s="36">
        <f t="shared" si="172"/>
        <v>5.8752200000000004E-3</v>
      </c>
      <c r="AI148" s="36">
        <f t="shared" si="144"/>
        <v>0</v>
      </c>
      <c r="AJ148" s="36">
        <f t="shared" si="166"/>
        <v>5.8646720000000006E-2</v>
      </c>
      <c r="AK148" s="36">
        <v>0</v>
      </c>
      <c r="AL148" s="36">
        <v>5.2771500000000006E-2</v>
      </c>
      <c r="AM148" s="36">
        <v>5.8752200000000004E-3</v>
      </c>
      <c r="AN148" s="36">
        <v>0</v>
      </c>
      <c r="AO148" s="34">
        <f t="shared" si="186"/>
        <v>0</v>
      </c>
      <c r="AP148" s="34">
        <v>0</v>
      </c>
      <c r="AQ148" s="34">
        <v>0</v>
      </c>
      <c r="AR148" s="34">
        <v>0</v>
      </c>
      <c r="AS148" s="34">
        <v>0</v>
      </c>
      <c r="AT148" s="34">
        <f t="shared" si="187"/>
        <v>0</v>
      </c>
      <c r="AU148" s="34">
        <v>0</v>
      </c>
      <c r="AV148" s="34">
        <v>0</v>
      </c>
      <c r="AW148" s="34">
        <v>0</v>
      </c>
      <c r="AX148" s="34">
        <v>0</v>
      </c>
      <c r="AY148" s="34">
        <f t="shared" si="188"/>
        <v>0</v>
      </c>
      <c r="AZ148" s="34">
        <v>0</v>
      </c>
      <c r="BA148" s="34">
        <v>0</v>
      </c>
      <c r="BB148" s="34">
        <v>0</v>
      </c>
      <c r="BC148" s="34">
        <v>0</v>
      </c>
    </row>
    <row r="149" spans="1:55" s="55" customFormat="1" ht="27.75" customHeight="1" x14ac:dyDescent="0.25">
      <c r="A149" s="31" t="s">
        <v>56</v>
      </c>
      <c r="B149" s="96" t="s">
        <v>407</v>
      </c>
      <c r="C149" s="108" t="s">
        <v>408</v>
      </c>
      <c r="D149" s="88">
        <v>0</v>
      </c>
      <c r="E149" s="29">
        <f t="shared" si="174"/>
        <v>9.9619883999999992E-2</v>
      </c>
      <c r="F149" s="29">
        <f t="shared" si="174"/>
        <v>0</v>
      </c>
      <c r="G149" s="29">
        <f t="shared" si="174"/>
        <v>9.380543999999999E-2</v>
      </c>
      <c r="H149" s="29">
        <f t="shared" si="169"/>
        <v>5.8144440000000002E-3</v>
      </c>
      <c r="I149" s="29">
        <f t="shared" si="141"/>
        <v>0</v>
      </c>
      <c r="J149" s="29">
        <f t="shared" si="170"/>
        <v>5.5021415999999997E-2</v>
      </c>
      <c r="K149" s="29">
        <v>0</v>
      </c>
      <c r="L149" s="29">
        <v>5.1826619999999997E-2</v>
      </c>
      <c r="M149" s="29">
        <v>3.1947959999999997E-3</v>
      </c>
      <c r="N149" s="29">
        <v>0</v>
      </c>
      <c r="O149" s="29">
        <f t="shared" si="183"/>
        <v>4.4598467999999995E-2</v>
      </c>
      <c r="P149" s="29">
        <v>0</v>
      </c>
      <c r="Q149" s="29">
        <v>4.1978819999999993E-2</v>
      </c>
      <c r="R149" s="29">
        <v>2.619648E-3</v>
      </c>
      <c r="S149" s="29">
        <v>0</v>
      </c>
      <c r="T149" s="30">
        <f t="shared" si="184"/>
        <v>0</v>
      </c>
      <c r="U149" s="30">
        <v>0</v>
      </c>
      <c r="V149" s="30">
        <v>0</v>
      </c>
      <c r="W149" s="30">
        <v>0</v>
      </c>
      <c r="X149" s="30">
        <v>0</v>
      </c>
      <c r="Y149" s="30">
        <f t="shared" si="185"/>
        <v>0</v>
      </c>
      <c r="Z149" s="30">
        <v>0</v>
      </c>
      <c r="AA149" s="30">
        <v>0</v>
      </c>
      <c r="AB149" s="30">
        <v>0</v>
      </c>
      <c r="AC149" s="34">
        <v>0</v>
      </c>
      <c r="AD149" s="36">
        <v>0</v>
      </c>
      <c r="AE149" s="36">
        <f t="shared" si="175"/>
        <v>8.3016569999999984E-2</v>
      </c>
      <c r="AF149" s="36">
        <f t="shared" si="175"/>
        <v>0</v>
      </c>
      <c r="AG149" s="36">
        <f t="shared" si="175"/>
        <v>7.8171199999999996E-2</v>
      </c>
      <c r="AH149" s="36">
        <f t="shared" si="172"/>
        <v>4.8453699999999999E-3</v>
      </c>
      <c r="AI149" s="36">
        <f t="shared" si="144"/>
        <v>0</v>
      </c>
      <c r="AJ149" s="36">
        <f t="shared" si="166"/>
        <v>4.5851179999999998E-2</v>
      </c>
      <c r="AK149" s="36">
        <v>0</v>
      </c>
      <c r="AL149" s="36">
        <v>4.3188850000000001E-2</v>
      </c>
      <c r="AM149" s="36">
        <v>2.6623300000000001E-3</v>
      </c>
      <c r="AN149" s="36">
        <v>0</v>
      </c>
      <c r="AO149" s="34">
        <f t="shared" si="186"/>
        <v>3.7165389999999993E-2</v>
      </c>
      <c r="AP149" s="34">
        <v>0</v>
      </c>
      <c r="AQ149" s="34">
        <v>3.4982349999999995E-2</v>
      </c>
      <c r="AR149" s="34">
        <v>2.1830400000000002E-3</v>
      </c>
      <c r="AS149" s="34">
        <v>0</v>
      </c>
      <c r="AT149" s="34">
        <f t="shared" si="187"/>
        <v>0</v>
      </c>
      <c r="AU149" s="34">
        <v>0</v>
      </c>
      <c r="AV149" s="34">
        <v>0</v>
      </c>
      <c r="AW149" s="34">
        <v>0</v>
      </c>
      <c r="AX149" s="34">
        <v>0</v>
      </c>
      <c r="AY149" s="34">
        <f t="shared" si="188"/>
        <v>0</v>
      </c>
      <c r="AZ149" s="34">
        <v>0</v>
      </c>
      <c r="BA149" s="34">
        <v>0</v>
      </c>
      <c r="BB149" s="34">
        <v>0</v>
      </c>
      <c r="BC149" s="34">
        <v>0</v>
      </c>
    </row>
    <row r="150" spans="1:55" s="55" customFormat="1" ht="27.75" customHeight="1" x14ac:dyDescent="0.25">
      <c r="A150" s="31" t="s">
        <v>56</v>
      </c>
      <c r="B150" s="96" t="s">
        <v>409</v>
      </c>
      <c r="C150" s="108" t="s">
        <v>410</v>
      </c>
      <c r="D150" s="88">
        <v>0</v>
      </c>
      <c r="E150" s="29">
        <f t="shared" si="174"/>
        <v>7.3959131999999997E-2</v>
      </c>
      <c r="F150" s="29">
        <f t="shared" si="174"/>
        <v>0</v>
      </c>
      <c r="G150" s="29">
        <f t="shared" si="174"/>
        <v>6.0572543999999992E-2</v>
      </c>
      <c r="H150" s="29">
        <f t="shared" si="169"/>
        <v>1.3386588E-2</v>
      </c>
      <c r="I150" s="29">
        <f t="shared" si="141"/>
        <v>0</v>
      </c>
      <c r="J150" s="29">
        <f t="shared" si="170"/>
        <v>7.3959131999999997E-2</v>
      </c>
      <c r="K150" s="29">
        <v>0</v>
      </c>
      <c r="L150" s="29">
        <v>6.0572543999999992E-2</v>
      </c>
      <c r="M150" s="29">
        <v>1.3386588E-2</v>
      </c>
      <c r="N150" s="29">
        <v>0</v>
      </c>
      <c r="O150" s="29">
        <f t="shared" si="183"/>
        <v>0</v>
      </c>
      <c r="P150" s="29">
        <v>0</v>
      </c>
      <c r="Q150" s="29">
        <v>0</v>
      </c>
      <c r="R150" s="29">
        <v>0</v>
      </c>
      <c r="S150" s="29">
        <v>0</v>
      </c>
      <c r="T150" s="30">
        <f t="shared" si="184"/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f t="shared" si="185"/>
        <v>0</v>
      </c>
      <c r="Z150" s="30">
        <v>0</v>
      </c>
      <c r="AA150" s="30">
        <v>0</v>
      </c>
      <c r="AB150" s="30">
        <v>0</v>
      </c>
      <c r="AC150" s="34">
        <v>0</v>
      </c>
      <c r="AD150" s="36">
        <v>0</v>
      </c>
      <c r="AE150" s="36">
        <f t="shared" si="175"/>
        <v>6.1632610000000004E-2</v>
      </c>
      <c r="AF150" s="36">
        <f t="shared" si="175"/>
        <v>0</v>
      </c>
      <c r="AG150" s="36">
        <f t="shared" si="175"/>
        <v>5.047712E-2</v>
      </c>
      <c r="AH150" s="36">
        <f t="shared" si="172"/>
        <v>1.1155490000000001E-2</v>
      </c>
      <c r="AI150" s="36">
        <f t="shared" si="144"/>
        <v>0</v>
      </c>
      <c r="AJ150" s="36">
        <f t="shared" si="166"/>
        <v>6.1632610000000004E-2</v>
      </c>
      <c r="AK150" s="36">
        <v>0</v>
      </c>
      <c r="AL150" s="36">
        <v>5.047712E-2</v>
      </c>
      <c r="AM150" s="36">
        <v>1.1155490000000001E-2</v>
      </c>
      <c r="AN150" s="36">
        <v>0</v>
      </c>
      <c r="AO150" s="34">
        <f t="shared" si="186"/>
        <v>0</v>
      </c>
      <c r="AP150" s="34">
        <v>0</v>
      </c>
      <c r="AQ150" s="34">
        <v>0</v>
      </c>
      <c r="AR150" s="34">
        <v>0</v>
      </c>
      <c r="AS150" s="34">
        <v>0</v>
      </c>
      <c r="AT150" s="34">
        <f t="shared" si="187"/>
        <v>0</v>
      </c>
      <c r="AU150" s="34">
        <v>0</v>
      </c>
      <c r="AV150" s="34">
        <v>0</v>
      </c>
      <c r="AW150" s="34">
        <v>0</v>
      </c>
      <c r="AX150" s="34">
        <v>0</v>
      </c>
      <c r="AY150" s="34">
        <f t="shared" si="188"/>
        <v>0</v>
      </c>
      <c r="AZ150" s="34">
        <v>0</v>
      </c>
      <c r="BA150" s="34">
        <v>0</v>
      </c>
      <c r="BB150" s="34">
        <v>0</v>
      </c>
      <c r="BC150" s="34">
        <v>0</v>
      </c>
    </row>
    <row r="151" spans="1:55" s="55" customFormat="1" ht="27.75" customHeight="1" x14ac:dyDescent="0.25">
      <c r="A151" s="31" t="s">
        <v>56</v>
      </c>
      <c r="B151" s="96" t="s">
        <v>411</v>
      </c>
      <c r="C151" s="108" t="s">
        <v>412</v>
      </c>
      <c r="D151" s="88">
        <v>0</v>
      </c>
      <c r="E151" s="29">
        <f t="shared" si="174"/>
        <v>0</v>
      </c>
      <c r="F151" s="29">
        <f t="shared" si="174"/>
        <v>0</v>
      </c>
      <c r="G151" s="29">
        <f t="shared" si="174"/>
        <v>0</v>
      </c>
      <c r="H151" s="29">
        <f t="shared" si="169"/>
        <v>0</v>
      </c>
      <c r="I151" s="29">
        <f t="shared" si="141"/>
        <v>0</v>
      </c>
      <c r="J151" s="29">
        <f t="shared" si="170"/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f t="shared" si="183"/>
        <v>0</v>
      </c>
      <c r="P151" s="29">
        <v>0</v>
      </c>
      <c r="Q151" s="29">
        <v>0</v>
      </c>
      <c r="R151" s="29">
        <v>0</v>
      </c>
      <c r="S151" s="29">
        <v>0</v>
      </c>
      <c r="T151" s="30">
        <f t="shared" si="184"/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f t="shared" si="185"/>
        <v>0</v>
      </c>
      <c r="Z151" s="30">
        <v>0</v>
      </c>
      <c r="AA151" s="30">
        <v>0</v>
      </c>
      <c r="AB151" s="30">
        <v>0</v>
      </c>
      <c r="AC151" s="34">
        <v>0</v>
      </c>
      <c r="AD151" s="36">
        <v>0</v>
      </c>
      <c r="AE151" s="36">
        <f t="shared" si="175"/>
        <v>0</v>
      </c>
      <c r="AF151" s="36">
        <f t="shared" si="175"/>
        <v>0</v>
      </c>
      <c r="AG151" s="36">
        <f t="shared" si="175"/>
        <v>0</v>
      </c>
      <c r="AH151" s="36">
        <f t="shared" si="172"/>
        <v>0</v>
      </c>
      <c r="AI151" s="36">
        <f t="shared" si="144"/>
        <v>0</v>
      </c>
      <c r="AJ151" s="36">
        <f t="shared" si="166"/>
        <v>0</v>
      </c>
      <c r="AK151" s="36">
        <v>0</v>
      </c>
      <c r="AL151" s="36">
        <v>0</v>
      </c>
      <c r="AM151" s="36">
        <v>0</v>
      </c>
      <c r="AN151" s="36">
        <v>0</v>
      </c>
      <c r="AO151" s="34">
        <f t="shared" si="186"/>
        <v>0</v>
      </c>
      <c r="AP151" s="34">
        <v>0</v>
      </c>
      <c r="AQ151" s="34">
        <v>0</v>
      </c>
      <c r="AR151" s="34">
        <v>0</v>
      </c>
      <c r="AS151" s="34">
        <v>0</v>
      </c>
      <c r="AT151" s="34">
        <f t="shared" si="187"/>
        <v>0</v>
      </c>
      <c r="AU151" s="34">
        <v>0</v>
      </c>
      <c r="AV151" s="34">
        <v>0</v>
      </c>
      <c r="AW151" s="34">
        <v>0</v>
      </c>
      <c r="AX151" s="34">
        <v>0</v>
      </c>
      <c r="AY151" s="34">
        <f t="shared" si="188"/>
        <v>0</v>
      </c>
      <c r="AZ151" s="34">
        <v>0</v>
      </c>
      <c r="BA151" s="34">
        <v>0</v>
      </c>
      <c r="BB151" s="34">
        <v>0</v>
      </c>
      <c r="BC151" s="34">
        <v>0</v>
      </c>
    </row>
    <row r="152" spans="1:55" s="55" customFormat="1" ht="27.75" customHeight="1" x14ac:dyDescent="0.25">
      <c r="A152" s="31" t="s">
        <v>56</v>
      </c>
      <c r="B152" s="96" t="s">
        <v>413</v>
      </c>
      <c r="C152" s="108" t="s">
        <v>414</v>
      </c>
      <c r="D152" s="88">
        <v>0</v>
      </c>
      <c r="E152" s="29">
        <f t="shared" si="174"/>
        <v>6.9647712000000001E-2</v>
      </c>
      <c r="F152" s="29">
        <f t="shared" si="174"/>
        <v>0</v>
      </c>
      <c r="G152" s="29">
        <f t="shared" si="174"/>
        <v>5.7009371999999996E-2</v>
      </c>
      <c r="H152" s="29">
        <f t="shared" si="169"/>
        <v>1.263834E-2</v>
      </c>
      <c r="I152" s="29">
        <f t="shared" si="141"/>
        <v>0</v>
      </c>
      <c r="J152" s="29">
        <f t="shared" si="170"/>
        <v>6.9647712000000001E-2</v>
      </c>
      <c r="K152" s="29">
        <v>0</v>
      </c>
      <c r="L152" s="29">
        <v>5.7009371999999996E-2</v>
      </c>
      <c r="M152" s="29">
        <v>1.263834E-2</v>
      </c>
      <c r="N152" s="29">
        <v>0</v>
      </c>
      <c r="O152" s="29">
        <f t="shared" si="183"/>
        <v>0</v>
      </c>
      <c r="P152" s="29">
        <v>0</v>
      </c>
      <c r="Q152" s="29">
        <v>0</v>
      </c>
      <c r="R152" s="29">
        <v>0</v>
      </c>
      <c r="S152" s="29">
        <v>0</v>
      </c>
      <c r="T152" s="30">
        <f t="shared" si="184"/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f t="shared" si="185"/>
        <v>0</v>
      </c>
      <c r="Z152" s="30">
        <v>0</v>
      </c>
      <c r="AA152" s="30">
        <v>0</v>
      </c>
      <c r="AB152" s="30">
        <v>0</v>
      </c>
      <c r="AC152" s="34">
        <v>0</v>
      </c>
      <c r="AD152" s="36">
        <v>0</v>
      </c>
      <c r="AE152" s="36">
        <f t="shared" si="175"/>
        <v>5.8039759999999996E-2</v>
      </c>
      <c r="AF152" s="36">
        <f t="shared" si="175"/>
        <v>0</v>
      </c>
      <c r="AG152" s="36">
        <f t="shared" si="175"/>
        <v>4.7507809999999998E-2</v>
      </c>
      <c r="AH152" s="36">
        <f t="shared" si="172"/>
        <v>1.053195E-2</v>
      </c>
      <c r="AI152" s="36">
        <f t="shared" si="144"/>
        <v>0</v>
      </c>
      <c r="AJ152" s="36">
        <f t="shared" si="166"/>
        <v>5.8039759999999996E-2</v>
      </c>
      <c r="AK152" s="36">
        <v>0</v>
      </c>
      <c r="AL152" s="36">
        <v>4.7507809999999998E-2</v>
      </c>
      <c r="AM152" s="36">
        <v>1.053195E-2</v>
      </c>
      <c r="AN152" s="36">
        <v>0</v>
      </c>
      <c r="AO152" s="34">
        <f t="shared" si="186"/>
        <v>0</v>
      </c>
      <c r="AP152" s="34">
        <v>0</v>
      </c>
      <c r="AQ152" s="34">
        <v>0</v>
      </c>
      <c r="AR152" s="34">
        <v>0</v>
      </c>
      <c r="AS152" s="34">
        <v>0</v>
      </c>
      <c r="AT152" s="34">
        <f t="shared" si="187"/>
        <v>0</v>
      </c>
      <c r="AU152" s="34">
        <v>0</v>
      </c>
      <c r="AV152" s="34">
        <v>0</v>
      </c>
      <c r="AW152" s="34">
        <v>0</v>
      </c>
      <c r="AX152" s="34">
        <v>0</v>
      </c>
      <c r="AY152" s="34">
        <f t="shared" si="188"/>
        <v>0</v>
      </c>
      <c r="AZ152" s="34">
        <v>0</v>
      </c>
      <c r="BA152" s="34">
        <v>0</v>
      </c>
      <c r="BB152" s="34">
        <v>0</v>
      </c>
      <c r="BC152" s="34">
        <v>0</v>
      </c>
    </row>
    <row r="153" spans="1:55" s="55" customFormat="1" ht="27.75" customHeight="1" x14ac:dyDescent="0.25">
      <c r="A153" s="31" t="s">
        <v>56</v>
      </c>
      <c r="B153" s="96" t="s">
        <v>415</v>
      </c>
      <c r="C153" s="108" t="s">
        <v>416</v>
      </c>
      <c r="D153" s="88">
        <v>0</v>
      </c>
      <c r="E153" s="29">
        <f t="shared" si="174"/>
        <v>7.5607439999999998E-2</v>
      </c>
      <c r="F153" s="29">
        <f t="shared" si="174"/>
        <v>0</v>
      </c>
      <c r="G153" s="29">
        <f t="shared" si="174"/>
        <v>3.4011263999999999E-2</v>
      </c>
      <c r="H153" s="29">
        <f t="shared" si="169"/>
        <v>4.1596175999999999E-2</v>
      </c>
      <c r="I153" s="29">
        <f t="shared" si="141"/>
        <v>0</v>
      </c>
      <c r="J153" s="29">
        <f t="shared" si="170"/>
        <v>7.5607439999999998E-2</v>
      </c>
      <c r="K153" s="29">
        <v>0</v>
      </c>
      <c r="L153" s="29">
        <v>3.4011263999999999E-2</v>
      </c>
      <c r="M153" s="29">
        <v>4.1596175999999999E-2</v>
      </c>
      <c r="N153" s="29">
        <v>0</v>
      </c>
      <c r="O153" s="29">
        <f t="shared" si="183"/>
        <v>0</v>
      </c>
      <c r="P153" s="29">
        <v>0</v>
      </c>
      <c r="Q153" s="29">
        <v>0</v>
      </c>
      <c r="R153" s="29">
        <v>0</v>
      </c>
      <c r="S153" s="29">
        <v>0</v>
      </c>
      <c r="T153" s="30">
        <f t="shared" si="184"/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f t="shared" si="185"/>
        <v>0</v>
      </c>
      <c r="Z153" s="30">
        <v>0</v>
      </c>
      <c r="AA153" s="30">
        <v>0</v>
      </c>
      <c r="AB153" s="30">
        <v>0</v>
      </c>
      <c r="AC153" s="34">
        <v>0</v>
      </c>
      <c r="AD153" s="36">
        <v>0</v>
      </c>
      <c r="AE153" s="36">
        <f t="shared" si="175"/>
        <v>6.3006199999999998E-2</v>
      </c>
      <c r="AF153" s="36">
        <f t="shared" si="175"/>
        <v>0</v>
      </c>
      <c r="AG153" s="36">
        <f t="shared" si="175"/>
        <v>2.8342719999999998E-2</v>
      </c>
      <c r="AH153" s="36">
        <f t="shared" si="172"/>
        <v>3.4663479999999997E-2</v>
      </c>
      <c r="AI153" s="36">
        <f t="shared" si="144"/>
        <v>0</v>
      </c>
      <c r="AJ153" s="36">
        <f t="shared" si="166"/>
        <v>6.3006199999999998E-2</v>
      </c>
      <c r="AK153" s="36">
        <v>0</v>
      </c>
      <c r="AL153" s="36">
        <v>2.8342719999999998E-2</v>
      </c>
      <c r="AM153" s="36">
        <v>3.4663479999999997E-2</v>
      </c>
      <c r="AN153" s="36">
        <v>0</v>
      </c>
      <c r="AO153" s="34">
        <f t="shared" si="186"/>
        <v>0</v>
      </c>
      <c r="AP153" s="34">
        <v>0</v>
      </c>
      <c r="AQ153" s="34">
        <v>0</v>
      </c>
      <c r="AR153" s="34">
        <v>0</v>
      </c>
      <c r="AS153" s="34">
        <v>0</v>
      </c>
      <c r="AT153" s="34">
        <f t="shared" si="187"/>
        <v>0</v>
      </c>
      <c r="AU153" s="34">
        <v>0</v>
      </c>
      <c r="AV153" s="34">
        <v>0</v>
      </c>
      <c r="AW153" s="34">
        <v>0</v>
      </c>
      <c r="AX153" s="34">
        <v>0</v>
      </c>
      <c r="AY153" s="34">
        <f t="shared" si="188"/>
        <v>0</v>
      </c>
      <c r="AZ153" s="34">
        <v>0</v>
      </c>
      <c r="BA153" s="34">
        <v>0</v>
      </c>
      <c r="BB153" s="34">
        <v>0</v>
      </c>
      <c r="BC153" s="34">
        <v>0</v>
      </c>
    </row>
    <row r="154" spans="1:55" s="55" customFormat="1" ht="27.75" customHeight="1" x14ac:dyDescent="0.25">
      <c r="A154" s="31" t="s">
        <v>56</v>
      </c>
      <c r="B154" s="96" t="s">
        <v>417</v>
      </c>
      <c r="C154" s="108" t="s">
        <v>418</v>
      </c>
      <c r="D154" s="88">
        <v>0</v>
      </c>
      <c r="E154" s="29">
        <f t="shared" si="174"/>
        <v>3.3876167999999998E-2</v>
      </c>
      <c r="F154" s="29">
        <f t="shared" si="174"/>
        <v>0</v>
      </c>
      <c r="G154" s="29">
        <f t="shared" si="174"/>
        <v>3.0286259999999999E-2</v>
      </c>
      <c r="H154" s="29">
        <f t="shared" si="169"/>
        <v>3.5899079999999997E-3</v>
      </c>
      <c r="I154" s="29">
        <f t="shared" si="141"/>
        <v>0</v>
      </c>
      <c r="J154" s="29">
        <f t="shared" si="170"/>
        <v>3.3876167999999998E-2</v>
      </c>
      <c r="K154" s="29">
        <v>0</v>
      </c>
      <c r="L154" s="29">
        <v>3.0286259999999999E-2</v>
      </c>
      <c r="M154" s="29">
        <v>3.5899079999999997E-3</v>
      </c>
      <c r="N154" s="29">
        <v>0</v>
      </c>
      <c r="O154" s="29">
        <f t="shared" si="183"/>
        <v>0</v>
      </c>
      <c r="P154" s="29">
        <v>0</v>
      </c>
      <c r="Q154" s="29">
        <v>0</v>
      </c>
      <c r="R154" s="29">
        <v>0</v>
      </c>
      <c r="S154" s="29">
        <v>0</v>
      </c>
      <c r="T154" s="30">
        <f t="shared" si="184"/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f t="shared" si="185"/>
        <v>0</v>
      </c>
      <c r="Z154" s="30">
        <v>0</v>
      </c>
      <c r="AA154" s="30">
        <v>0</v>
      </c>
      <c r="AB154" s="30">
        <v>0</v>
      </c>
      <c r="AC154" s="34">
        <v>0</v>
      </c>
      <c r="AD154" s="36">
        <v>0</v>
      </c>
      <c r="AE154" s="36">
        <f t="shared" si="175"/>
        <v>2.8230139999999997E-2</v>
      </c>
      <c r="AF154" s="36">
        <f t="shared" si="175"/>
        <v>0</v>
      </c>
      <c r="AG154" s="36">
        <f t="shared" si="175"/>
        <v>2.5238549999999998E-2</v>
      </c>
      <c r="AH154" s="36">
        <f t="shared" si="172"/>
        <v>2.9915900000000001E-3</v>
      </c>
      <c r="AI154" s="36">
        <f t="shared" si="144"/>
        <v>0</v>
      </c>
      <c r="AJ154" s="36">
        <f t="shared" si="166"/>
        <v>2.8230139999999997E-2</v>
      </c>
      <c r="AK154" s="36">
        <v>0</v>
      </c>
      <c r="AL154" s="36">
        <v>2.5238549999999998E-2</v>
      </c>
      <c r="AM154" s="36">
        <v>2.9915900000000001E-3</v>
      </c>
      <c r="AN154" s="36">
        <v>0</v>
      </c>
      <c r="AO154" s="34">
        <f t="shared" si="186"/>
        <v>0</v>
      </c>
      <c r="AP154" s="34">
        <v>0</v>
      </c>
      <c r="AQ154" s="34">
        <v>0</v>
      </c>
      <c r="AR154" s="34">
        <v>0</v>
      </c>
      <c r="AS154" s="34">
        <v>0</v>
      </c>
      <c r="AT154" s="34">
        <f t="shared" si="187"/>
        <v>0</v>
      </c>
      <c r="AU154" s="34">
        <v>0</v>
      </c>
      <c r="AV154" s="34">
        <v>0</v>
      </c>
      <c r="AW154" s="34">
        <v>0</v>
      </c>
      <c r="AX154" s="34">
        <v>0</v>
      </c>
      <c r="AY154" s="34">
        <f t="shared" si="188"/>
        <v>0</v>
      </c>
      <c r="AZ154" s="34">
        <v>0</v>
      </c>
      <c r="BA154" s="34">
        <v>0</v>
      </c>
      <c r="BB154" s="34">
        <v>0</v>
      </c>
      <c r="BC154" s="34">
        <v>0</v>
      </c>
    </row>
    <row r="155" spans="1:55" s="55" customFormat="1" ht="27.75" customHeight="1" x14ac:dyDescent="0.25">
      <c r="A155" s="31" t="s">
        <v>56</v>
      </c>
      <c r="B155" s="96" t="s">
        <v>419</v>
      </c>
      <c r="C155" s="108" t="s">
        <v>420</v>
      </c>
      <c r="D155" s="88">
        <v>0</v>
      </c>
      <c r="E155" s="29">
        <f t="shared" si="174"/>
        <v>1.8885203999999996E-2</v>
      </c>
      <c r="F155" s="29">
        <f t="shared" si="174"/>
        <v>0</v>
      </c>
      <c r="G155" s="29">
        <f t="shared" si="174"/>
        <v>1.6519787999999997E-2</v>
      </c>
      <c r="H155" s="29">
        <f t="shared" si="169"/>
        <v>2.3654159999999995E-3</v>
      </c>
      <c r="I155" s="29">
        <f t="shared" si="141"/>
        <v>0</v>
      </c>
      <c r="J155" s="29">
        <f t="shared" si="170"/>
        <v>1.8885203999999996E-2</v>
      </c>
      <c r="K155" s="29">
        <v>0</v>
      </c>
      <c r="L155" s="29">
        <v>1.6519787999999997E-2</v>
      </c>
      <c r="M155" s="29">
        <v>2.3654159999999995E-3</v>
      </c>
      <c r="N155" s="29">
        <v>0</v>
      </c>
      <c r="O155" s="29">
        <f t="shared" si="183"/>
        <v>0</v>
      </c>
      <c r="P155" s="29">
        <v>0</v>
      </c>
      <c r="Q155" s="29">
        <v>0</v>
      </c>
      <c r="R155" s="29">
        <v>0</v>
      </c>
      <c r="S155" s="29">
        <v>0</v>
      </c>
      <c r="T155" s="30">
        <f t="shared" si="184"/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f t="shared" si="185"/>
        <v>0</v>
      </c>
      <c r="Z155" s="30">
        <v>0</v>
      </c>
      <c r="AA155" s="30">
        <v>0</v>
      </c>
      <c r="AB155" s="30">
        <v>0</v>
      </c>
      <c r="AC155" s="34">
        <v>0</v>
      </c>
      <c r="AD155" s="36">
        <v>0</v>
      </c>
      <c r="AE155" s="36">
        <f t="shared" si="175"/>
        <v>1.5737669999999999E-2</v>
      </c>
      <c r="AF155" s="36">
        <f t="shared" si="175"/>
        <v>0</v>
      </c>
      <c r="AG155" s="36">
        <f t="shared" si="175"/>
        <v>1.3766489999999999E-2</v>
      </c>
      <c r="AH155" s="36">
        <f t="shared" si="172"/>
        <v>1.9711799999999999E-3</v>
      </c>
      <c r="AI155" s="36">
        <f t="shared" si="144"/>
        <v>0</v>
      </c>
      <c r="AJ155" s="36">
        <f t="shared" si="166"/>
        <v>1.5737669999999999E-2</v>
      </c>
      <c r="AK155" s="36">
        <v>0</v>
      </c>
      <c r="AL155" s="36">
        <v>1.3766489999999999E-2</v>
      </c>
      <c r="AM155" s="36">
        <v>1.9711799999999999E-3</v>
      </c>
      <c r="AN155" s="36">
        <v>0</v>
      </c>
      <c r="AO155" s="34">
        <f t="shared" si="186"/>
        <v>0</v>
      </c>
      <c r="AP155" s="34">
        <v>0</v>
      </c>
      <c r="AQ155" s="34">
        <v>0</v>
      </c>
      <c r="AR155" s="34">
        <v>0</v>
      </c>
      <c r="AS155" s="34">
        <v>0</v>
      </c>
      <c r="AT155" s="34">
        <f t="shared" si="187"/>
        <v>0</v>
      </c>
      <c r="AU155" s="34">
        <v>0</v>
      </c>
      <c r="AV155" s="34">
        <v>0</v>
      </c>
      <c r="AW155" s="34">
        <v>0</v>
      </c>
      <c r="AX155" s="34">
        <v>0</v>
      </c>
      <c r="AY155" s="34">
        <f t="shared" si="188"/>
        <v>0</v>
      </c>
      <c r="AZ155" s="34">
        <v>0</v>
      </c>
      <c r="BA155" s="34">
        <v>0</v>
      </c>
      <c r="BB155" s="34">
        <v>0</v>
      </c>
      <c r="BC155" s="34">
        <v>0</v>
      </c>
    </row>
    <row r="156" spans="1:55" s="55" customFormat="1" ht="27.75" customHeight="1" x14ac:dyDescent="0.25">
      <c r="A156" s="31" t="s">
        <v>56</v>
      </c>
      <c r="B156" s="96" t="s">
        <v>421</v>
      </c>
      <c r="C156" s="108" t="s">
        <v>422</v>
      </c>
      <c r="D156" s="88">
        <v>0</v>
      </c>
      <c r="E156" s="29">
        <f t="shared" si="174"/>
        <v>0.10463767199999999</v>
      </c>
      <c r="F156" s="29">
        <f t="shared" si="174"/>
        <v>0</v>
      </c>
      <c r="G156" s="29">
        <f t="shared" si="174"/>
        <v>6.1574207999999991E-2</v>
      </c>
      <c r="H156" s="29">
        <f t="shared" si="169"/>
        <v>4.3063464000000003E-2</v>
      </c>
      <c r="I156" s="29">
        <f t="shared" si="141"/>
        <v>0</v>
      </c>
      <c r="J156" s="29">
        <f t="shared" si="170"/>
        <v>1.7119055999999997E-2</v>
      </c>
      <c r="K156" s="29">
        <v>0</v>
      </c>
      <c r="L156" s="29">
        <v>1.6519787999999997E-2</v>
      </c>
      <c r="M156" s="29">
        <v>5.9926800000000002E-4</v>
      </c>
      <c r="N156" s="29">
        <v>0</v>
      </c>
      <c r="O156" s="29">
        <f t="shared" si="183"/>
        <v>8.7518615999999994E-2</v>
      </c>
      <c r="P156" s="29">
        <v>0</v>
      </c>
      <c r="Q156" s="29">
        <v>4.5054419999999998E-2</v>
      </c>
      <c r="R156" s="29">
        <v>4.2464196000000003E-2</v>
      </c>
      <c r="S156" s="29">
        <v>0</v>
      </c>
      <c r="T156" s="30">
        <f t="shared" si="184"/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f t="shared" si="185"/>
        <v>0</v>
      </c>
      <c r="Z156" s="30">
        <v>0</v>
      </c>
      <c r="AA156" s="30">
        <v>0</v>
      </c>
      <c r="AB156" s="30">
        <v>0</v>
      </c>
      <c r="AC156" s="34">
        <v>0</v>
      </c>
      <c r="AD156" s="36">
        <v>0</v>
      </c>
      <c r="AE156" s="36">
        <f t="shared" si="175"/>
        <v>8.7198059999999994E-2</v>
      </c>
      <c r="AF156" s="36">
        <f t="shared" si="175"/>
        <v>0</v>
      </c>
      <c r="AG156" s="36">
        <f t="shared" si="175"/>
        <v>5.1311839999999997E-2</v>
      </c>
      <c r="AH156" s="36">
        <f t="shared" si="172"/>
        <v>3.5886220000000003E-2</v>
      </c>
      <c r="AI156" s="36">
        <f t="shared" si="144"/>
        <v>0</v>
      </c>
      <c r="AJ156" s="36">
        <f t="shared" si="166"/>
        <v>1.426588E-2</v>
      </c>
      <c r="AK156" s="36">
        <v>0</v>
      </c>
      <c r="AL156" s="36">
        <v>1.3766489999999999E-2</v>
      </c>
      <c r="AM156" s="36">
        <v>4.9938999999999995E-4</v>
      </c>
      <c r="AN156" s="36">
        <v>0</v>
      </c>
      <c r="AO156" s="34">
        <f t="shared" si="186"/>
        <v>7.2932179999999999E-2</v>
      </c>
      <c r="AP156" s="34">
        <v>0</v>
      </c>
      <c r="AQ156" s="34">
        <v>3.7545349999999998E-2</v>
      </c>
      <c r="AR156" s="34">
        <v>3.5386830000000001E-2</v>
      </c>
      <c r="AS156" s="34">
        <v>0</v>
      </c>
      <c r="AT156" s="34">
        <f t="shared" si="187"/>
        <v>0</v>
      </c>
      <c r="AU156" s="34">
        <v>0</v>
      </c>
      <c r="AV156" s="34">
        <v>0</v>
      </c>
      <c r="AW156" s="34">
        <v>0</v>
      </c>
      <c r="AX156" s="34">
        <v>0</v>
      </c>
      <c r="AY156" s="34">
        <f t="shared" si="188"/>
        <v>0</v>
      </c>
      <c r="AZ156" s="34">
        <v>0</v>
      </c>
      <c r="BA156" s="34">
        <v>0</v>
      </c>
      <c r="BB156" s="34">
        <v>0</v>
      </c>
      <c r="BC156" s="34">
        <v>0</v>
      </c>
    </row>
    <row r="157" spans="1:55" s="55" customFormat="1" ht="27.75" customHeight="1" x14ac:dyDescent="0.25">
      <c r="A157" s="109" t="s">
        <v>56</v>
      </c>
      <c r="B157" s="96" t="s">
        <v>492</v>
      </c>
      <c r="C157" s="108" t="s">
        <v>493</v>
      </c>
      <c r="D157" s="88">
        <v>0</v>
      </c>
      <c r="E157" s="29">
        <f t="shared" si="174"/>
        <v>7.0754940000000002E-2</v>
      </c>
      <c r="F157" s="29">
        <f t="shared" si="174"/>
        <v>0</v>
      </c>
      <c r="G157" s="29">
        <f t="shared" si="174"/>
        <v>5.7569519999999999E-2</v>
      </c>
      <c r="H157" s="29">
        <f t="shared" si="169"/>
        <v>1.318542E-2</v>
      </c>
      <c r="I157" s="29">
        <f t="shared" si="141"/>
        <v>0</v>
      </c>
      <c r="J157" s="29">
        <f t="shared" si="170"/>
        <v>0</v>
      </c>
      <c r="K157" s="29">
        <v>0</v>
      </c>
      <c r="L157" s="29">
        <v>0</v>
      </c>
      <c r="M157" s="29">
        <v>0</v>
      </c>
      <c r="N157" s="29">
        <v>0</v>
      </c>
      <c r="O157" s="29">
        <f t="shared" si="183"/>
        <v>7.0754940000000002E-2</v>
      </c>
      <c r="P157" s="29">
        <v>0</v>
      </c>
      <c r="Q157" s="29">
        <v>5.7569519999999999E-2</v>
      </c>
      <c r="R157" s="29">
        <v>1.318542E-2</v>
      </c>
      <c r="S157" s="29">
        <v>0</v>
      </c>
      <c r="T157" s="30">
        <f t="shared" si="184"/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f t="shared" si="185"/>
        <v>0</v>
      </c>
      <c r="Z157" s="30">
        <v>0</v>
      </c>
      <c r="AA157" s="30">
        <v>0</v>
      </c>
      <c r="AB157" s="30">
        <v>0</v>
      </c>
      <c r="AC157" s="34">
        <v>0</v>
      </c>
      <c r="AD157" s="36">
        <v>0</v>
      </c>
      <c r="AE157" s="36">
        <f t="shared" si="175"/>
        <v>5.896245E-2</v>
      </c>
      <c r="AF157" s="36">
        <f t="shared" si="175"/>
        <v>0</v>
      </c>
      <c r="AG157" s="36">
        <f t="shared" si="175"/>
        <v>4.7974599999999999E-2</v>
      </c>
      <c r="AH157" s="36">
        <f t="shared" si="172"/>
        <v>1.098785E-2</v>
      </c>
      <c r="AI157" s="36">
        <f t="shared" si="144"/>
        <v>0</v>
      </c>
      <c r="AJ157" s="36">
        <f t="shared" si="166"/>
        <v>0</v>
      </c>
      <c r="AK157" s="36">
        <v>0</v>
      </c>
      <c r="AL157" s="36">
        <v>0</v>
      </c>
      <c r="AM157" s="36">
        <v>0</v>
      </c>
      <c r="AN157" s="36">
        <v>0</v>
      </c>
      <c r="AO157" s="34">
        <f t="shared" si="186"/>
        <v>5.896245E-2</v>
      </c>
      <c r="AP157" s="34">
        <v>0</v>
      </c>
      <c r="AQ157" s="34">
        <v>4.7974599999999999E-2</v>
      </c>
      <c r="AR157" s="34">
        <v>1.098785E-2</v>
      </c>
      <c r="AS157" s="34">
        <v>0</v>
      </c>
      <c r="AT157" s="34">
        <f t="shared" si="187"/>
        <v>0</v>
      </c>
      <c r="AU157" s="34">
        <v>0</v>
      </c>
      <c r="AV157" s="34">
        <v>0</v>
      </c>
      <c r="AW157" s="34">
        <v>0</v>
      </c>
      <c r="AX157" s="34">
        <v>0</v>
      </c>
      <c r="AY157" s="34">
        <f t="shared" si="188"/>
        <v>0</v>
      </c>
      <c r="AZ157" s="34">
        <v>0</v>
      </c>
      <c r="BA157" s="34">
        <v>0</v>
      </c>
      <c r="BB157" s="34">
        <v>0</v>
      </c>
      <c r="BC157" s="34">
        <v>0</v>
      </c>
    </row>
    <row r="158" spans="1:55" s="55" customFormat="1" ht="27.75" customHeight="1" x14ac:dyDescent="0.25">
      <c r="A158" s="109" t="s">
        <v>56</v>
      </c>
      <c r="B158" s="96" t="s">
        <v>494</v>
      </c>
      <c r="C158" s="108" t="s">
        <v>495</v>
      </c>
      <c r="D158" s="88">
        <v>0</v>
      </c>
      <c r="E158" s="29">
        <f t="shared" si="174"/>
        <v>4.9573463999999991E-2</v>
      </c>
      <c r="F158" s="29">
        <f t="shared" si="174"/>
        <v>0</v>
      </c>
      <c r="G158" s="29">
        <f t="shared" si="174"/>
        <v>7.5090599999999997E-3</v>
      </c>
      <c r="H158" s="29">
        <f t="shared" si="169"/>
        <v>4.2064403999999993E-2</v>
      </c>
      <c r="I158" s="29">
        <f t="shared" si="141"/>
        <v>0</v>
      </c>
      <c r="J158" s="29">
        <f t="shared" si="170"/>
        <v>0</v>
      </c>
      <c r="K158" s="29">
        <v>0</v>
      </c>
      <c r="L158" s="29">
        <v>0</v>
      </c>
      <c r="M158" s="29">
        <v>0</v>
      </c>
      <c r="N158" s="29">
        <v>0</v>
      </c>
      <c r="O158" s="29">
        <f t="shared" si="183"/>
        <v>4.9573463999999991E-2</v>
      </c>
      <c r="P158" s="29">
        <v>0</v>
      </c>
      <c r="Q158" s="29">
        <v>7.5090599999999997E-3</v>
      </c>
      <c r="R158" s="29">
        <v>4.2064403999999993E-2</v>
      </c>
      <c r="S158" s="29">
        <v>0</v>
      </c>
      <c r="T158" s="30">
        <f t="shared" si="184"/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f t="shared" si="185"/>
        <v>0</v>
      </c>
      <c r="Z158" s="30">
        <v>0</v>
      </c>
      <c r="AA158" s="30">
        <v>0</v>
      </c>
      <c r="AB158" s="30">
        <v>0</v>
      </c>
      <c r="AC158" s="34">
        <v>0</v>
      </c>
      <c r="AD158" s="36">
        <v>0</v>
      </c>
      <c r="AE158" s="36">
        <f t="shared" si="175"/>
        <v>4.1311219999999996E-2</v>
      </c>
      <c r="AF158" s="36">
        <f t="shared" si="175"/>
        <v>0</v>
      </c>
      <c r="AG158" s="36">
        <f t="shared" si="175"/>
        <v>6.2575499999999997E-3</v>
      </c>
      <c r="AH158" s="36">
        <f t="shared" si="172"/>
        <v>3.5053669999999995E-2</v>
      </c>
      <c r="AI158" s="36">
        <f t="shared" si="144"/>
        <v>0</v>
      </c>
      <c r="AJ158" s="36">
        <f t="shared" si="166"/>
        <v>0</v>
      </c>
      <c r="AK158" s="36">
        <v>0</v>
      </c>
      <c r="AL158" s="36">
        <v>0</v>
      </c>
      <c r="AM158" s="36">
        <v>0</v>
      </c>
      <c r="AN158" s="36">
        <v>0</v>
      </c>
      <c r="AO158" s="34">
        <f t="shared" si="186"/>
        <v>4.1311219999999996E-2</v>
      </c>
      <c r="AP158" s="34">
        <v>0</v>
      </c>
      <c r="AQ158" s="34">
        <v>6.2575499999999997E-3</v>
      </c>
      <c r="AR158" s="34">
        <v>3.5053669999999995E-2</v>
      </c>
      <c r="AS158" s="34">
        <v>0</v>
      </c>
      <c r="AT158" s="34">
        <f t="shared" si="187"/>
        <v>0</v>
      </c>
      <c r="AU158" s="34">
        <v>0</v>
      </c>
      <c r="AV158" s="34">
        <v>0</v>
      </c>
      <c r="AW158" s="34">
        <v>0</v>
      </c>
      <c r="AX158" s="34">
        <v>0</v>
      </c>
      <c r="AY158" s="34">
        <f t="shared" si="188"/>
        <v>0</v>
      </c>
      <c r="AZ158" s="34">
        <v>0</v>
      </c>
      <c r="BA158" s="34">
        <v>0</v>
      </c>
      <c r="BB158" s="34">
        <v>0</v>
      </c>
      <c r="BC158" s="34">
        <v>0</v>
      </c>
    </row>
    <row r="159" spans="1:55" s="55" customFormat="1" ht="27.75" customHeight="1" x14ac:dyDescent="0.25">
      <c r="A159" s="109" t="s">
        <v>56</v>
      </c>
      <c r="B159" s="96" t="s">
        <v>496</v>
      </c>
      <c r="C159" s="108" t="s">
        <v>497</v>
      </c>
      <c r="D159" s="88">
        <v>0</v>
      </c>
      <c r="E159" s="29">
        <f t="shared" si="174"/>
        <v>2.2944552E-2</v>
      </c>
      <c r="F159" s="29">
        <f t="shared" si="174"/>
        <v>0</v>
      </c>
      <c r="G159" s="29">
        <f t="shared" si="174"/>
        <v>2.0024172E-2</v>
      </c>
      <c r="H159" s="29">
        <f t="shared" si="169"/>
        <v>2.9203799999999998E-3</v>
      </c>
      <c r="I159" s="29">
        <f t="shared" si="141"/>
        <v>0</v>
      </c>
      <c r="J159" s="29">
        <f t="shared" si="170"/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f t="shared" si="183"/>
        <v>2.2944552E-2</v>
      </c>
      <c r="P159" s="29">
        <v>0</v>
      </c>
      <c r="Q159" s="29">
        <v>2.0024172E-2</v>
      </c>
      <c r="R159" s="29">
        <v>2.9203799999999998E-3</v>
      </c>
      <c r="S159" s="29">
        <v>0</v>
      </c>
      <c r="T159" s="30">
        <f t="shared" si="184"/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f t="shared" si="185"/>
        <v>0</v>
      </c>
      <c r="Z159" s="30">
        <v>0</v>
      </c>
      <c r="AA159" s="30">
        <v>0</v>
      </c>
      <c r="AB159" s="30">
        <v>0</v>
      </c>
      <c r="AC159" s="34">
        <v>0</v>
      </c>
      <c r="AD159" s="36">
        <v>0</v>
      </c>
      <c r="AE159" s="36">
        <f t="shared" si="175"/>
        <v>1.9120459999999999E-2</v>
      </c>
      <c r="AF159" s="36">
        <f t="shared" si="175"/>
        <v>0</v>
      </c>
      <c r="AG159" s="36">
        <f t="shared" si="175"/>
        <v>1.668681E-2</v>
      </c>
      <c r="AH159" s="36">
        <f t="shared" si="172"/>
        <v>2.4336499999999999E-3</v>
      </c>
      <c r="AI159" s="36">
        <f t="shared" si="144"/>
        <v>0</v>
      </c>
      <c r="AJ159" s="36">
        <f t="shared" si="166"/>
        <v>0</v>
      </c>
      <c r="AK159" s="36">
        <v>0</v>
      </c>
      <c r="AL159" s="36">
        <v>0</v>
      </c>
      <c r="AM159" s="36">
        <v>0</v>
      </c>
      <c r="AN159" s="36">
        <v>0</v>
      </c>
      <c r="AO159" s="34">
        <f t="shared" si="186"/>
        <v>1.9120459999999999E-2</v>
      </c>
      <c r="AP159" s="34">
        <v>0</v>
      </c>
      <c r="AQ159" s="34">
        <v>1.668681E-2</v>
      </c>
      <c r="AR159" s="34">
        <v>2.4336499999999999E-3</v>
      </c>
      <c r="AS159" s="34">
        <v>0</v>
      </c>
      <c r="AT159" s="34">
        <f t="shared" si="187"/>
        <v>0</v>
      </c>
      <c r="AU159" s="34">
        <v>0</v>
      </c>
      <c r="AV159" s="34">
        <v>0</v>
      </c>
      <c r="AW159" s="34">
        <v>0</v>
      </c>
      <c r="AX159" s="34">
        <v>0</v>
      </c>
      <c r="AY159" s="34">
        <f t="shared" si="188"/>
        <v>0</v>
      </c>
      <c r="AZ159" s="34">
        <v>0</v>
      </c>
      <c r="BA159" s="34">
        <v>0</v>
      </c>
      <c r="BB159" s="34">
        <v>0</v>
      </c>
      <c r="BC159" s="34">
        <v>0</v>
      </c>
    </row>
    <row r="160" spans="1:55" s="55" customFormat="1" ht="27.75" customHeight="1" x14ac:dyDescent="0.25">
      <c r="A160" s="109" t="s">
        <v>56</v>
      </c>
      <c r="B160" s="96" t="s">
        <v>498</v>
      </c>
      <c r="C160" s="108" t="s">
        <v>499</v>
      </c>
      <c r="D160" s="88">
        <v>0</v>
      </c>
      <c r="E160" s="29">
        <f t="shared" si="174"/>
        <v>3.1017503999999994E-2</v>
      </c>
      <c r="F160" s="29">
        <f t="shared" si="174"/>
        <v>0</v>
      </c>
      <c r="G160" s="29">
        <f t="shared" si="174"/>
        <v>2.8042727999999996E-2</v>
      </c>
      <c r="H160" s="29">
        <f t="shared" si="169"/>
        <v>2.9747759999999997E-3</v>
      </c>
      <c r="I160" s="29">
        <f t="shared" si="141"/>
        <v>0</v>
      </c>
      <c r="J160" s="29">
        <f t="shared" si="170"/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f t="shared" si="183"/>
        <v>3.1017503999999994E-2</v>
      </c>
      <c r="P160" s="29">
        <v>0</v>
      </c>
      <c r="Q160" s="29">
        <v>2.8042727999999996E-2</v>
      </c>
      <c r="R160" s="29">
        <v>2.9747759999999997E-3</v>
      </c>
      <c r="S160" s="29">
        <v>0</v>
      </c>
      <c r="T160" s="30">
        <f t="shared" si="184"/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f t="shared" si="185"/>
        <v>0</v>
      </c>
      <c r="Z160" s="30">
        <v>0</v>
      </c>
      <c r="AA160" s="30">
        <v>0</v>
      </c>
      <c r="AB160" s="30">
        <v>0</v>
      </c>
      <c r="AC160" s="34">
        <v>0</v>
      </c>
      <c r="AD160" s="36">
        <v>0</v>
      </c>
      <c r="AE160" s="36">
        <f t="shared" si="175"/>
        <v>2.5847919999999996E-2</v>
      </c>
      <c r="AF160" s="36">
        <f t="shared" si="175"/>
        <v>0</v>
      </c>
      <c r="AG160" s="36">
        <f t="shared" si="175"/>
        <v>2.3368939999999998E-2</v>
      </c>
      <c r="AH160" s="36">
        <f t="shared" si="172"/>
        <v>2.47898E-3</v>
      </c>
      <c r="AI160" s="36">
        <f t="shared" si="144"/>
        <v>0</v>
      </c>
      <c r="AJ160" s="36">
        <f t="shared" si="166"/>
        <v>0</v>
      </c>
      <c r="AK160" s="36">
        <v>0</v>
      </c>
      <c r="AL160" s="36">
        <v>0</v>
      </c>
      <c r="AM160" s="36">
        <v>0</v>
      </c>
      <c r="AN160" s="36">
        <v>0</v>
      </c>
      <c r="AO160" s="34">
        <f t="shared" si="186"/>
        <v>2.5847919999999996E-2</v>
      </c>
      <c r="AP160" s="34">
        <v>0</v>
      </c>
      <c r="AQ160" s="34">
        <v>2.3368939999999998E-2</v>
      </c>
      <c r="AR160" s="34">
        <v>2.47898E-3</v>
      </c>
      <c r="AS160" s="34">
        <v>0</v>
      </c>
      <c r="AT160" s="34">
        <f t="shared" si="187"/>
        <v>0</v>
      </c>
      <c r="AU160" s="34">
        <v>0</v>
      </c>
      <c r="AV160" s="34">
        <v>0</v>
      </c>
      <c r="AW160" s="34">
        <v>0</v>
      </c>
      <c r="AX160" s="34">
        <v>0</v>
      </c>
      <c r="AY160" s="34">
        <f t="shared" si="188"/>
        <v>0</v>
      </c>
      <c r="AZ160" s="34">
        <v>0</v>
      </c>
      <c r="BA160" s="34">
        <v>0</v>
      </c>
      <c r="BB160" s="34">
        <v>0</v>
      </c>
      <c r="BC160" s="34">
        <v>0</v>
      </c>
    </row>
    <row r="161" spans="1:55" s="55" customFormat="1" ht="37.5" customHeight="1" x14ac:dyDescent="0.25">
      <c r="A161" s="109" t="s">
        <v>56</v>
      </c>
      <c r="B161" s="96" t="s">
        <v>500</v>
      </c>
      <c r="C161" s="108" t="s">
        <v>501</v>
      </c>
      <c r="D161" s="88">
        <v>0</v>
      </c>
      <c r="E161" s="29">
        <f t="shared" si="174"/>
        <v>0.13769780399999998</v>
      </c>
      <c r="F161" s="29">
        <f t="shared" si="174"/>
        <v>0</v>
      </c>
      <c r="G161" s="29">
        <f t="shared" si="174"/>
        <v>7.1069759999999996E-2</v>
      </c>
      <c r="H161" s="29">
        <f t="shared" si="169"/>
        <v>6.6628043999999997E-2</v>
      </c>
      <c r="I161" s="29">
        <f t="shared" si="141"/>
        <v>0</v>
      </c>
      <c r="J161" s="29">
        <f t="shared" si="170"/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f t="shared" si="183"/>
        <v>0.13769780399999998</v>
      </c>
      <c r="P161" s="29">
        <v>0</v>
      </c>
      <c r="Q161" s="29">
        <v>7.1069759999999996E-2</v>
      </c>
      <c r="R161" s="29">
        <v>6.6628043999999997E-2</v>
      </c>
      <c r="S161" s="29">
        <v>0</v>
      </c>
      <c r="T161" s="30">
        <f t="shared" si="184"/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f t="shared" si="185"/>
        <v>0</v>
      </c>
      <c r="Z161" s="30">
        <v>0</v>
      </c>
      <c r="AA161" s="30">
        <v>0</v>
      </c>
      <c r="AB161" s="30">
        <v>0</v>
      </c>
      <c r="AC161" s="34">
        <v>0</v>
      </c>
      <c r="AD161" s="36">
        <v>0</v>
      </c>
      <c r="AE161" s="36">
        <f t="shared" si="175"/>
        <v>0.11474817000000001</v>
      </c>
      <c r="AF161" s="36">
        <f t="shared" si="175"/>
        <v>0</v>
      </c>
      <c r="AG161" s="36">
        <f t="shared" si="175"/>
        <v>5.9224800000000001E-2</v>
      </c>
      <c r="AH161" s="36">
        <f t="shared" si="172"/>
        <v>5.5523370000000002E-2</v>
      </c>
      <c r="AI161" s="36">
        <f t="shared" si="144"/>
        <v>0</v>
      </c>
      <c r="AJ161" s="36">
        <f t="shared" si="166"/>
        <v>0</v>
      </c>
      <c r="AK161" s="36">
        <v>0</v>
      </c>
      <c r="AL161" s="36">
        <v>0</v>
      </c>
      <c r="AM161" s="36">
        <v>0</v>
      </c>
      <c r="AN161" s="36">
        <v>0</v>
      </c>
      <c r="AO161" s="34">
        <f t="shared" si="186"/>
        <v>0.11474817000000001</v>
      </c>
      <c r="AP161" s="34">
        <v>0</v>
      </c>
      <c r="AQ161" s="34">
        <v>5.9224800000000001E-2</v>
      </c>
      <c r="AR161" s="34">
        <v>5.5523370000000002E-2</v>
      </c>
      <c r="AS161" s="34">
        <v>0</v>
      </c>
      <c r="AT161" s="34">
        <f t="shared" si="187"/>
        <v>0</v>
      </c>
      <c r="AU161" s="34">
        <v>0</v>
      </c>
      <c r="AV161" s="34">
        <v>0</v>
      </c>
      <c r="AW161" s="34">
        <v>0</v>
      </c>
      <c r="AX161" s="34">
        <v>0</v>
      </c>
      <c r="AY161" s="34">
        <f t="shared" si="188"/>
        <v>0</v>
      </c>
      <c r="AZ161" s="34">
        <v>0</v>
      </c>
      <c r="BA161" s="34">
        <v>0</v>
      </c>
      <c r="BB161" s="34">
        <v>0</v>
      </c>
      <c r="BC161" s="34">
        <v>0</v>
      </c>
    </row>
    <row r="162" spans="1:55" s="55" customFormat="1" ht="36.75" customHeight="1" x14ac:dyDescent="0.25">
      <c r="A162" s="31" t="s">
        <v>56</v>
      </c>
      <c r="B162" s="96" t="s">
        <v>171</v>
      </c>
      <c r="C162" s="97" t="s">
        <v>172</v>
      </c>
      <c r="D162" s="88">
        <v>0.30541317966101705</v>
      </c>
      <c r="E162" s="29">
        <f t="shared" si="174"/>
        <v>0.21459529199999999</v>
      </c>
      <c r="F162" s="29">
        <f t="shared" si="174"/>
        <v>0</v>
      </c>
      <c r="G162" s="29">
        <f t="shared" si="174"/>
        <v>3.3777768E-2</v>
      </c>
      <c r="H162" s="29">
        <f t="shared" si="169"/>
        <v>0.18081752400000001</v>
      </c>
      <c r="I162" s="29">
        <f t="shared" si="141"/>
        <v>0</v>
      </c>
      <c r="J162" s="29">
        <f t="shared" si="170"/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f t="shared" si="183"/>
        <v>0</v>
      </c>
      <c r="P162" s="29">
        <v>0</v>
      </c>
      <c r="Q162" s="29">
        <v>0</v>
      </c>
      <c r="R162" s="29">
        <v>0</v>
      </c>
      <c r="S162" s="29">
        <v>0</v>
      </c>
      <c r="T162" s="30">
        <f t="shared" si="184"/>
        <v>0.21459529199999999</v>
      </c>
      <c r="U162" s="30">
        <v>0</v>
      </c>
      <c r="V162" s="30">
        <v>3.3777768E-2</v>
      </c>
      <c r="W162" s="30">
        <v>0.18081752400000001</v>
      </c>
      <c r="X162" s="30">
        <v>0</v>
      </c>
      <c r="Y162" s="30">
        <f t="shared" si="185"/>
        <v>0</v>
      </c>
      <c r="Z162" s="30">
        <v>0</v>
      </c>
      <c r="AA162" s="30">
        <v>0</v>
      </c>
      <c r="AB162" s="30">
        <v>0</v>
      </c>
      <c r="AC162" s="34">
        <v>0</v>
      </c>
      <c r="AD162" s="36">
        <v>0.25451098305084757</v>
      </c>
      <c r="AE162" s="36">
        <f t="shared" si="175"/>
        <v>0.17882941000000002</v>
      </c>
      <c r="AF162" s="36">
        <f t="shared" si="175"/>
        <v>0</v>
      </c>
      <c r="AG162" s="36">
        <f t="shared" si="175"/>
        <v>2.8148140000000002E-2</v>
      </c>
      <c r="AH162" s="36">
        <f t="shared" si="172"/>
        <v>0.15068127000000001</v>
      </c>
      <c r="AI162" s="36">
        <f t="shared" si="144"/>
        <v>0</v>
      </c>
      <c r="AJ162" s="36">
        <f t="shared" si="166"/>
        <v>0</v>
      </c>
      <c r="AK162" s="36">
        <v>0</v>
      </c>
      <c r="AL162" s="36">
        <v>0</v>
      </c>
      <c r="AM162" s="36">
        <v>0</v>
      </c>
      <c r="AN162" s="36">
        <v>0</v>
      </c>
      <c r="AO162" s="34">
        <f t="shared" si="186"/>
        <v>0</v>
      </c>
      <c r="AP162" s="34">
        <v>0</v>
      </c>
      <c r="AQ162" s="34">
        <v>0</v>
      </c>
      <c r="AR162" s="34">
        <v>0</v>
      </c>
      <c r="AS162" s="34">
        <v>0</v>
      </c>
      <c r="AT162" s="34">
        <f t="shared" si="187"/>
        <v>0.17882941000000002</v>
      </c>
      <c r="AU162" s="34">
        <v>0</v>
      </c>
      <c r="AV162" s="34">
        <v>2.8148140000000002E-2</v>
      </c>
      <c r="AW162" s="34">
        <v>0.15068127000000001</v>
      </c>
      <c r="AX162" s="34">
        <v>0</v>
      </c>
      <c r="AY162" s="34">
        <f t="shared" si="188"/>
        <v>0</v>
      </c>
      <c r="AZ162" s="34">
        <v>0</v>
      </c>
      <c r="BA162" s="34">
        <v>0</v>
      </c>
      <c r="BB162" s="34">
        <v>0</v>
      </c>
      <c r="BC162" s="34">
        <v>0</v>
      </c>
    </row>
    <row r="163" spans="1:55" s="55" customFormat="1" ht="33" customHeight="1" x14ac:dyDescent="0.25">
      <c r="A163" s="31" t="s">
        <v>56</v>
      </c>
      <c r="B163" s="96" t="s">
        <v>173</v>
      </c>
      <c r="C163" s="97" t="s">
        <v>174</v>
      </c>
      <c r="D163" s="88">
        <v>0.22905988474576283</v>
      </c>
      <c r="E163" s="29">
        <f t="shared" si="174"/>
        <v>0.18500229600000001</v>
      </c>
      <c r="F163" s="29">
        <f t="shared" si="174"/>
        <v>0</v>
      </c>
      <c r="G163" s="29">
        <f t="shared" si="174"/>
        <v>4.6598184000000001E-2</v>
      </c>
      <c r="H163" s="29">
        <f t="shared" si="169"/>
        <v>0.138404112</v>
      </c>
      <c r="I163" s="29">
        <f t="shared" si="141"/>
        <v>0</v>
      </c>
      <c r="J163" s="29">
        <f t="shared" si="170"/>
        <v>0</v>
      </c>
      <c r="K163" s="29">
        <v>0</v>
      </c>
      <c r="L163" s="29">
        <v>0</v>
      </c>
      <c r="M163" s="29">
        <v>0</v>
      </c>
      <c r="N163" s="29">
        <v>0</v>
      </c>
      <c r="O163" s="29">
        <f t="shared" si="183"/>
        <v>0</v>
      </c>
      <c r="P163" s="29">
        <v>0</v>
      </c>
      <c r="Q163" s="29">
        <v>0</v>
      </c>
      <c r="R163" s="29">
        <v>0</v>
      </c>
      <c r="S163" s="29">
        <v>0</v>
      </c>
      <c r="T163" s="30">
        <f t="shared" si="184"/>
        <v>0.18500229600000001</v>
      </c>
      <c r="U163" s="30">
        <v>0</v>
      </c>
      <c r="V163" s="30">
        <v>4.6598184000000001E-2</v>
      </c>
      <c r="W163" s="30">
        <v>0.138404112</v>
      </c>
      <c r="X163" s="30">
        <v>0</v>
      </c>
      <c r="Y163" s="30">
        <f t="shared" si="185"/>
        <v>0</v>
      </c>
      <c r="Z163" s="30">
        <v>0</v>
      </c>
      <c r="AA163" s="30">
        <v>0</v>
      </c>
      <c r="AB163" s="30">
        <v>0</v>
      </c>
      <c r="AC163" s="34">
        <v>0</v>
      </c>
      <c r="AD163" s="36">
        <v>0.19088323728813569</v>
      </c>
      <c r="AE163" s="36">
        <f t="shared" si="175"/>
        <v>0.15416858</v>
      </c>
      <c r="AF163" s="36">
        <f t="shared" si="175"/>
        <v>0</v>
      </c>
      <c r="AG163" s="36">
        <f t="shared" si="175"/>
        <v>3.8831820000000003E-2</v>
      </c>
      <c r="AH163" s="36">
        <f t="shared" si="172"/>
        <v>0.11533676</v>
      </c>
      <c r="AI163" s="36">
        <f t="shared" si="144"/>
        <v>0</v>
      </c>
      <c r="AJ163" s="36">
        <f t="shared" si="166"/>
        <v>0</v>
      </c>
      <c r="AK163" s="36">
        <v>0</v>
      </c>
      <c r="AL163" s="36">
        <v>0</v>
      </c>
      <c r="AM163" s="36">
        <v>0</v>
      </c>
      <c r="AN163" s="36">
        <v>0</v>
      </c>
      <c r="AO163" s="34">
        <f t="shared" si="186"/>
        <v>0</v>
      </c>
      <c r="AP163" s="34">
        <v>0</v>
      </c>
      <c r="AQ163" s="34">
        <v>0</v>
      </c>
      <c r="AR163" s="34">
        <v>0</v>
      </c>
      <c r="AS163" s="34">
        <v>0</v>
      </c>
      <c r="AT163" s="34">
        <f t="shared" si="187"/>
        <v>0.15416858</v>
      </c>
      <c r="AU163" s="34">
        <v>0</v>
      </c>
      <c r="AV163" s="34">
        <v>3.8831820000000003E-2</v>
      </c>
      <c r="AW163" s="34">
        <v>0.11533676</v>
      </c>
      <c r="AX163" s="34">
        <v>0</v>
      </c>
      <c r="AY163" s="34">
        <f t="shared" si="188"/>
        <v>0</v>
      </c>
      <c r="AZ163" s="34">
        <v>0</v>
      </c>
      <c r="BA163" s="34">
        <v>0</v>
      </c>
      <c r="BB163" s="34">
        <v>0</v>
      </c>
      <c r="BC163" s="34">
        <v>0</v>
      </c>
    </row>
    <row r="164" spans="1:55" s="55" customFormat="1" ht="36" customHeight="1" x14ac:dyDescent="0.25">
      <c r="A164" s="31" t="s">
        <v>56</v>
      </c>
      <c r="B164" s="96" t="s">
        <v>175</v>
      </c>
      <c r="C164" s="97" t="s">
        <v>176</v>
      </c>
      <c r="D164" s="88">
        <v>0.22905988474576283</v>
      </c>
      <c r="E164" s="29">
        <f t="shared" si="174"/>
        <v>0.17336011199999998</v>
      </c>
      <c r="F164" s="29">
        <f t="shared" si="174"/>
        <v>0</v>
      </c>
      <c r="G164" s="29">
        <f t="shared" si="174"/>
        <v>2.2832316000000002E-2</v>
      </c>
      <c r="H164" s="29">
        <f t="shared" si="169"/>
        <v>0.15052779599999999</v>
      </c>
      <c r="I164" s="29">
        <f t="shared" si="141"/>
        <v>0</v>
      </c>
      <c r="J164" s="29">
        <f t="shared" si="170"/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f t="shared" si="183"/>
        <v>0</v>
      </c>
      <c r="P164" s="29">
        <v>0</v>
      </c>
      <c r="Q164" s="29">
        <v>0</v>
      </c>
      <c r="R164" s="29">
        <v>0</v>
      </c>
      <c r="S164" s="29">
        <v>0</v>
      </c>
      <c r="T164" s="30">
        <f t="shared" si="184"/>
        <v>0.17336011199999998</v>
      </c>
      <c r="U164" s="30">
        <v>0</v>
      </c>
      <c r="V164" s="30">
        <v>2.2832316000000002E-2</v>
      </c>
      <c r="W164" s="30">
        <v>0.15052779599999999</v>
      </c>
      <c r="X164" s="30">
        <v>0</v>
      </c>
      <c r="Y164" s="30">
        <f t="shared" si="185"/>
        <v>0</v>
      </c>
      <c r="Z164" s="30">
        <v>0</v>
      </c>
      <c r="AA164" s="30">
        <v>0</v>
      </c>
      <c r="AB164" s="30">
        <v>0</v>
      </c>
      <c r="AC164" s="34">
        <v>0</v>
      </c>
      <c r="AD164" s="36">
        <v>0.19088323728813569</v>
      </c>
      <c r="AE164" s="36">
        <f t="shared" si="175"/>
        <v>0.14446676</v>
      </c>
      <c r="AF164" s="36">
        <f t="shared" si="175"/>
        <v>0</v>
      </c>
      <c r="AG164" s="36">
        <f t="shared" si="175"/>
        <v>1.9026930000000001E-2</v>
      </c>
      <c r="AH164" s="36">
        <f t="shared" si="172"/>
        <v>0.12543983</v>
      </c>
      <c r="AI164" s="36">
        <f t="shared" si="144"/>
        <v>0</v>
      </c>
      <c r="AJ164" s="36">
        <f t="shared" si="166"/>
        <v>0</v>
      </c>
      <c r="AK164" s="36">
        <v>0</v>
      </c>
      <c r="AL164" s="36">
        <v>0</v>
      </c>
      <c r="AM164" s="36">
        <v>0</v>
      </c>
      <c r="AN164" s="36">
        <v>0</v>
      </c>
      <c r="AO164" s="34">
        <f t="shared" si="186"/>
        <v>0</v>
      </c>
      <c r="AP164" s="34">
        <v>0</v>
      </c>
      <c r="AQ164" s="34">
        <v>0</v>
      </c>
      <c r="AR164" s="34">
        <v>0</v>
      </c>
      <c r="AS164" s="34">
        <v>0</v>
      </c>
      <c r="AT164" s="34">
        <f t="shared" si="187"/>
        <v>0.14446676</v>
      </c>
      <c r="AU164" s="34">
        <v>0</v>
      </c>
      <c r="AV164" s="34">
        <v>1.9026930000000001E-2</v>
      </c>
      <c r="AW164" s="34">
        <v>0.12543983</v>
      </c>
      <c r="AX164" s="34">
        <v>0</v>
      </c>
      <c r="AY164" s="34">
        <f t="shared" si="188"/>
        <v>0</v>
      </c>
      <c r="AZ164" s="34">
        <v>0</v>
      </c>
      <c r="BA164" s="34">
        <v>0</v>
      </c>
      <c r="BB164" s="34">
        <v>0</v>
      </c>
      <c r="BC164" s="34">
        <v>0</v>
      </c>
    </row>
    <row r="165" spans="1:55" s="55" customFormat="1" ht="36" customHeight="1" x14ac:dyDescent="0.25">
      <c r="A165" s="31" t="s">
        <v>56</v>
      </c>
      <c r="B165" s="96" t="s">
        <v>177</v>
      </c>
      <c r="C165" s="97" t="s">
        <v>178</v>
      </c>
      <c r="D165" s="88">
        <v>0.22905988474576283</v>
      </c>
      <c r="E165" s="29">
        <f t="shared" si="174"/>
        <v>0.16745780399999999</v>
      </c>
      <c r="F165" s="29">
        <f t="shared" si="174"/>
        <v>0</v>
      </c>
      <c r="G165" s="29">
        <f t="shared" si="174"/>
        <v>2.8098407999999998E-2</v>
      </c>
      <c r="H165" s="29">
        <f t="shared" si="169"/>
        <v>0.139359396</v>
      </c>
      <c r="I165" s="29">
        <f t="shared" si="141"/>
        <v>0</v>
      </c>
      <c r="J165" s="29">
        <f t="shared" si="170"/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f t="shared" si="183"/>
        <v>0</v>
      </c>
      <c r="P165" s="29">
        <v>0</v>
      </c>
      <c r="Q165" s="29">
        <v>0</v>
      </c>
      <c r="R165" s="29">
        <v>0</v>
      </c>
      <c r="S165" s="29">
        <v>0</v>
      </c>
      <c r="T165" s="30">
        <f t="shared" si="184"/>
        <v>0.16745780399999999</v>
      </c>
      <c r="U165" s="30">
        <v>0</v>
      </c>
      <c r="V165" s="30">
        <v>2.8098407999999998E-2</v>
      </c>
      <c r="W165" s="30">
        <v>0.139359396</v>
      </c>
      <c r="X165" s="30">
        <v>0</v>
      </c>
      <c r="Y165" s="30">
        <f t="shared" si="185"/>
        <v>0</v>
      </c>
      <c r="Z165" s="30">
        <v>0</v>
      </c>
      <c r="AA165" s="30">
        <v>0</v>
      </c>
      <c r="AB165" s="30">
        <v>0</v>
      </c>
      <c r="AC165" s="34">
        <v>0</v>
      </c>
      <c r="AD165" s="36">
        <v>0.19088323728813569</v>
      </c>
      <c r="AE165" s="36">
        <f t="shared" si="175"/>
        <v>0.13954817</v>
      </c>
      <c r="AF165" s="36">
        <f t="shared" si="175"/>
        <v>0</v>
      </c>
      <c r="AG165" s="36">
        <f t="shared" si="175"/>
        <v>2.341534E-2</v>
      </c>
      <c r="AH165" s="36">
        <f t="shared" si="172"/>
        <v>0.11613282999999999</v>
      </c>
      <c r="AI165" s="36">
        <f t="shared" si="144"/>
        <v>0</v>
      </c>
      <c r="AJ165" s="36">
        <f t="shared" si="166"/>
        <v>0</v>
      </c>
      <c r="AK165" s="36">
        <v>0</v>
      </c>
      <c r="AL165" s="36">
        <v>0</v>
      </c>
      <c r="AM165" s="36">
        <v>0</v>
      </c>
      <c r="AN165" s="36">
        <v>0</v>
      </c>
      <c r="AO165" s="34">
        <f t="shared" si="186"/>
        <v>0</v>
      </c>
      <c r="AP165" s="34">
        <v>0</v>
      </c>
      <c r="AQ165" s="34">
        <v>0</v>
      </c>
      <c r="AR165" s="34">
        <v>0</v>
      </c>
      <c r="AS165" s="34">
        <v>0</v>
      </c>
      <c r="AT165" s="34">
        <f t="shared" si="187"/>
        <v>0.13954817</v>
      </c>
      <c r="AU165" s="34">
        <v>0</v>
      </c>
      <c r="AV165" s="34">
        <v>2.341534E-2</v>
      </c>
      <c r="AW165" s="34">
        <v>0.11613282999999999</v>
      </c>
      <c r="AX165" s="34">
        <v>0</v>
      </c>
      <c r="AY165" s="34">
        <f t="shared" si="188"/>
        <v>0</v>
      </c>
      <c r="AZ165" s="34">
        <v>0</v>
      </c>
      <c r="BA165" s="34">
        <v>0</v>
      </c>
      <c r="BB165" s="34">
        <v>0</v>
      </c>
      <c r="BC165" s="34">
        <v>0</v>
      </c>
    </row>
    <row r="166" spans="1:55" s="55" customFormat="1" ht="36" customHeight="1" x14ac:dyDescent="0.25">
      <c r="A166" s="31" t="s">
        <v>56</v>
      </c>
      <c r="B166" s="96" t="s">
        <v>179</v>
      </c>
      <c r="C166" s="97" t="s">
        <v>180</v>
      </c>
      <c r="D166" s="88">
        <v>0.30541317966101705</v>
      </c>
      <c r="E166" s="29">
        <f t="shared" si="174"/>
        <v>0.21564835199999999</v>
      </c>
      <c r="F166" s="29">
        <f t="shared" si="174"/>
        <v>0</v>
      </c>
      <c r="G166" s="29">
        <f t="shared" si="174"/>
        <v>4.2132240000000001E-2</v>
      </c>
      <c r="H166" s="29">
        <f t="shared" si="169"/>
        <v>0.17351611199999997</v>
      </c>
      <c r="I166" s="29">
        <f t="shared" si="141"/>
        <v>0</v>
      </c>
      <c r="J166" s="29">
        <f t="shared" si="170"/>
        <v>0</v>
      </c>
      <c r="K166" s="29">
        <v>0</v>
      </c>
      <c r="L166" s="29">
        <v>0</v>
      </c>
      <c r="M166" s="29">
        <v>0</v>
      </c>
      <c r="N166" s="29">
        <v>0</v>
      </c>
      <c r="O166" s="29">
        <f t="shared" si="183"/>
        <v>0</v>
      </c>
      <c r="P166" s="29">
        <v>0</v>
      </c>
      <c r="Q166" s="29">
        <v>0</v>
      </c>
      <c r="R166" s="29">
        <v>0</v>
      </c>
      <c r="S166" s="29">
        <v>0</v>
      </c>
      <c r="T166" s="30">
        <f t="shared" si="184"/>
        <v>0.21564835199999999</v>
      </c>
      <c r="U166" s="30">
        <v>0</v>
      </c>
      <c r="V166" s="30">
        <v>4.2132240000000001E-2</v>
      </c>
      <c r="W166" s="30">
        <v>0.17351611199999997</v>
      </c>
      <c r="X166" s="30">
        <v>0</v>
      </c>
      <c r="Y166" s="30">
        <f t="shared" si="185"/>
        <v>0</v>
      </c>
      <c r="Z166" s="30">
        <v>0</v>
      </c>
      <c r="AA166" s="30">
        <v>0</v>
      </c>
      <c r="AB166" s="30">
        <v>0</v>
      </c>
      <c r="AC166" s="34">
        <v>0</v>
      </c>
      <c r="AD166" s="36">
        <v>0.25451098305084757</v>
      </c>
      <c r="AE166" s="36">
        <f t="shared" si="175"/>
        <v>0.17970696</v>
      </c>
      <c r="AF166" s="36">
        <f t="shared" si="175"/>
        <v>0</v>
      </c>
      <c r="AG166" s="36">
        <f t="shared" si="175"/>
        <v>3.5110200000000001E-2</v>
      </c>
      <c r="AH166" s="36">
        <f t="shared" si="172"/>
        <v>0.14459675999999999</v>
      </c>
      <c r="AI166" s="36">
        <f t="shared" si="144"/>
        <v>0</v>
      </c>
      <c r="AJ166" s="36">
        <f t="shared" si="166"/>
        <v>0</v>
      </c>
      <c r="AK166" s="36">
        <v>0</v>
      </c>
      <c r="AL166" s="36">
        <v>0</v>
      </c>
      <c r="AM166" s="36">
        <v>0</v>
      </c>
      <c r="AN166" s="36">
        <v>0</v>
      </c>
      <c r="AO166" s="34">
        <f t="shared" si="186"/>
        <v>0</v>
      </c>
      <c r="AP166" s="34">
        <v>0</v>
      </c>
      <c r="AQ166" s="34">
        <v>0</v>
      </c>
      <c r="AR166" s="34">
        <v>0</v>
      </c>
      <c r="AS166" s="34">
        <v>0</v>
      </c>
      <c r="AT166" s="34">
        <f t="shared" si="187"/>
        <v>0.17970696</v>
      </c>
      <c r="AU166" s="34">
        <v>0</v>
      </c>
      <c r="AV166" s="34">
        <v>3.5110200000000001E-2</v>
      </c>
      <c r="AW166" s="34">
        <v>0.14459675999999999</v>
      </c>
      <c r="AX166" s="34">
        <v>0</v>
      </c>
      <c r="AY166" s="34">
        <f t="shared" si="188"/>
        <v>0</v>
      </c>
      <c r="AZ166" s="34">
        <v>0</v>
      </c>
      <c r="BA166" s="34">
        <v>0</v>
      </c>
      <c r="BB166" s="34">
        <v>0</v>
      </c>
      <c r="BC166" s="34">
        <v>0</v>
      </c>
    </row>
    <row r="167" spans="1:55" s="55" customFormat="1" ht="36" customHeight="1" x14ac:dyDescent="0.25">
      <c r="A167" s="31" t="s">
        <v>56</v>
      </c>
      <c r="B167" s="96" t="s">
        <v>181</v>
      </c>
      <c r="C167" s="97" t="s">
        <v>182</v>
      </c>
      <c r="D167" s="88">
        <v>0.22905988474576283</v>
      </c>
      <c r="E167" s="29">
        <f t="shared" si="174"/>
        <v>0.18262467599999996</v>
      </c>
      <c r="F167" s="29">
        <f t="shared" si="174"/>
        <v>0</v>
      </c>
      <c r="G167" s="29">
        <f t="shared" si="174"/>
        <v>4.5255587999999992E-2</v>
      </c>
      <c r="H167" s="29">
        <f t="shared" si="169"/>
        <v>0.13736908799999997</v>
      </c>
      <c r="I167" s="29">
        <f t="shared" si="141"/>
        <v>0</v>
      </c>
      <c r="J167" s="29">
        <f t="shared" si="170"/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f t="shared" si="183"/>
        <v>0</v>
      </c>
      <c r="P167" s="29">
        <v>0</v>
      </c>
      <c r="Q167" s="29">
        <v>0</v>
      </c>
      <c r="R167" s="29">
        <v>0</v>
      </c>
      <c r="S167" s="29">
        <v>0</v>
      </c>
      <c r="T167" s="30">
        <f t="shared" si="184"/>
        <v>0.18262467599999996</v>
      </c>
      <c r="U167" s="30">
        <v>0</v>
      </c>
      <c r="V167" s="30">
        <v>4.5255587999999992E-2</v>
      </c>
      <c r="W167" s="30">
        <v>0.13736908799999997</v>
      </c>
      <c r="X167" s="30">
        <v>0</v>
      </c>
      <c r="Y167" s="30">
        <f t="shared" si="185"/>
        <v>0</v>
      </c>
      <c r="Z167" s="30">
        <v>0</v>
      </c>
      <c r="AA167" s="30">
        <v>0</v>
      </c>
      <c r="AB167" s="30">
        <v>0</v>
      </c>
      <c r="AC167" s="34">
        <v>0</v>
      </c>
      <c r="AD167" s="36">
        <v>0.19088323728813569</v>
      </c>
      <c r="AE167" s="36">
        <f t="shared" si="175"/>
        <v>0.15218722999999998</v>
      </c>
      <c r="AF167" s="36">
        <f t="shared" si="175"/>
        <v>0</v>
      </c>
      <c r="AG167" s="36">
        <f t="shared" si="175"/>
        <v>3.7712989999999995E-2</v>
      </c>
      <c r="AH167" s="36">
        <f t="shared" si="172"/>
        <v>0.11447423999999999</v>
      </c>
      <c r="AI167" s="36">
        <f t="shared" si="144"/>
        <v>0</v>
      </c>
      <c r="AJ167" s="36">
        <f t="shared" si="166"/>
        <v>0</v>
      </c>
      <c r="AK167" s="36">
        <v>0</v>
      </c>
      <c r="AL167" s="36">
        <v>0</v>
      </c>
      <c r="AM167" s="36">
        <v>0</v>
      </c>
      <c r="AN167" s="36">
        <v>0</v>
      </c>
      <c r="AO167" s="34">
        <f t="shared" si="186"/>
        <v>0</v>
      </c>
      <c r="AP167" s="34">
        <v>0</v>
      </c>
      <c r="AQ167" s="34">
        <v>0</v>
      </c>
      <c r="AR167" s="34">
        <v>0</v>
      </c>
      <c r="AS167" s="34">
        <v>0</v>
      </c>
      <c r="AT167" s="34">
        <f t="shared" si="187"/>
        <v>0.15218722999999998</v>
      </c>
      <c r="AU167" s="34">
        <v>0</v>
      </c>
      <c r="AV167" s="34">
        <v>3.7712989999999995E-2</v>
      </c>
      <c r="AW167" s="34">
        <v>0.11447423999999999</v>
      </c>
      <c r="AX167" s="34">
        <v>0</v>
      </c>
      <c r="AY167" s="34">
        <f t="shared" si="188"/>
        <v>0</v>
      </c>
      <c r="AZ167" s="34">
        <v>0</v>
      </c>
      <c r="BA167" s="34">
        <v>0</v>
      </c>
      <c r="BB167" s="34">
        <v>0</v>
      </c>
      <c r="BC167" s="34">
        <v>0</v>
      </c>
    </row>
    <row r="168" spans="1:55" s="55" customFormat="1" ht="36" customHeight="1" x14ac:dyDescent="0.25">
      <c r="A168" s="31" t="s">
        <v>56</v>
      </c>
      <c r="B168" s="89" t="s">
        <v>183</v>
      </c>
      <c r="C168" s="90" t="s">
        <v>184</v>
      </c>
      <c r="D168" s="88">
        <v>0.124959661016949</v>
      </c>
      <c r="E168" s="29">
        <f t="shared" si="174"/>
        <v>0.16440484799999999</v>
      </c>
      <c r="F168" s="29">
        <f t="shared" si="174"/>
        <v>0</v>
      </c>
      <c r="G168" s="29">
        <f t="shared" si="174"/>
        <v>2.0285255999999998E-2</v>
      </c>
      <c r="H168" s="29">
        <f t="shared" si="169"/>
        <v>0.14411959199999999</v>
      </c>
      <c r="I168" s="29">
        <f t="shared" si="141"/>
        <v>0</v>
      </c>
      <c r="J168" s="29">
        <f t="shared" si="170"/>
        <v>0</v>
      </c>
      <c r="K168" s="29">
        <v>0</v>
      </c>
      <c r="L168" s="29">
        <v>0</v>
      </c>
      <c r="M168" s="29">
        <v>0</v>
      </c>
      <c r="N168" s="29">
        <v>0</v>
      </c>
      <c r="O168" s="29">
        <f t="shared" si="183"/>
        <v>0</v>
      </c>
      <c r="P168" s="29">
        <v>0</v>
      </c>
      <c r="Q168" s="29">
        <v>0</v>
      </c>
      <c r="R168" s="29">
        <v>0</v>
      </c>
      <c r="S168" s="29">
        <v>0</v>
      </c>
      <c r="T168" s="30">
        <f t="shared" si="184"/>
        <v>0.16440484799999999</v>
      </c>
      <c r="U168" s="30">
        <v>0</v>
      </c>
      <c r="V168" s="30">
        <v>2.0285255999999998E-2</v>
      </c>
      <c r="W168" s="30">
        <v>0.14411959199999999</v>
      </c>
      <c r="X168" s="30">
        <v>0</v>
      </c>
      <c r="Y168" s="30">
        <f t="shared" si="185"/>
        <v>0</v>
      </c>
      <c r="Z168" s="30">
        <v>0</v>
      </c>
      <c r="AA168" s="30">
        <v>0</v>
      </c>
      <c r="AB168" s="30">
        <v>0</v>
      </c>
      <c r="AC168" s="34">
        <v>0</v>
      </c>
      <c r="AD168" s="36">
        <v>0.1041330508474575</v>
      </c>
      <c r="AE168" s="36">
        <f t="shared" si="175"/>
        <v>0.13700403999999999</v>
      </c>
      <c r="AF168" s="36">
        <f t="shared" si="175"/>
        <v>0</v>
      </c>
      <c r="AG168" s="36">
        <f t="shared" si="175"/>
        <v>1.690438E-2</v>
      </c>
      <c r="AH168" s="36">
        <f t="shared" si="172"/>
        <v>0.12009966</v>
      </c>
      <c r="AI168" s="36">
        <f t="shared" si="144"/>
        <v>0</v>
      </c>
      <c r="AJ168" s="36">
        <f t="shared" si="166"/>
        <v>0</v>
      </c>
      <c r="AK168" s="36">
        <v>0</v>
      </c>
      <c r="AL168" s="36">
        <v>0</v>
      </c>
      <c r="AM168" s="36">
        <v>0</v>
      </c>
      <c r="AN168" s="36">
        <v>0</v>
      </c>
      <c r="AO168" s="34">
        <f t="shared" si="186"/>
        <v>0</v>
      </c>
      <c r="AP168" s="34">
        <v>0</v>
      </c>
      <c r="AQ168" s="34">
        <v>0</v>
      </c>
      <c r="AR168" s="34">
        <v>0</v>
      </c>
      <c r="AS168" s="34">
        <v>0</v>
      </c>
      <c r="AT168" s="34">
        <f t="shared" si="187"/>
        <v>0.13700403999999999</v>
      </c>
      <c r="AU168" s="34">
        <v>0</v>
      </c>
      <c r="AV168" s="34">
        <v>1.690438E-2</v>
      </c>
      <c r="AW168" s="34">
        <v>0.12009966</v>
      </c>
      <c r="AX168" s="34">
        <v>0</v>
      </c>
      <c r="AY168" s="34">
        <f t="shared" si="188"/>
        <v>0</v>
      </c>
      <c r="AZ168" s="34">
        <v>0</v>
      </c>
      <c r="BA168" s="34">
        <v>0</v>
      </c>
      <c r="BB168" s="34">
        <v>0</v>
      </c>
      <c r="BC168" s="34">
        <v>0</v>
      </c>
    </row>
    <row r="169" spans="1:55" s="55" customFormat="1" ht="36" customHeight="1" x14ac:dyDescent="0.25">
      <c r="A169" s="31" t="s">
        <v>56</v>
      </c>
      <c r="B169" s="96" t="s">
        <v>185</v>
      </c>
      <c r="C169" s="97" t="s">
        <v>186</v>
      </c>
      <c r="D169" s="88">
        <v>0.37805489735593195</v>
      </c>
      <c r="E169" s="29">
        <f t="shared" si="174"/>
        <v>0.27011065199999995</v>
      </c>
      <c r="F169" s="29">
        <f t="shared" si="174"/>
        <v>0</v>
      </c>
      <c r="G169" s="29">
        <f t="shared" si="174"/>
        <v>1.8803159999999999E-2</v>
      </c>
      <c r="H169" s="29">
        <f t="shared" si="169"/>
        <v>0.25130749199999997</v>
      </c>
      <c r="I169" s="29">
        <f t="shared" si="141"/>
        <v>0</v>
      </c>
      <c r="J169" s="29">
        <f t="shared" si="170"/>
        <v>0</v>
      </c>
      <c r="K169" s="29">
        <v>0</v>
      </c>
      <c r="L169" s="29">
        <v>0</v>
      </c>
      <c r="M169" s="29">
        <v>0</v>
      </c>
      <c r="N169" s="29">
        <v>0</v>
      </c>
      <c r="O169" s="29">
        <f t="shared" si="183"/>
        <v>0</v>
      </c>
      <c r="P169" s="29">
        <v>0</v>
      </c>
      <c r="Q169" s="29">
        <v>0</v>
      </c>
      <c r="R169" s="29">
        <v>0</v>
      </c>
      <c r="S169" s="29">
        <v>0</v>
      </c>
      <c r="T169" s="30">
        <f t="shared" si="184"/>
        <v>0.27011065199999995</v>
      </c>
      <c r="U169" s="30">
        <v>0</v>
      </c>
      <c r="V169" s="30">
        <v>1.8803159999999999E-2</v>
      </c>
      <c r="W169" s="30">
        <v>0.25130749199999997</v>
      </c>
      <c r="X169" s="30">
        <v>0</v>
      </c>
      <c r="Y169" s="30">
        <f t="shared" si="185"/>
        <v>0</v>
      </c>
      <c r="Z169" s="30">
        <v>0</v>
      </c>
      <c r="AA169" s="30">
        <v>0</v>
      </c>
      <c r="AB169" s="30">
        <v>0</v>
      </c>
      <c r="AC169" s="34">
        <v>0</v>
      </c>
      <c r="AD169" s="36">
        <v>0.31504574779660999</v>
      </c>
      <c r="AE169" s="36">
        <f t="shared" si="175"/>
        <v>0.22509220999999999</v>
      </c>
      <c r="AF169" s="36">
        <f t="shared" si="175"/>
        <v>0</v>
      </c>
      <c r="AG169" s="36">
        <f t="shared" si="175"/>
        <v>1.5669300000000001E-2</v>
      </c>
      <c r="AH169" s="36">
        <f t="shared" si="172"/>
        <v>0.20942290999999999</v>
      </c>
      <c r="AI169" s="36">
        <f t="shared" si="144"/>
        <v>0</v>
      </c>
      <c r="AJ169" s="36">
        <f t="shared" si="166"/>
        <v>0</v>
      </c>
      <c r="AK169" s="36">
        <v>0</v>
      </c>
      <c r="AL169" s="36">
        <v>0</v>
      </c>
      <c r="AM169" s="36">
        <v>0</v>
      </c>
      <c r="AN169" s="36">
        <v>0</v>
      </c>
      <c r="AO169" s="34">
        <f t="shared" si="186"/>
        <v>0</v>
      </c>
      <c r="AP169" s="34">
        <v>0</v>
      </c>
      <c r="AQ169" s="34">
        <v>0</v>
      </c>
      <c r="AR169" s="34">
        <v>0</v>
      </c>
      <c r="AS169" s="34">
        <v>0</v>
      </c>
      <c r="AT169" s="34">
        <f t="shared" si="187"/>
        <v>0.22509220999999999</v>
      </c>
      <c r="AU169" s="34">
        <v>0</v>
      </c>
      <c r="AV169" s="34">
        <v>1.5669300000000001E-2</v>
      </c>
      <c r="AW169" s="34">
        <v>0.20942290999999999</v>
      </c>
      <c r="AX169" s="34">
        <v>0</v>
      </c>
      <c r="AY169" s="34">
        <f t="shared" si="188"/>
        <v>0</v>
      </c>
      <c r="AZ169" s="34">
        <v>0</v>
      </c>
      <c r="BA169" s="34">
        <v>0</v>
      </c>
      <c r="BB169" s="34">
        <v>0</v>
      </c>
      <c r="BC169" s="34">
        <v>0</v>
      </c>
    </row>
    <row r="170" spans="1:55" s="55" customFormat="1" ht="46.5" customHeight="1" x14ac:dyDescent="0.25">
      <c r="A170" s="31" t="s">
        <v>56</v>
      </c>
      <c r="B170" s="96" t="s">
        <v>187</v>
      </c>
      <c r="C170" s="97" t="s">
        <v>188</v>
      </c>
      <c r="D170" s="88">
        <v>0.13817999267796602</v>
      </c>
      <c r="E170" s="29">
        <f t="shared" si="174"/>
        <v>0.15949382399999998</v>
      </c>
      <c r="F170" s="29">
        <f t="shared" si="174"/>
        <v>0</v>
      </c>
      <c r="G170" s="29">
        <f t="shared" si="174"/>
        <v>1.8943199999999997E-2</v>
      </c>
      <c r="H170" s="29">
        <f t="shared" si="169"/>
        <v>0.14055062399999999</v>
      </c>
      <c r="I170" s="29">
        <f t="shared" si="141"/>
        <v>0</v>
      </c>
      <c r="J170" s="29">
        <f t="shared" si="170"/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f t="shared" si="183"/>
        <v>0</v>
      </c>
      <c r="P170" s="29">
        <v>0</v>
      </c>
      <c r="Q170" s="29">
        <v>0</v>
      </c>
      <c r="R170" s="29">
        <v>0</v>
      </c>
      <c r="S170" s="29">
        <v>0</v>
      </c>
      <c r="T170" s="30">
        <f t="shared" si="184"/>
        <v>0.15949382399999998</v>
      </c>
      <c r="U170" s="30">
        <v>0</v>
      </c>
      <c r="V170" s="30">
        <v>1.8943199999999997E-2</v>
      </c>
      <c r="W170" s="30">
        <v>0.14055062399999999</v>
      </c>
      <c r="X170" s="30">
        <v>0</v>
      </c>
      <c r="Y170" s="30">
        <f t="shared" si="185"/>
        <v>0</v>
      </c>
      <c r="Z170" s="30">
        <v>0</v>
      </c>
      <c r="AA170" s="30">
        <v>0</v>
      </c>
      <c r="AB170" s="30">
        <v>0</v>
      </c>
      <c r="AC170" s="34">
        <v>0</v>
      </c>
      <c r="AD170" s="36">
        <v>0.11514999389830502</v>
      </c>
      <c r="AE170" s="36">
        <f t="shared" si="175"/>
        <v>0.13291152000000001</v>
      </c>
      <c r="AF170" s="36">
        <f t="shared" si="175"/>
        <v>0</v>
      </c>
      <c r="AG170" s="36">
        <f t="shared" si="175"/>
        <v>1.5785999999999998E-2</v>
      </c>
      <c r="AH170" s="36">
        <f t="shared" si="172"/>
        <v>0.11712552</v>
      </c>
      <c r="AI170" s="36">
        <f t="shared" si="144"/>
        <v>0</v>
      </c>
      <c r="AJ170" s="36">
        <f t="shared" si="166"/>
        <v>0</v>
      </c>
      <c r="AK170" s="36">
        <v>0</v>
      </c>
      <c r="AL170" s="36">
        <v>0</v>
      </c>
      <c r="AM170" s="36">
        <v>0</v>
      </c>
      <c r="AN170" s="36">
        <v>0</v>
      </c>
      <c r="AO170" s="34">
        <f t="shared" si="186"/>
        <v>0</v>
      </c>
      <c r="AP170" s="34">
        <v>0</v>
      </c>
      <c r="AQ170" s="34">
        <v>0</v>
      </c>
      <c r="AR170" s="34">
        <v>0</v>
      </c>
      <c r="AS170" s="34">
        <v>0</v>
      </c>
      <c r="AT170" s="34">
        <f t="shared" si="187"/>
        <v>0.13291152000000001</v>
      </c>
      <c r="AU170" s="34">
        <v>0</v>
      </c>
      <c r="AV170" s="34">
        <v>1.5785999999999998E-2</v>
      </c>
      <c r="AW170" s="34">
        <v>0.11712552</v>
      </c>
      <c r="AX170" s="34">
        <v>0</v>
      </c>
      <c r="AY170" s="34">
        <f t="shared" si="188"/>
        <v>0</v>
      </c>
      <c r="AZ170" s="34">
        <v>0</v>
      </c>
      <c r="BA170" s="34">
        <v>0</v>
      </c>
      <c r="BB170" s="34">
        <v>0</v>
      </c>
      <c r="BC170" s="34">
        <v>0</v>
      </c>
    </row>
    <row r="171" spans="1:55" s="55" customFormat="1" ht="46.5" customHeight="1" x14ac:dyDescent="0.25">
      <c r="A171" s="31" t="s">
        <v>56</v>
      </c>
      <c r="B171" s="96" t="s">
        <v>189</v>
      </c>
      <c r="C171" s="97" t="s">
        <v>190</v>
      </c>
      <c r="D171" s="88">
        <v>0.14529864467796602</v>
      </c>
      <c r="E171" s="29">
        <f t="shared" si="174"/>
        <v>0.129994464</v>
      </c>
      <c r="F171" s="29">
        <f t="shared" si="174"/>
        <v>0</v>
      </c>
      <c r="G171" s="29">
        <f t="shared" si="174"/>
        <v>2.6514492000000004E-2</v>
      </c>
      <c r="H171" s="29">
        <f t="shared" si="169"/>
        <v>0.103479972</v>
      </c>
      <c r="I171" s="29">
        <f t="shared" si="141"/>
        <v>0</v>
      </c>
      <c r="J171" s="29">
        <f t="shared" si="170"/>
        <v>0</v>
      </c>
      <c r="K171" s="29">
        <v>0</v>
      </c>
      <c r="L171" s="29">
        <v>0</v>
      </c>
      <c r="M171" s="29">
        <v>0</v>
      </c>
      <c r="N171" s="29">
        <v>0</v>
      </c>
      <c r="O171" s="29">
        <f t="shared" si="183"/>
        <v>0</v>
      </c>
      <c r="P171" s="29">
        <v>0</v>
      </c>
      <c r="Q171" s="29">
        <v>0</v>
      </c>
      <c r="R171" s="29">
        <v>0</v>
      </c>
      <c r="S171" s="29">
        <v>0</v>
      </c>
      <c r="T171" s="30">
        <f t="shared" si="184"/>
        <v>0.129994464</v>
      </c>
      <c r="U171" s="30">
        <v>0</v>
      </c>
      <c r="V171" s="30">
        <v>2.6514492000000004E-2</v>
      </c>
      <c r="W171" s="30">
        <v>0.103479972</v>
      </c>
      <c r="X171" s="30">
        <v>0</v>
      </c>
      <c r="Y171" s="30">
        <f t="shared" si="185"/>
        <v>0</v>
      </c>
      <c r="Z171" s="30">
        <v>0</v>
      </c>
      <c r="AA171" s="30">
        <v>0</v>
      </c>
      <c r="AB171" s="30">
        <v>0</v>
      </c>
      <c r="AC171" s="34">
        <v>0</v>
      </c>
      <c r="AD171" s="36">
        <v>0.12108220389830503</v>
      </c>
      <c r="AE171" s="36">
        <f t="shared" si="175"/>
        <v>0.10832872000000002</v>
      </c>
      <c r="AF171" s="36">
        <f t="shared" si="175"/>
        <v>0</v>
      </c>
      <c r="AG171" s="36">
        <f t="shared" si="175"/>
        <v>2.2095410000000003E-2</v>
      </c>
      <c r="AH171" s="36">
        <f t="shared" si="172"/>
        <v>8.6233310000000007E-2</v>
      </c>
      <c r="AI171" s="36">
        <f t="shared" si="144"/>
        <v>0</v>
      </c>
      <c r="AJ171" s="36">
        <f t="shared" si="166"/>
        <v>0</v>
      </c>
      <c r="AK171" s="36">
        <v>0</v>
      </c>
      <c r="AL171" s="36">
        <v>0</v>
      </c>
      <c r="AM171" s="36">
        <v>0</v>
      </c>
      <c r="AN171" s="36">
        <v>0</v>
      </c>
      <c r="AO171" s="34">
        <f t="shared" si="186"/>
        <v>0</v>
      </c>
      <c r="AP171" s="34">
        <v>0</v>
      </c>
      <c r="AQ171" s="34">
        <v>0</v>
      </c>
      <c r="AR171" s="34">
        <v>0</v>
      </c>
      <c r="AS171" s="34">
        <v>0</v>
      </c>
      <c r="AT171" s="34">
        <f t="shared" si="187"/>
        <v>0.10832872000000002</v>
      </c>
      <c r="AU171" s="34">
        <v>0</v>
      </c>
      <c r="AV171" s="34">
        <v>2.2095410000000003E-2</v>
      </c>
      <c r="AW171" s="34">
        <v>8.6233310000000007E-2</v>
      </c>
      <c r="AX171" s="34">
        <v>0</v>
      </c>
      <c r="AY171" s="34">
        <f t="shared" si="188"/>
        <v>0</v>
      </c>
      <c r="AZ171" s="34">
        <v>0</v>
      </c>
      <c r="BA171" s="34">
        <v>0</v>
      </c>
      <c r="BB171" s="34">
        <v>0</v>
      </c>
      <c r="BC171" s="34">
        <v>0</v>
      </c>
    </row>
    <row r="172" spans="1:55" s="55" customFormat="1" ht="30" customHeight="1" x14ac:dyDescent="0.25">
      <c r="A172" s="31" t="s">
        <v>56</v>
      </c>
      <c r="B172" s="96" t="s">
        <v>191</v>
      </c>
      <c r="C172" s="97" t="s">
        <v>192</v>
      </c>
      <c r="D172" s="88">
        <v>0.34699626101694897</v>
      </c>
      <c r="E172" s="29">
        <f t="shared" si="174"/>
        <v>0.32363993999999996</v>
      </c>
      <c r="F172" s="29">
        <f t="shared" si="174"/>
        <v>0</v>
      </c>
      <c r="G172" s="29">
        <f t="shared" si="174"/>
        <v>4.4648724000000001E-2</v>
      </c>
      <c r="H172" s="29">
        <f t="shared" si="169"/>
        <v>0.27899121599999999</v>
      </c>
      <c r="I172" s="29">
        <f t="shared" si="141"/>
        <v>0</v>
      </c>
      <c r="J172" s="29">
        <f t="shared" si="170"/>
        <v>0</v>
      </c>
      <c r="K172" s="29">
        <v>0</v>
      </c>
      <c r="L172" s="29">
        <v>0</v>
      </c>
      <c r="M172" s="29">
        <v>0</v>
      </c>
      <c r="N172" s="29">
        <v>0</v>
      </c>
      <c r="O172" s="29">
        <f t="shared" si="183"/>
        <v>0</v>
      </c>
      <c r="P172" s="29">
        <v>0</v>
      </c>
      <c r="Q172" s="29">
        <v>0</v>
      </c>
      <c r="R172" s="29">
        <v>0</v>
      </c>
      <c r="S172" s="29">
        <v>0</v>
      </c>
      <c r="T172" s="30">
        <f t="shared" si="184"/>
        <v>0.32363993999999996</v>
      </c>
      <c r="U172" s="30">
        <v>0</v>
      </c>
      <c r="V172" s="30">
        <v>4.4648724000000001E-2</v>
      </c>
      <c r="W172" s="30">
        <v>0.27899121599999999</v>
      </c>
      <c r="X172" s="30">
        <v>0</v>
      </c>
      <c r="Y172" s="30">
        <f t="shared" si="185"/>
        <v>0</v>
      </c>
      <c r="Z172" s="30">
        <v>0</v>
      </c>
      <c r="AA172" s="30">
        <v>0</v>
      </c>
      <c r="AB172" s="30">
        <v>0</v>
      </c>
      <c r="AC172" s="34">
        <v>0</v>
      </c>
      <c r="AD172" s="36">
        <v>0.28916355084745748</v>
      </c>
      <c r="AE172" s="36">
        <f t="shared" si="175"/>
        <v>0.26969995000000002</v>
      </c>
      <c r="AF172" s="36">
        <f t="shared" si="175"/>
        <v>0</v>
      </c>
      <c r="AG172" s="36">
        <f t="shared" si="175"/>
        <v>3.7207270000000001E-2</v>
      </c>
      <c r="AH172" s="36">
        <f t="shared" si="172"/>
        <v>0.23249268000000001</v>
      </c>
      <c r="AI172" s="36">
        <f t="shared" si="144"/>
        <v>0</v>
      </c>
      <c r="AJ172" s="36">
        <f t="shared" si="166"/>
        <v>0</v>
      </c>
      <c r="AK172" s="36">
        <v>0</v>
      </c>
      <c r="AL172" s="36">
        <v>0</v>
      </c>
      <c r="AM172" s="36">
        <v>0</v>
      </c>
      <c r="AN172" s="36">
        <v>0</v>
      </c>
      <c r="AO172" s="34">
        <f t="shared" si="186"/>
        <v>0</v>
      </c>
      <c r="AP172" s="34">
        <v>0</v>
      </c>
      <c r="AQ172" s="34">
        <v>0</v>
      </c>
      <c r="AR172" s="34">
        <v>0</v>
      </c>
      <c r="AS172" s="34">
        <v>0</v>
      </c>
      <c r="AT172" s="34">
        <f t="shared" si="187"/>
        <v>0.26969995000000002</v>
      </c>
      <c r="AU172" s="34">
        <v>0</v>
      </c>
      <c r="AV172" s="34">
        <v>3.7207270000000001E-2</v>
      </c>
      <c r="AW172" s="34">
        <v>0.23249268000000001</v>
      </c>
      <c r="AX172" s="34">
        <v>0</v>
      </c>
      <c r="AY172" s="34">
        <f t="shared" si="188"/>
        <v>0</v>
      </c>
      <c r="AZ172" s="34">
        <v>0</v>
      </c>
      <c r="BA172" s="34">
        <v>0</v>
      </c>
      <c r="BB172" s="34">
        <v>0</v>
      </c>
      <c r="BC172" s="34">
        <v>0</v>
      </c>
    </row>
    <row r="173" spans="1:55" s="55" customFormat="1" ht="34.5" customHeight="1" x14ac:dyDescent="0.25">
      <c r="A173" s="31" t="s">
        <v>56</v>
      </c>
      <c r="B173" s="96" t="s">
        <v>193</v>
      </c>
      <c r="C173" s="97" t="s">
        <v>194</v>
      </c>
      <c r="D173" s="88">
        <v>5.4873551999999999E-2</v>
      </c>
      <c r="E173" s="29">
        <f t="shared" si="174"/>
        <v>7.2595967999999997E-2</v>
      </c>
      <c r="F173" s="29">
        <f t="shared" si="174"/>
        <v>0</v>
      </c>
      <c r="G173" s="29">
        <f t="shared" si="174"/>
        <v>6.5212079999999988E-3</v>
      </c>
      <c r="H173" s="29">
        <f t="shared" si="169"/>
        <v>6.6074759999999996E-2</v>
      </c>
      <c r="I173" s="29">
        <f t="shared" si="141"/>
        <v>0</v>
      </c>
      <c r="J173" s="29">
        <f t="shared" si="170"/>
        <v>0</v>
      </c>
      <c r="K173" s="29">
        <v>0</v>
      </c>
      <c r="L173" s="29">
        <v>0</v>
      </c>
      <c r="M173" s="29">
        <v>0</v>
      </c>
      <c r="N173" s="29">
        <v>0</v>
      </c>
      <c r="O173" s="29">
        <f t="shared" si="183"/>
        <v>0</v>
      </c>
      <c r="P173" s="29">
        <v>0</v>
      </c>
      <c r="Q173" s="29">
        <v>0</v>
      </c>
      <c r="R173" s="29">
        <v>0</v>
      </c>
      <c r="S173" s="29">
        <v>0</v>
      </c>
      <c r="T173" s="30">
        <f t="shared" si="184"/>
        <v>7.2595967999999997E-2</v>
      </c>
      <c r="U173" s="30">
        <v>0</v>
      </c>
      <c r="V173" s="30">
        <v>6.5212079999999988E-3</v>
      </c>
      <c r="W173" s="30">
        <v>6.6074759999999996E-2</v>
      </c>
      <c r="X173" s="30">
        <v>0</v>
      </c>
      <c r="Y173" s="30">
        <f t="shared" si="185"/>
        <v>0</v>
      </c>
      <c r="Z173" s="30">
        <v>0</v>
      </c>
      <c r="AA173" s="30">
        <v>0</v>
      </c>
      <c r="AB173" s="30">
        <v>0</v>
      </c>
      <c r="AC173" s="34">
        <v>0</v>
      </c>
      <c r="AD173" s="36">
        <v>4.5727959999999998E-2</v>
      </c>
      <c r="AE173" s="36">
        <f t="shared" si="175"/>
        <v>6.0496640000000004E-2</v>
      </c>
      <c r="AF173" s="36">
        <f t="shared" si="175"/>
        <v>0</v>
      </c>
      <c r="AG173" s="36">
        <f t="shared" si="175"/>
        <v>5.4343399999999993E-3</v>
      </c>
      <c r="AH173" s="36">
        <f t="shared" si="172"/>
        <v>5.5062300000000002E-2</v>
      </c>
      <c r="AI173" s="36">
        <f t="shared" si="144"/>
        <v>0</v>
      </c>
      <c r="AJ173" s="36">
        <f t="shared" si="166"/>
        <v>0</v>
      </c>
      <c r="AK173" s="36">
        <v>0</v>
      </c>
      <c r="AL173" s="36">
        <v>0</v>
      </c>
      <c r="AM173" s="36">
        <v>0</v>
      </c>
      <c r="AN173" s="36">
        <v>0</v>
      </c>
      <c r="AO173" s="34">
        <f t="shared" si="186"/>
        <v>0</v>
      </c>
      <c r="AP173" s="34">
        <v>0</v>
      </c>
      <c r="AQ173" s="34">
        <v>0</v>
      </c>
      <c r="AR173" s="34">
        <v>0</v>
      </c>
      <c r="AS173" s="34">
        <v>0</v>
      </c>
      <c r="AT173" s="34">
        <f t="shared" si="187"/>
        <v>6.0496640000000004E-2</v>
      </c>
      <c r="AU173" s="34">
        <v>0</v>
      </c>
      <c r="AV173" s="34">
        <v>5.4343399999999993E-3</v>
      </c>
      <c r="AW173" s="34">
        <v>5.5062300000000002E-2</v>
      </c>
      <c r="AX173" s="34">
        <v>0</v>
      </c>
      <c r="AY173" s="34">
        <f t="shared" si="188"/>
        <v>0</v>
      </c>
      <c r="AZ173" s="34">
        <v>0</v>
      </c>
      <c r="BA173" s="34">
        <v>0</v>
      </c>
      <c r="BB173" s="34">
        <v>0</v>
      </c>
      <c r="BC173" s="34">
        <v>0</v>
      </c>
    </row>
    <row r="174" spans="1:55" s="55" customFormat="1" ht="36.75" customHeight="1" x14ac:dyDescent="0.25">
      <c r="A174" s="31" t="s">
        <v>56</v>
      </c>
      <c r="B174" s="96" t="s">
        <v>195</v>
      </c>
      <c r="C174" s="97" t="s">
        <v>196</v>
      </c>
      <c r="D174" s="88">
        <v>0.13919694467796601</v>
      </c>
      <c r="E174" s="29">
        <f t="shared" si="174"/>
        <v>0.13773580799999999</v>
      </c>
      <c r="F174" s="29">
        <f t="shared" si="174"/>
        <v>0</v>
      </c>
      <c r="G174" s="29">
        <f t="shared" si="174"/>
        <v>6.3781079999999995E-3</v>
      </c>
      <c r="H174" s="29">
        <f t="shared" si="169"/>
        <v>0.13135769999999999</v>
      </c>
      <c r="I174" s="29">
        <f t="shared" si="141"/>
        <v>0</v>
      </c>
      <c r="J174" s="29">
        <f t="shared" si="170"/>
        <v>0</v>
      </c>
      <c r="K174" s="29">
        <v>0</v>
      </c>
      <c r="L174" s="29">
        <v>0</v>
      </c>
      <c r="M174" s="29">
        <v>0</v>
      </c>
      <c r="N174" s="29">
        <v>0</v>
      </c>
      <c r="O174" s="29">
        <f t="shared" si="183"/>
        <v>0</v>
      </c>
      <c r="P174" s="29">
        <v>0</v>
      </c>
      <c r="Q174" s="29">
        <v>0</v>
      </c>
      <c r="R174" s="29">
        <v>0</v>
      </c>
      <c r="S174" s="29">
        <v>0</v>
      </c>
      <c r="T174" s="30">
        <f t="shared" si="184"/>
        <v>0.13773580799999999</v>
      </c>
      <c r="U174" s="30">
        <v>0</v>
      </c>
      <c r="V174" s="30">
        <v>6.3781079999999995E-3</v>
      </c>
      <c r="W174" s="30">
        <v>0.13135769999999999</v>
      </c>
      <c r="X174" s="30">
        <v>0</v>
      </c>
      <c r="Y174" s="30">
        <f t="shared" si="185"/>
        <v>0</v>
      </c>
      <c r="Z174" s="30">
        <v>0</v>
      </c>
      <c r="AA174" s="30">
        <v>0</v>
      </c>
      <c r="AB174" s="30">
        <v>0</v>
      </c>
      <c r="AC174" s="34">
        <v>0</v>
      </c>
      <c r="AD174" s="36">
        <v>0.11599745389830501</v>
      </c>
      <c r="AE174" s="36">
        <f t="shared" si="175"/>
        <v>0.11477983999999999</v>
      </c>
      <c r="AF174" s="36">
        <f t="shared" si="175"/>
        <v>0</v>
      </c>
      <c r="AG174" s="36">
        <f t="shared" si="175"/>
        <v>5.3150899999999997E-3</v>
      </c>
      <c r="AH174" s="36">
        <f t="shared" si="172"/>
        <v>0.10946475</v>
      </c>
      <c r="AI174" s="36">
        <f t="shared" si="144"/>
        <v>0</v>
      </c>
      <c r="AJ174" s="36">
        <f t="shared" si="166"/>
        <v>0</v>
      </c>
      <c r="AK174" s="36">
        <v>0</v>
      </c>
      <c r="AL174" s="36">
        <v>0</v>
      </c>
      <c r="AM174" s="36">
        <v>0</v>
      </c>
      <c r="AN174" s="36">
        <v>0</v>
      </c>
      <c r="AO174" s="34">
        <f t="shared" si="186"/>
        <v>0</v>
      </c>
      <c r="AP174" s="34">
        <v>0</v>
      </c>
      <c r="AQ174" s="34">
        <v>0</v>
      </c>
      <c r="AR174" s="34">
        <v>0</v>
      </c>
      <c r="AS174" s="34">
        <v>0</v>
      </c>
      <c r="AT174" s="34">
        <f t="shared" si="187"/>
        <v>0.11477983999999999</v>
      </c>
      <c r="AU174" s="34">
        <v>0</v>
      </c>
      <c r="AV174" s="34">
        <v>5.3150899999999997E-3</v>
      </c>
      <c r="AW174" s="34">
        <v>0.10946475</v>
      </c>
      <c r="AX174" s="34">
        <v>0</v>
      </c>
      <c r="AY174" s="34">
        <f t="shared" si="188"/>
        <v>0</v>
      </c>
      <c r="AZ174" s="34">
        <v>0</v>
      </c>
      <c r="BA174" s="34">
        <v>0</v>
      </c>
      <c r="BB174" s="34">
        <v>0</v>
      </c>
      <c r="BC174" s="34">
        <v>0</v>
      </c>
    </row>
    <row r="175" spans="1:55" s="55" customFormat="1" ht="36.75" customHeight="1" x14ac:dyDescent="0.25">
      <c r="A175" s="31" t="s">
        <v>56</v>
      </c>
      <c r="B175" s="96" t="s">
        <v>197</v>
      </c>
      <c r="C175" s="97" t="s">
        <v>198</v>
      </c>
      <c r="D175" s="88">
        <v>0.19407050033898296</v>
      </c>
      <c r="E175" s="29">
        <f t="shared" si="174"/>
        <v>0.19612932</v>
      </c>
      <c r="F175" s="29">
        <f t="shared" si="174"/>
        <v>0</v>
      </c>
      <c r="G175" s="29">
        <f t="shared" si="174"/>
        <v>2.0887655999999998E-2</v>
      </c>
      <c r="H175" s="29">
        <f t="shared" si="169"/>
        <v>0.17524166399999999</v>
      </c>
      <c r="I175" s="29">
        <f t="shared" si="141"/>
        <v>0</v>
      </c>
      <c r="J175" s="29">
        <f t="shared" si="170"/>
        <v>0</v>
      </c>
      <c r="K175" s="29">
        <v>0</v>
      </c>
      <c r="L175" s="29">
        <v>0</v>
      </c>
      <c r="M175" s="29">
        <v>0</v>
      </c>
      <c r="N175" s="29">
        <v>0</v>
      </c>
      <c r="O175" s="29">
        <f t="shared" ref="O175:O211" si="189">P175+Q175+R175+S175</f>
        <v>0</v>
      </c>
      <c r="P175" s="29">
        <v>0</v>
      </c>
      <c r="Q175" s="29">
        <v>0</v>
      </c>
      <c r="R175" s="29">
        <v>0</v>
      </c>
      <c r="S175" s="29">
        <v>0</v>
      </c>
      <c r="T175" s="30">
        <f t="shared" si="184"/>
        <v>0.19612932</v>
      </c>
      <c r="U175" s="30">
        <v>0</v>
      </c>
      <c r="V175" s="30">
        <v>2.0887655999999998E-2</v>
      </c>
      <c r="W175" s="30">
        <v>0.17524166399999999</v>
      </c>
      <c r="X175" s="30">
        <v>0</v>
      </c>
      <c r="Y175" s="30">
        <f t="shared" si="185"/>
        <v>0</v>
      </c>
      <c r="Z175" s="30">
        <v>0</v>
      </c>
      <c r="AA175" s="30">
        <v>0</v>
      </c>
      <c r="AB175" s="30">
        <v>0</v>
      </c>
      <c r="AC175" s="34">
        <v>0</v>
      </c>
      <c r="AD175" s="36">
        <v>0.16172541694915246</v>
      </c>
      <c r="AE175" s="36">
        <f t="shared" si="175"/>
        <v>0.16344110000000001</v>
      </c>
      <c r="AF175" s="36">
        <f t="shared" si="175"/>
        <v>0</v>
      </c>
      <c r="AG175" s="36">
        <f t="shared" si="175"/>
        <v>1.7406379999999999E-2</v>
      </c>
      <c r="AH175" s="36">
        <f t="shared" si="172"/>
        <v>0.14603472000000001</v>
      </c>
      <c r="AI175" s="36">
        <f t="shared" si="144"/>
        <v>0</v>
      </c>
      <c r="AJ175" s="36">
        <f t="shared" si="166"/>
        <v>0</v>
      </c>
      <c r="AK175" s="36">
        <v>0</v>
      </c>
      <c r="AL175" s="36">
        <v>0</v>
      </c>
      <c r="AM175" s="36">
        <v>0</v>
      </c>
      <c r="AN175" s="36">
        <v>0</v>
      </c>
      <c r="AO175" s="34">
        <f t="shared" ref="AO175:AO211" si="190">AP175+AQ175+AR175+AS175</f>
        <v>0</v>
      </c>
      <c r="AP175" s="34">
        <v>0</v>
      </c>
      <c r="AQ175" s="34">
        <v>0</v>
      </c>
      <c r="AR175" s="34">
        <v>0</v>
      </c>
      <c r="AS175" s="34">
        <v>0</v>
      </c>
      <c r="AT175" s="34">
        <f t="shared" si="187"/>
        <v>0.16344110000000001</v>
      </c>
      <c r="AU175" s="34">
        <v>0</v>
      </c>
      <c r="AV175" s="34">
        <v>1.7406379999999999E-2</v>
      </c>
      <c r="AW175" s="34">
        <v>0.14603472000000001</v>
      </c>
      <c r="AX175" s="34">
        <v>0</v>
      </c>
      <c r="AY175" s="34">
        <f t="shared" si="188"/>
        <v>0</v>
      </c>
      <c r="AZ175" s="34">
        <v>0</v>
      </c>
      <c r="BA175" s="34">
        <v>0</v>
      </c>
      <c r="BB175" s="34">
        <v>0</v>
      </c>
      <c r="BC175" s="34">
        <v>0</v>
      </c>
    </row>
    <row r="176" spans="1:55" s="55" customFormat="1" ht="36.75" customHeight="1" x14ac:dyDescent="0.25">
      <c r="A176" s="31" t="s">
        <v>56</v>
      </c>
      <c r="B176" s="96" t="s">
        <v>199</v>
      </c>
      <c r="C176" s="97" t="s">
        <v>200</v>
      </c>
      <c r="D176" s="88">
        <v>1.139064467796612</v>
      </c>
      <c r="E176" s="29">
        <f t="shared" si="174"/>
        <v>1.0296516840000001</v>
      </c>
      <c r="F176" s="29">
        <f t="shared" si="174"/>
        <v>0</v>
      </c>
      <c r="G176" s="29">
        <f t="shared" si="174"/>
        <v>5.6567159999999991E-2</v>
      </c>
      <c r="H176" s="29">
        <f t="shared" si="169"/>
        <v>0.97308452400000001</v>
      </c>
      <c r="I176" s="29">
        <f t="shared" si="141"/>
        <v>0</v>
      </c>
      <c r="J176" s="29">
        <f t="shared" si="170"/>
        <v>0</v>
      </c>
      <c r="K176" s="29">
        <v>0</v>
      </c>
      <c r="L176" s="29">
        <v>0</v>
      </c>
      <c r="M176" s="29">
        <v>0</v>
      </c>
      <c r="N176" s="29">
        <v>0</v>
      </c>
      <c r="O176" s="29">
        <f t="shared" si="189"/>
        <v>0</v>
      </c>
      <c r="P176" s="29">
        <v>0</v>
      </c>
      <c r="Q176" s="29">
        <v>0</v>
      </c>
      <c r="R176" s="29">
        <v>0</v>
      </c>
      <c r="S176" s="29">
        <v>0</v>
      </c>
      <c r="T176" s="30">
        <f t="shared" si="184"/>
        <v>0</v>
      </c>
      <c r="U176" s="30">
        <v>0</v>
      </c>
      <c r="V176" s="30">
        <v>0</v>
      </c>
      <c r="W176" s="30">
        <v>0</v>
      </c>
      <c r="X176" s="30">
        <v>0</v>
      </c>
      <c r="Y176" s="30">
        <f t="shared" si="185"/>
        <v>1.0296516840000001</v>
      </c>
      <c r="Z176" s="30">
        <v>0</v>
      </c>
      <c r="AA176" s="30">
        <v>5.6567159999999991E-2</v>
      </c>
      <c r="AB176" s="30">
        <v>0.97308452400000001</v>
      </c>
      <c r="AC176" s="34">
        <v>0</v>
      </c>
      <c r="AD176" s="36">
        <v>0.94922038983051005</v>
      </c>
      <c r="AE176" s="36">
        <f t="shared" si="175"/>
        <v>0.85804307000000002</v>
      </c>
      <c r="AF176" s="36">
        <f t="shared" si="175"/>
        <v>0</v>
      </c>
      <c r="AG176" s="36">
        <f t="shared" si="175"/>
        <v>4.7139300000000002E-2</v>
      </c>
      <c r="AH176" s="36">
        <f t="shared" si="172"/>
        <v>0.81090377000000002</v>
      </c>
      <c r="AI176" s="36">
        <f t="shared" si="144"/>
        <v>0</v>
      </c>
      <c r="AJ176" s="36">
        <f t="shared" si="166"/>
        <v>0</v>
      </c>
      <c r="AK176" s="36">
        <v>0</v>
      </c>
      <c r="AL176" s="36">
        <v>0</v>
      </c>
      <c r="AM176" s="36">
        <v>0</v>
      </c>
      <c r="AN176" s="36">
        <v>0</v>
      </c>
      <c r="AO176" s="34">
        <f t="shared" si="190"/>
        <v>0</v>
      </c>
      <c r="AP176" s="34">
        <v>0</v>
      </c>
      <c r="AQ176" s="34">
        <v>0</v>
      </c>
      <c r="AR176" s="34">
        <v>0</v>
      </c>
      <c r="AS176" s="34">
        <v>0</v>
      </c>
      <c r="AT176" s="34">
        <f t="shared" si="187"/>
        <v>0</v>
      </c>
      <c r="AU176" s="34">
        <v>0</v>
      </c>
      <c r="AV176" s="34">
        <v>0</v>
      </c>
      <c r="AW176" s="34">
        <v>0</v>
      </c>
      <c r="AX176" s="34">
        <v>0</v>
      </c>
      <c r="AY176" s="34">
        <f t="shared" si="188"/>
        <v>0.85804307000000002</v>
      </c>
      <c r="AZ176" s="34">
        <v>0</v>
      </c>
      <c r="BA176" s="34">
        <v>4.7139300000000002E-2</v>
      </c>
      <c r="BB176" s="34">
        <v>0.81090377000000002</v>
      </c>
      <c r="BC176" s="34">
        <v>0</v>
      </c>
    </row>
    <row r="177" spans="1:55" s="55" customFormat="1" ht="36.75" customHeight="1" x14ac:dyDescent="0.25">
      <c r="A177" s="31" t="s">
        <v>56</v>
      </c>
      <c r="B177" s="96" t="s">
        <v>201</v>
      </c>
      <c r="C177" s="97" t="s">
        <v>202</v>
      </c>
      <c r="D177" s="88">
        <v>4.5562578711864479</v>
      </c>
      <c r="E177" s="29">
        <f t="shared" si="174"/>
        <v>4.1139489839999994</v>
      </c>
      <c r="F177" s="29">
        <f t="shared" si="174"/>
        <v>0</v>
      </c>
      <c r="G177" s="29">
        <f t="shared" si="174"/>
        <v>0.19650760799999997</v>
      </c>
      <c r="H177" s="29">
        <f t="shared" si="169"/>
        <v>3.9174413759999998</v>
      </c>
      <c r="I177" s="29">
        <f t="shared" si="141"/>
        <v>0</v>
      </c>
      <c r="J177" s="29">
        <f t="shared" si="170"/>
        <v>0</v>
      </c>
      <c r="K177" s="29">
        <v>0</v>
      </c>
      <c r="L177" s="29">
        <v>0</v>
      </c>
      <c r="M177" s="29">
        <v>0</v>
      </c>
      <c r="N177" s="29">
        <v>0</v>
      </c>
      <c r="O177" s="29">
        <f t="shared" si="189"/>
        <v>0</v>
      </c>
      <c r="P177" s="29">
        <v>0</v>
      </c>
      <c r="Q177" s="29">
        <v>0</v>
      </c>
      <c r="R177" s="29">
        <v>0</v>
      </c>
      <c r="S177" s="29">
        <v>0</v>
      </c>
      <c r="T177" s="30">
        <f t="shared" si="184"/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f t="shared" si="185"/>
        <v>4.1139489839999994</v>
      </c>
      <c r="Z177" s="30">
        <v>0</v>
      </c>
      <c r="AA177" s="30">
        <v>0.19650760799999997</v>
      </c>
      <c r="AB177" s="30">
        <v>3.9174413759999998</v>
      </c>
      <c r="AC177" s="34">
        <v>0</v>
      </c>
      <c r="AD177" s="36">
        <v>3.7968815593220402</v>
      </c>
      <c r="AE177" s="36">
        <f t="shared" si="175"/>
        <v>3.42829082</v>
      </c>
      <c r="AF177" s="36">
        <f t="shared" si="175"/>
        <v>0</v>
      </c>
      <c r="AG177" s="36">
        <f t="shared" si="175"/>
        <v>0.85975634000000001</v>
      </c>
      <c r="AH177" s="36">
        <f t="shared" si="172"/>
        <v>2.5685344799999998</v>
      </c>
      <c r="AI177" s="36">
        <f t="shared" si="144"/>
        <v>0</v>
      </c>
      <c r="AJ177" s="36">
        <f t="shared" si="166"/>
        <v>0</v>
      </c>
      <c r="AK177" s="36">
        <v>0</v>
      </c>
      <c r="AL177" s="36">
        <v>0</v>
      </c>
      <c r="AM177" s="36">
        <v>0</v>
      </c>
      <c r="AN177" s="36">
        <v>0</v>
      </c>
      <c r="AO177" s="34">
        <f t="shared" si="190"/>
        <v>0</v>
      </c>
      <c r="AP177" s="34">
        <v>0</v>
      </c>
      <c r="AQ177" s="34">
        <v>0</v>
      </c>
      <c r="AR177" s="34">
        <v>0</v>
      </c>
      <c r="AS177" s="34">
        <v>0</v>
      </c>
      <c r="AT177" s="34">
        <f t="shared" si="187"/>
        <v>0</v>
      </c>
      <c r="AU177" s="34">
        <v>0</v>
      </c>
      <c r="AV177" s="34">
        <v>0</v>
      </c>
      <c r="AW177" s="34">
        <v>0</v>
      </c>
      <c r="AX177" s="34">
        <v>0</v>
      </c>
      <c r="AY177" s="34">
        <f t="shared" si="188"/>
        <v>3.42829082</v>
      </c>
      <c r="AZ177" s="34">
        <v>0</v>
      </c>
      <c r="BA177" s="34">
        <v>0.85975634000000001</v>
      </c>
      <c r="BB177" s="34">
        <v>2.5685344799999998</v>
      </c>
      <c r="BC177" s="34">
        <v>0</v>
      </c>
    </row>
    <row r="178" spans="1:55" s="55" customFormat="1" ht="36.75" customHeight="1" x14ac:dyDescent="0.25">
      <c r="A178" s="31" t="s">
        <v>56</v>
      </c>
      <c r="B178" s="96" t="s">
        <v>203</v>
      </c>
      <c r="C178" s="97" t="s">
        <v>204</v>
      </c>
      <c r="D178" s="88">
        <v>3.7968815593220393</v>
      </c>
      <c r="E178" s="29">
        <f t="shared" si="174"/>
        <v>3.1869785639999999</v>
      </c>
      <c r="F178" s="29">
        <f t="shared" si="174"/>
        <v>0</v>
      </c>
      <c r="G178" s="29">
        <f t="shared" si="174"/>
        <v>0.15306934799999999</v>
      </c>
      <c r="H178" s="29">
        <f t="shared" si="169"/>
        <v>3.0339092160000001</v>
      </c>
      <c r="I178" s="29">
        <f t="shared" si="141"/>
        <v>0</v>
      </c>
      <c r="J178" s="29">
        <f t="shared" si="170"/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f t="shared" si="189"/>
        <v>0</v>
      </c>
      <c r="P178" s="29">
        <v>0</v>
      </c>
      <c r="Q178" s="29">
        <v>0</v>
      </c>
      <c r="R178" s="29">
        <v>0</v>
      </c>
      <c r="S178" s="29">
        <v>0</v>
      </c>
      <c r="T178" s="30">
        <f t="shared" si="184"/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f t="shared" si="185"/>
        <v>3.1869785639999999</v>
      </c>
      <c r="Z178" s="30">
        <v>0</v>
      </c>
      <c r="AA178" s="30">
        <v>0.15306934799999999</v>
      </c>
      <c r="AB178" s="30">
        <v>3.0339092160000001</v>
      </c>
      <c r="AC178" s="34">
        <v>0</v>
      </c>
      <c r="AD178" s="36">
        <v>3.1640679661016997</v>
      </c>
      <c r="AE178" s="36">
        <f t="shared" si="175"/>
        <v>2.6558154700000003</v>
      </c>
      <c r="AF178" s="36">
        <f t="shared" si="175"/>
        <v>0</v>
      </c>
      <c r="AG178" s="36">
        <f t="shared" si="175"/>
        <v>0.12755779</v>
      </c>
      <c r="AH178" s="36">
        <f t="shared" si="172"/>
        <v>2.5282576800000003</v>
      </c>
      <c r="AI178" s="36">
        <f t="shared" si="144"/>
        <v>0</v>
      </c>
      <c r="AJ178" s="36">
        <f t="shared" si="166"/>
        <v>0</v>
      </c>
      <c r="AK178" s="36">
        <v>0</v>
      </c>
      <c r="AL178" s="36">
        <v>0</v>
      </c>
      <c r="AM178" s="36">
        <v>0</v>
      </c>
      <c r="AN178" s="36">
        <v>0</v>
      </c>
      <c r="AO178" s="34">
        <f t="shared" si="190"/>
        <v>0</v>
      </c>
      <c r="AP178" s="34">
        <v>0</v>
      </c>
      <c r="AQ178" s="34">
        <v>0</v>
      </c>
      <c r="AR178" s="34">
        <v>0</v>
      </c>
      <c r="AS178" s="34">
        <v>0</v>
      </c>
      <c r="AT178" s="34">
        <f t="shared" si="187"/>
        <v>0</v>
      </c>
      <c r="AU178" s="34">
        <v>0</v>
      </c>
      <c r="AV178" s="34">
        <v>0</v>
      </c>
      <c r="AW178" s="34">
        <v>0</v>
      </c>
      <c r="AX178" s="34">
        <v>0</v>
      </c>
      <c r="AY178" s="34">
        <f t="shared" si="188"/>
        <v>2.6558154700000003</v>
      </c>
      <c r="AZ178" s="34">
        <v>0</v>
      </c>
      <c r="BA178" s="34">
        <v>0.12755779</v>
      </c>
      <c r="BB178" s="34">
        <v>2.5282576800000003</v>
      </c>
      <c r="BC178" s="34">
        <v>0</v>
      </c>
    </row>
    <row r="179" spans="1:55" s="55" customFormat="1" ht="36.75" customHeight="1" x14ac:dyDescent="0.25">
      <c r="A179" s="31" t="s">
        <v>56</v>
      </c>
      <c r="B179" s="96" t="s">
        <v>205</v>
      </c>
      <c r="C179" s="97" t="s">
        <v>206</v>
      </c>
      <c r="D179" s="88">
        <v>3.7968815593220393</v>
      </c>
      <c r="E179" s="29">
        <f t="shared" si="174"/>
        <v>3.349532832</v>
      </c>
      <c r="F179" s="29">
        <f t="shared" si="174"/>
        <v>0</v>
      </c>
      <c r="G179" s="29">
        <f t="shared" si="174"/>
        <v>0.18296074800000001</v>
      </c>
      <c r="H179" s="29">
        <f t="shared" si="169"/>
        <v>3.1665720839999998</v>
      </c>
      <c r="I179" s="29">
        <f t="shared" si="141"/>
        <v>0</v>
      </c>
      <c r="J179" s="29">
        <f t="shared" si="170"/>
        <v>0</v>
      </c>
      <c r="K179" s="29">
        <v>0</v>
      </c>
      <c r="L179" s="29">
        <v>0</v>
      </c>
      <c r="M179" s="29">
        <v>0</v>
      </c>
      <c r="N179" s="29">
        <v>0</v>
      </c>
      <c r="O179" s="29">
        <f t="shared" si="189"/>
        <v>0</v>
      </c>
      <c r="P179" s="29">
        <v>0</v>
      </c>
      <c r="Q179" s="29">
        <v>0</v>
      </c>
      <c r="R179" s="29">
        <v>0</v>
      </c>
      <c r="S179" s="29">
        <v>0</v>
      </c>
      <c r="T179" s="30">
        <f t="shared" si="184"/>
        <v>0</v>
      </c>
      <c r="U179" s="30">
        <v>0</v>
      </c>
      <c r="V179" s="30">
        <v>0</v>
      </c>
      <c r="W179" s="30">
        <v>0</v>
      </c>
      <c r="X179" s="30">
        <v>0</v>
      </c>
      <c r="Y179" s="30">
        <f t="shared" si="185"/>
        <v>3.349532832</v>
      </c>
      <c r="Z179" s="30">
        <v>0</v>
      </c>
      <c r="AA179" s="30">
        <v>0.18296074800000001</v>
      </c>
      <c r="AB179" s="30">
        <v>3.1665720839999998</v>
      </c>
      <c r="AC179" s="34">
        <v>0</v>
      </c>
      <c r="AD179" s="36">
        <v>3.1640679661016997</v>
      </c>
      <c r="AE179" s="36">
        <f t="shared" si="175"/>
        <v>2.79127736</v>
      </c>
      <c r="AF179" s="36">
        <f t="shared" si="175"/>
        <v>0</v>
      </c>
      <c r="AG179" s="36">
        <f t="shared" si="175"/>
        <v>0.15246728999999998</v>
      </c>
      <c r="AH179" s="36">
        <f t="shared" si="172"/>
        <v>2.6388100699999999</v>
      </c>
      <c r="AI179" s="36">
        <f t="shared" si="144"/>
        <v>0</v>
      </c>
      <c r="AJ179" s="36">
        <f t="shared" si="166"/>
        <v>0</v>
      </c>
      <c r="AK179" s="36">
        <v>0</v>
      </c>
      <c r="AL179" s="36">
        <v>0</v>
      </c>
      <c r="AM179" s="36">
        <v>0</v>
      </c>
      <c r="AN179" s="36">
        <v>0</v>
      </c>
      <c r="AO179" s="34">
        <f t="shared" si="190"/>
        <v>0</v>
      </c>
      <c r="AP179" s="34">
        <v>0</v>
      </c>
      <c r="AQ179" s="34">
        <v>0</v>
      </c>
      <c r="AR179" s="34">
        <v>0</v>
      </c>
      <c r="AS179" s="34">
        <v>0</v>
      </c>
      <c r="AT179" s="34">
        <f t="shared" si="187"/>
        <v>0</v>
      </c>
      <c r="AU179" s="34">
        <v>0</v>
      </c>
      <c r="AV179" s="34">
        <v>0</v>
      </c>
      <c r="AW179" s="34">
        <v>0</v>
      </c>
      <c r="AX179" s="34">
        <v>0</v>
      </c>
      <c r="AY179" s="34">
        <f t="shared" si="188"/>
        <v>2.79127736</v>
      </c>
      <c r="AZ179" s="34">
        <v>0</v>
      </c>
      <c r="BA179" s="34">
        <v>0.15246728999999998</v>
      </c>
      <c r="BB179" s="34">
        <v>2.6388100699999999</v>
      </c>
      <c r="BC179" s="34">
        <v>0</v>
      </c>
    </row>
    <row r="180" spans="1:55" s="55" customFormat="1" ht="36.75" customHeight="1" x14ac:dyDescent="0.25">
      <c r="A180" s="31" t="s">
        <v>56</v>
      </c>
      <c r="B180" s="96" t="s">
        <v>207</v>
      </c>
      <c r="C180" s="97" t="s">
        <v>208</v>
      </c>
      <c r="D180" s="88">
        <v>1.8984407796610197</v>
      </c>
      <c r="E180" s="29">
        <f t="shared" si="174"/>
        <v>1.5254564639999999</v>
      </c>
      <c r="F180" s="29">
        <f t="shared" si="174"/>
        <v>0</v>
      </c>
      <c r="G180" s="29">
        <f t="shared" si="174"/>
        <v>9.9071807999999983E-2</v>
      </c>
      <c r="H180" s="29">
        <f t="shared" si="169"/>
        <v>1.426384656</v>
      </c>
      <c r="I180" s="29">
        <f t="shared" si="141"/>
        <v>0</v>
      </c>
      <c r="J180" s="29">
        <f t="shared" si="170"/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f t="shared" si="189"/>
        <v>0</v>
      </c>
      <c r="P180" s="29">
        <v>0</v>
      </c>
      <c r="Q180" s="29">
        <v>0</v>
      </c>
      <c r="R180" s="29">
        <v>0</v>
      </c>
      <c r="S180" s="29">
        <v>0</v>
      </c>
      <c r="T180" s="30">
        <f t="shared" si="184"/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f t="shared" si="185"/>
        <v>1.5254564639999999</v>
      </c>
      <c r="Z180" s="30">
        <v>0</v>
      </c>
      <c r="AA180" s="30">
        <v>9.9071807999999983E-2</v>
      </c>
      <c r="AB180" s="30">
        <v>1.426384656</v>
      </c>
      <c r="AC180" s="34">
        <v>0</v>
      </c>
      <c r="AD180" s="36">
        <v>1.5820339830508499</v>
      </c>
      <c r="AE180" s="36">
        <f t="shared" si="175"/>
        <v>1.2712137200000002</v>
      </c>
      <c r="AF180" s="36">
        <f t="shared" si="175"/>
        <v>0</v>
      </c>
      <c r="AG180" s="36">
        <f t="shared" si="175"/>
        <v>8.2559839999999995E-2</v>
      </c>
      <c r="AH180" s="36">
        <f t="shared" si="172"/>
        <v>1.1886538800000002</v>
      </c>
      <c r="AI180" s="36">
        <f t="shared" si="144"/>
        <v>0</v>
      </c>
      <c r="AJ180" s="36">
        <f t="shared" si="166"/>
        <v>0</v>
      </c>
      <c r="AK180" s="36">
        <v>0</v>
      </c>
      <c r="AL180" s="36">
        <v>0</v>
      </c>
      <c r="AM180" s="36">
        <v>0</v>
      </c>
      <c r="AN180" s="36">
        <v>0</v>
      </c>
      <c r="AO180" s="34">
        <f t="shared" si="190"/>
        <v>0</v>
      </c>
      <c r="AP180" s="34">
        <v>0</v>
      </c>
      <c r="AQ180" s="34">
        <v>0</v>
      </c>
      <c r="AR180" s="34">
        <v>0</v>
      </c>
      <c r="AS180" s="34">
        <v>0</v>
      </c>
      <c r="AT180" s="34">
        <f t="shared" si="187"/>
        <v>0</v>
      </c>
      <c r="AU180" s="34">
        <v>0</v>
      </c>
      <c r="AV180" s="34">
        <v>0</v>
      </c>
      <c r="AW180" s="34">
        <v>0</v>
      </c>
      <c r="AX180" s="34">
        <v>0</v>
      </c>
      <c r="AY180" s="34">
        <f t="shared" si="188"/>
        <v>1.2712137200000002</v>
      </c>
      <c r="AZ180" s="34">
        <v>0</v>
      </c>
      <c r="BA180" s="34">
        <v>8.2559839999999995E-2</v>
      </c>
      <c r="BB180" s="34">
        <v>1.1886538800000002</v>
      </c>
      <c r="BC180" s="34">
        <v>0</v>
      </c>
    </row>
    <row r="181" spans="1:55" s="55" customFormat="1" ht="36.75" customHeight="1" x14ac:dyDescent="0.25">
      <c r="A181" s="31" t="s">
        <v>56</v>
      </c>
      <c r="B181" s="96" t="s">
        <v>209</v>
      </c>
      <c r="C181" s="97" t="s">
        <v>210</v>
      </c>
      <c r="D181" s="88">
        <v>0.37968815593220395</v>
      </c>
      <c r="E181" s="29">
        <f t="shared" si="174"/>
        <v>0.33501418799999999</v>
      </c>
      <c r="F181" s="29">
        <f t="shared" si="174"/>
        <v>0</v>
      </c>
      <c r="G181" s="29">
        <f t="shared" si="174"/>
        <v>0</v>
      </c>
      <c r="H181" s="29">
        <f t="shared" si="169"/>
        <v>0.33501418799999999</v>
      </c>
      <c r="I181" s="29">
        <f t="shared" si="141"/>
        <v>0</v>
      </c>
      <c r="J181" s="29">
        <f t="shared" si="170"/>
        <v>0</v>
      </c>
      <c r="K181" s="29">
        <v>0</v>
      </c>
      <c r="L181" s="29">
        <v>0</v>
      </c>
      <c r="M181" s="29">
        <v>0</v>
      </c>
      <c r="N181" s="29">
        <v>0</v>
      </c>
      <c r="O181" s="29">
        <f t="shared" si="189"/>
        <v>0</v>
      </c>
      <c r="P181" s="29">
        <v>0</v>
      </c>
      <c r="Q181" s="29">
        <v>0</v>
      </c>
      <c r="R181" s="29">
        <v>0</v>
      </c>
      <c r="S181" s="29">
        <v>0</v>
      </c>
      <c r="T181" s="30">
        <f t="shared" si="184"/>
        <v>0</v>
      </c>
      <c r="U181" s="30">
        <v>0</v>
      </c>
      <c r="V181" s="30">
        <v>0</v>
      </c>
      <c r="W181" s="30">
        <v>0</v>
      </c>
      <c r="X181" s="30">
        <v>0</v>
      </c>
      <c r="Y181" s="30">
        <f t="shared" si="185"/>
        <v>0.33501418799999999</v>
      </c>
      <c r="Z181" s="30">
        <v>0</v>
      </c>
      <c r="AA181" s="30">
        <v>0</v>
      </c>
      <c r="AB181" s="30">
        <v>0.33501418799999999</v>
      </c>
      <c r="AC181" s="34">
        <v>0</v>
      </c>
      <c r="AD181" s="36">
        <v>0.31640679661016996</v>
      </c>
      <c r="AE181" s="36">
        <f t="shared" si="175"/>
        <v>0.27917849</v>
      </c>
      <c r="AF181" s="36">
        <f t="shared" si="175"/>
        <v>0</v>
      </c>
      <c r="AG181" s="36">
        <f t="shared" si="175"/>
        <v>0</v>
      </c>
      <c r="AH181" s="36">
        <f t="shared" si="172"/>
        <v>0.27917849</v>
      </c>
      <c r="AI181" s="36">
        <f t="shared" si="144"/>
        <v>0</v>
      </c>
      <c r="AJ181" s="36">
        <f t="shared" si="166"/>
        <v>0</v>
      </c>
      <c r="AK181" s="36">
        <v>0</v>
      </c>
      <c r="AL181" s="36">
        <v>0</v>
      </c>
      <c r="AM181" s="36">
        <v>0</v>
      </c>
      <c r="AN181" s="36">
        <v>0</v>
      </c>
      <c r="AO181" s="34">
        <f t="shared" si="190"/>
        <v>0</v>
      </c>
      <c r="AP181" s="34">
        <v>0</v>
      </c>
      <c r="AQ181" s="34">
        <v>0</v>
      </c>
      <c r="AR181" s="34">
        <v>0</v>
      </c>
      <c r="AS181" s="34">
        <v>0</v>
      </c>
      <c r="AT181" s="34">
        <f t="shared" si="187"/>
        <v>0</v>
      </c>
      <c r="AU181" s="34">
        <v>0</v>
      </c>
      <c r="AV181" s="34">
        <v>0</v>
      </c>
      <c r="AW181" s="34">
        <v>0</v>
      </c>
      <c r="AX181" s="34">
        <v>0</v>
      </c>
      <c r="AY181" s="34">
        <f t="shared" si="188"/>
        <v>0.27917849</v>
      </c>
      <c r="AZ181" s="34">
        <v>0</v>
      </c>
      <c r="BA181" s="34">
        <v>0</v>
      </c>
      <c r="BB181" s="34">
        <v>0.27917849</v>
      </c>
      <c r="BC181" s="34">
        <v>0</v>
      </c>
    </row>
    <row r="182" spans="1:55" s="55" customFormat="1" ht="36.75" customHeight="1" x14ac:dyDescent="0.25">
      <c r="A182" s="31" t="s">
        <v>56</v>
      </c>
      <c r="B182" s="96" t="s">
        <v>423</v>
      </c>
      <c r="C182" s="108" t="s">
        <v>424</v>
      </c>
      <c r="D182" s="88">
        <v>0</v>
      </c>
      <c r="E182" s="29">
        <f t="shared" si="174"/>
        <v>4.1981141520000005</v>
      </c>
      <c r="F182" s="29">
        <f t="shared" si="174"/>
        <v>0</v>
      </c>
      <c r="G182" s="29">
        <f t="shared" si="174"/>
        <v>0.36930531599999999</v>
      </c>
      <c r="H182" s="29">
        <f t="shared" si="169"/>
        <v>3.8288088360000003</v>
      </c>
      <c r="I182" s="29">
        <f t="shared" si="141"/>
        <v>0</v>
      </c>
      <c r="J182" s="29">
        <f t="shared" si="170"/>
        <v>4.1981141520000005</v>
      </c>
      <c r="K182" s="29">
        <v>0</v>
      </c>
      <c r="L182" s="29">
        <v>0.36930531599999999</v>
      </c>
      <c r="M182" s="29">
        <v>3.8288088360000003</v>
      </c>
      <c r="N182" s="29">
        <v>0</v>
      </c>
      <c r="O182" s="29">
        <f t="shared" si="189"/>
        <v>0</v>
      </c>
      <c r="P182" s="29">
        <v>0</v>
      </c>
      <c r="Q182" s="29">
        <v>0</v>
      </c>
      <c r="R182" s="29">
        <v>0</v>
      </c>
      <c r="S182" s="29">
        <v>0</v>
      </c>
      <c r="T182" s="30">
        <f t="shared" si="184"/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f t="shared" si="185"/>
        <v>0</v>
      </c>
      <c r="Z182" s="30">
        <v>0</v>
      </c>
      <c r="AA182" s="30">
        <v>0</v>
      </c>
      <c r="AB182" s="30">
        <v>0</v>
      </c>
      <c r="AC182" s="34">
        <v>0</v>
      </c>
      <c r="AD182" s="36">
        <v>0</v>
      </c>
      <c r="AE182" s="36">
        <f t="shared" si="175"/>
        <v>3.4984284600000004</v>
      </c>
      <c r="AF182" s="36">
        <f t="shared" si="175"/>
        <v>0</v>
      </c>
      <c r="AG182" s="36">
        <f t="shared" si="175"/>
        <v>0.30775443000000002</v>
      </c>
      <c r="AH182" s="36">
        <f t="shared" si="172"/>
        <v>3.1906740300000003</v>
      </c>
      <c r="AI182" s="36">
        <f t="shared" si="144"/>
        <v>0</v>
      </c>
      <c r="AJ182" s="36">
        <f t="shared" si="166"/>
        <v>3.4984284600000004</v>
      </c>
      <c r="AK182" s="36">
        <v>0</v>
      </c>
      <c r="AL182" s="36">
        <v>0.30775443000000002</v>
      </c>
      <c r="AM182" s="36">
        <v>3.1906740300000003</v>
      </c>
      <c r="AN182" s="36">
        <v>0</v>
      </c>
      <c r="AO182" s="34">
        <f t="shared" si="190"/>
        <v>0</v>
      </c>
      <c r="AP182" s="34">
        <v>0</v>
      </c>
      <c r="AQ182" s="34">
        <v>0</v>
      </c>
      <c r="AR182" s="34">
        <v>0</v>
      </c>
      <c r="AS182" s="34">
        <v>0</v>
      </c>
      <c r="AT182" s="34">
        <f t="shared" si="187"/>
        <v>0</v>
      </c>
      <c r="AU182" s="34">
        <v>0</v>
      </c>
      <c r="AV182" s="34">
        <v>0</v>
      </c>
      <c r="AW182" s="34">
        <v>0</v>
      </c>
      <c r="AX182" s="34">
        <v>0</v>
      </c>
      <c r="AY182" s="34">
        <f t="shared" si="188"/>
        <v>0</v>
      </c>
      <c r="AZ182" s="34">
        <v>0</v>
      </c>
      <c r="BA182" s="34">
        <v>0</v>
      </c>
      <c r="BB182" s="34">
        <v>0</v>
      </c>
      <c r="BC182" s="34">
        <v>0</v>
      </c>
    </row>
    <row r="183" spans="1:55" s="55" customFormat="1" ht="36.75" customHeight="1" x14ac:dyDescent="0.25">
      <c r="A183" s="31" t="s">
        <v>56</v>
      </c>
      <c r="B183" s="96" t="s">
        <v>425</v>
      </c>
      <c r="C183" s="108" t="s">
        <v>426</v>
      </c>
      <c r="D183" s="88">
        <v>0</v>
      </c>
      <c r="E183" s="29">
        <f t="shared" si="174"/>
        <v>3.3482836319999998</v>
      </c>
      <c r="F183" s="29">
        <f t="shared" si="174"/>
        <v>0</v>
      </c>
      <c r="G183" s="29">
        <f t="shared" si="174"/>
        <v>0.31175353199999994</v>
      </c>
      <c r="H183" s="29">
        <f t="shared" si="169"/>
        <v>3.0365300999999998</v>
      </c>
      <c r="I183" s="29">
        <f t="shared" si="141"/>
        <v>0</v>
      </c>
      <c r="J183" s="29">
        <f t="shared" si="170"/>
        <v>3.3482836319999998</v>
      </c>
      <c r="K183" s="29">
        <v>0</v>
      </c>
      <c r="L183" s="29">
        <v>0.31175353199999994</v>
      </c>
      <c r="M183" s="29">
        <v>3.0365300999999998</v>
      </c>
      <c r="N183" s="29">
        <v>0</v>
      </c>
      <c r="O183" s="29">
        <f t="shared" si="189"/>
        <v>0</v>
      </c>
      <c r="P183" s="29">
        <v>0</v>
      </c>
      <c r="Q183" s="29">
        <v>0</v>
      </c>
      <c r="R183" s="29">
        <v>0</v>
      </c>
      <c r="S183" s="29">
        <v>0</v>
      </c>
      <c r="T183" s="30">
        <f t="shared" si="184"/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f t="shared" si="185"/>
        <v>0</v>
      </c>
      <c r="Z183" s="30">
        <v>0</v>
      </c>
      <c r="AA183" s="30">
        <v>0</v>
      </c>
      <c r="AB183" s="30">
        <v>0</v>
      </c>
      <c r="AC183" s="34">
        <v>0</v>
      </c>
      <c r="AD183" s="36">
        <v>0</v>
      </c>
      <c r="AE183" s="36">
        <f t="shared" si="175"/>
        <v>2.7902363600000002</v>
      </c>
      <c r="AF183" s="36">
        <f t="shared" si="175"/>
        <v>0</v>
      </c>
      <c r="AG183" s="36">
        <f t="shared" si="175"/>
        <v>0.25979460999999998</v>
      </c>
      <c r="AH183" s="36">
        <f t="shared" si="172"/>
        <v>2.53044175</v>
      </c>
      <c r="AI183" s="36">
        <f t="shared" si="144"/>
        <v>0</v>
      </c>
      <c r="AJ183" s="36">
        <f t="shared" si="166"/>
        <v>2.7902363600000002</v>
      </c>
      <c r="AK183" s="36">
        <v>0</v>
      </c>
      <c r="AL183" s="36">
        <v>0.25979460999999998</v>
      </c>
      <c r="AM183" s="36">
        <v>2.53044175</v>
      </c>
      <c r="AN183" s="36">
        <v>0</v>
      </c>
      <c r="AO183" s="34">
        <f t="shared" si="190"/>
        <v>0</v>
      </c>
      <c r="AP183" s="34">
        <v>0</v>
      </c>
      <c r="AQ183" s="34">
        <v>0</v>
      </c>
      <c r="AR183" s="34">
        <v>0</v>
      </c>
      <c r="AS183" s="34">
        <v>0</v>
      </c>
      <c r="AT183" s="34">
        <f t="shared" si="187"/>
        <v>0</v>
      </c>
      <c r="AU183" s="34">
        <v>0</v>
      </c>
      <c r="AV183" s="34">
        <v>0</v>
      </c>
      <c r="AW183" s="34">
        <v>0</v>
      </c>
      <c r="AX183" s="34">
        <v>0</v>
      </c>
      <c r="AY183" s="34">
        <f t="shared" si="188"/>
        <v>0</v>
      </c>
      <c r="AZ183" s="34">
        <v>0</v>
      </c>
      <c r="BA183" s="34">
        <v>0</v>
      </c>
      <c r="BB183" s="34">
        <v>0</v>
      </c>
      <c r="BC183" s="34">
        <v>0</v>
      </c>
    </row>
    <row r="184" spans="1:55" s="55" customFormat="1" ht="36.75" customHeight="1" x14ac:dyDescent="0.25">
      <c r="A184" s="31" t="s">
        <v>56</v>
      </c>
      <c r="B184" s="96" t="s">
        <v>427</v>
      </c>
      <c r="C184" s="108" t="s">
        <v>428</v>
      </c>
      <c r="D184" s="88">
        <v>0</v>
      </c>
      <c r="E184" s="29">
        <f t="shared" si="174"/>
        <v>4.0035611400000004</v>
      </c>
      <c r="F184" s="29">
        <f t="shared" si="174"/>
        <v>0</v>
      </c>
      <c r="G184" s="29">
        <f t="shared" si="174"/>
        <v>0.14678723999999999</v>
      </c>
      <c r="H184" s="29">
        <f t="shared" si="169"/>
        <v>3.8567739000000003</v>
      </c>
      <c r="I184" s="29">
        <f t="shared" si="141"/>
        <v>0</v>
      </c>
      <c r="J184" s="29">
        <f t="shared" si="170"/>
        <v>4.0035611400000004</v>
      </c>
      <c r="K184" s="29">
        <v>0</v>
      </c>
      <c r="L184" s="29">
        <v>0.14678723999999999</v>
      </c>
      <c r="M184" s="29">
        <v>3.8567739000000003</v>
      </c>
      <c r="N184" s="29">
        <v>0</v>
      </c>
      <c r="O184" s="29">
        <f t="shared" si="189"/>
        <v>0</v>
      </c>
      <c r="P184" s="29">
        <v>0</v>
      </c>
      <c r="Q184" s="29">
        <v>0</v>
      </c>
      <c r="R184" s="29">
        <v>0</v>
      </c>
      <c r="S184" s="29">
        <v>0</v>
      </c>
      <c r="T184" s="30">
        <f t="shared" si="184"/>
        <v>0</v>
      </c>
      <c r="U184" s="30">
        <v>0</v>
      </c>
      <c r="V184" s="30">
        <v>0</v>
      </c>
      <c r="W184" s="30">
        <v>0</v>
      </c>
      <c r="X184" s="30">
        <v>0</v>
      </c>
      <c r="Y184" s="30">
        <f t="shared" si="185"/>
        <v>0</v>
      </c>
      <c r="Z184" s="30">
        <v>0</v>
      </c>
      <c r="AA184" s="30">
        <v>0</v>
      </c>
      <c r="AB184" s="30">
        <v>0</v>
      </c>
      <c r="AC184" s="34">
        <v>0</v>
      </c>
      <c r="AD184" s="36">
        <v>0</v>
      </c>
      <c r="AE184" s="36">
        <f t="shared" si="175"/>
        <v>3.33630095</v>
      </c>
      <c r="AF184" s="36">
        <f t="shared" si="175"/>
        <v>0</v>
      </c>
      <c r="AG184" s="36">
        <f t="shared" si="175"/>
        <v>0.12232269999999999</v>
      </c>
      <c r="AH184" s="36">
        <f t="shared" si="172"/>
        <v>3.2139782500000003</v>
      </c>
      <c r="AI184" s="36">
        <f t="shared" si="144"/>
        <v>0</v>
      </c>
      <c r="AJ184" s="36">
        <f t="shared" ref="AJ184:AJ211" si="191">AK184+AL184+AM184+AN184</f>
        <v>3.33630095</v>
      </c>
      <c r="AK184" s="36">
        <v>0</v>
      </c>
      <c r="AL184" s="36">
        <v>0.12232269999999999</v>
      </c>
      <c r="AM184" s="36">
        <v>3.2139782500000003</v>
      </c>
      <c r="AN184" s="36">
        <v>0</v>
      </c>
      <c r="AO184" s="34">
        <f t="shared" si="190"/>
        <v>0</v>
      </c>
      <c r="AP184" s="34">
        <v>0</v>
      </c>
      <c r="AQ184" s="34">
        <v>0</v>
      </c>
      <c r="AR184" s="34">
        <v>0</v>
      </c>
      <c r="AS184" s="34">
        <v>0</v>
      </c>
      <c r="AT184" s="34">
        <f t="shared" si="187"/>
        <v>0</v>
      </c>
      <c r="AU184" s="34">
        <v>0</v>
      </c>
      <c r="AV184" s="34">
        <v>0</v>
      </c>
      <c r="AW184" s="34">
        <v>0</v>
      </c>
      <c r="AX184" s="34">
        <v>0</v>
      </c>
      <c r="AY184" s="34">
        <f t="shared" si="188"/>
        <v>0</v>
      </c>
      <c r="AZ184" s="34">
        <v>0</v>
      </c>
      <c r="BA184" s="34">
        <v>0</v>
      </c>
      <c r="BB184" s="34">
        <v>0</v>
      </c>
      <c r="BC184" s="34">
        <v>0</v>
      </c>
    </row>
    <row r="185" spans="1:55" s="55" customFormat="1" ht="36.75" customHeight="1" x14ac:dyDescent="0.25">
      <c r="A185" s="31" t="s">
        <v>56</v>
      </c>
      <c r="B185" s="96" t="s">
        <v>429</v>
      </c>
      <c r="C185" s="108" t="s">
        <v>430</v>
      </c>
      <c r="D185" s="88">
        <v>0</v>
      </c>
      <c r="E185" s="29">
        <f t="shared" si="174"/>
        <v>3.3553727519999996</v>
      </c>
      <c r="F185" s="29">
        <f t="shared" si="174"/>
        <v>0</v>
      </c>
      <c r="G185" s="29">
        <f t="shared" si="174"/>
        <v>0.29507277599999998</v>
      </c>
      <c r="H185" s="29">
        <f t="shared" si="169"/>
        <v>3.0602999759999996</v>
      </c>
      <c r="I185" s="29">
        <f t="shared" si="141"/>
        <v>0</v>
      </c>
      <c r="J185" s="29">
        <f t="shared" si="170"/>
        <v>3.3553727519999996</v>
      </c>
      <c r="K185" s="29">
        <v>0</v>
      </c>
      <c r="L185" s="29">
        <v>0.29507277599999998</v>
      </c>
      <c r="M185" s="29">
        <v>3.0602999759999996</v>
      </c>
      <c r="N185" s="29">
        <v>0</v>
      </c>
      <c r="O185" s="29">
        <f t="shared" si="189"/>
        <v>0</v>
      </c>
      <c r="P185" s="29">
        <v>0</v>
      </c>
      <c r="Q185" s="29">
        <v>0</v>
      </c>
      <c r="R185" s="29">
        <v>0</v>
      </c>
      <c r="S185" s="29">
        <v>0</v>
      </c>
      <c r="T185" s="30">
        <f t="shared" si="184"/>
        <v>0</v>
      </c>
      <c r="U185" s="30">
        <v>0</v>
      </c>
      <c r="V185" s="30">
        <v>0</v>
      </c>
      <c r="W185" s="30">
        <v>0</v>
      </c>
      <c r="X185" s="30">
        <v>0</v>
      </c>
      <c r="Y185" s="30">
        <f t="shared" si="185"/>
        <v>0</v>
      </c>
      <c r="Z185" s="30">
        <v>0</v>
      </c>
      <c r="AA185" s="30">
        <v>0</v>
      </c>
      <c r="AB185" s="30">
        <v>0</v>
      </c>
      <c r="AC185" s="34">
        <v>0</v>
      </c>
      <c r="AD185" s="36">
        <v>0</v>
      </c>
      <c r="AE185" s="36">
        <f t="shared" si="175"/>
        <v>2.7961439600000002</v>
      </c>
      <c r="AF185" s="36">
        <f t="shared" si="175"/>
        <v>0</v>
      </c>
      <c r="AG185" s="36">
        <f t="shared" si="175"/>
        <v>0.24589398000000001</v>
      </c>
      <c r="AH185" s="36">
        <f t="shared" si="172"/>
        <v>2.5502499800000002</v>
      </c>
      <c r="AI185" s="36">
        <f t="shared" si="144"/>
        <v>0</v>
      </c>
      <c r="AJ185" s="36">
        <f t="shared" si="191"/>
        <v>2.7961439600000002</v>
      </c>
      <c r="AK185" s="36">
        <v>0</v>
      </c>
      <c r="AL185" s="36">
        <v>0.24589398000000001</v>
      </c>
      <c r="AM185" s="36">
        <v>2.5502499800000002</v>
      </c>
      <c r="AN185" s="36">
        <v>0</v>
      </c>
      <c r="AO185" s="34">
        <f t="shared" si="190"/>
        <v>0</v>
      </c>
      <c r="AP185" s="34">
        <v>0</v>
      </c>
      <c r="AQ185" s="34">
        <v>0</v>
      </c>
      <c r="AR185" s="34">
        <v>0</v>
      </c>
      <c r="AS185" s="34">
        <v>0</v>
      </c>
      <c r="AT185" s="34">
        <f t="shared" si="187"/>
        <v>0</v>
      </c>
      <c r="AU185" s="34">
        <v>0</v>
      </c>
      <c r="AV185" s="34">
        <v>0</v>
      </c>
      <c r="AW185" s="34">
        <v>0</v>
      </c>
      <c r="AX185" s="34">
        <v>0</v>
      </c>
      <c r="AY185" s="34">
        <f t="shared" si="188"/>
        <v>0</v>
      </c>
      <c r="AZ185" s="34">
        <v>0</v>
      </c>
      <c r="BA185" s="34">
        <v>0</v>
      </c>
      <c r="BB185" s="34">
        <v>0</v>
      </c>
      <c r="BC185" s="34">
        <v>0</v>
      </c>
    </row>
    <row r="186" spans="1:55" s="55" customFormat="1" ht="36.75" customHeight="1" x14ac:dyDescent="0.25">
      <c r="A186" s="109" t="s">
        <v>56</v>
      </c>
      <c r="B186" s="96" t="s">
        <v>502</v>
      </c>
      <c r="C186" s="108" t="s">
        <v>503</v>
      </c>
      <c r="D186" s="88">
        <v>0</v>
      </c>
      <c r="E186" s="29">
        <f t="shared" si="174"/>
        <v>5.9802168000000003E-2</v>
      </c>
      <c r="F186" s="29">
        <f t="shared" si="174"/>
        <v>0</v>
      </c>
      <c r="G186" s="29">
        <f t="shared" si="174"/>
        <v>5.6840040000000001E-2</v>
      </c>
      <c r="H186" s="29">
        <f t="shared" si="169"/>
        <v>2.9621280000000001E-3</v>
      </c>
      <c r="I186" s="29">
        <f t="shared" si="141"/>
        <v>0</v>
      </c>
      <c r="J186" s="29">
        <f t="shared" si="170"/>
        <v>0</v>
      </c>
      <c r="K186" s="29">
        <v>0</v>
      </c>
      <c r="L186" s="29">
        <v>0</v>
      </c>
      <c r="M186" s="29">
        <v>0</v>
      </c>
      <c r="N186" s="29">
        <v>0</v>
      </c>
      <c r="O186" s="29">
        <f t="shared" si="189"/>
        <v>5.9802168000000003E-2</v>
      </c>
      <c r="P186" s="29">
        <v>0</v>
      </c>
      <c r="Q186" s="29">
        <v>5.6840040000000001E-2</v>
      </c>
      <c r="R186" s="29">
        <v>2.9621280000000001E-3</v>
      </c>
      <c r="S186" s="29">
        <v>0</v>
      </c>
      <c r="T186" s="30">
        <f t="shared" si="184"/>
        <v>0</v>
      </c>
      <c r="U186" s="30">
        <v>0</v>
      </c>
      <c r="V186" s="30">
        <v>0</v>
      </c>
      <c r="W186" s="30">
        <v>0</v>
      </c>
      <c r="X186" s="30">
        <v>0</v>
      </c>
      <c r="Y186" s="30">
        <f t="shared" si="185"/>
        <v>0</v>
      </c>
      <c r="Z186" s="30">
        <v>0</v>
      </c>
      <c r="AA186" s="30">
        <v>0</v>
      </c>
      <c r="AB186" s="30">
        <v>0</v>
      </c>
      <c r="AC186" s="34">
        <v>0</v>
      </c>
      <c r="AD186" s="36">
        <v>0</v>
      </c>
      <c r="AE186" s="36">
        <f t="shared" si="175"/>
        <v>4.9835140000000007E-2</v>
      </c>
      <c r="AF186" s="36">
        <f t="shared" si="175"/>
        <v>0</v>
      </c>
      <c r="AG186" s="36">
        <f t="shared" si="175"/>
        <v>4.7366700000000005E-2</v>
      </c>
      <c r="AH186" s="36">
        <f t="shared" si="172"/>
        <v>2.4684400000000001E-3</v>
      </c>
      <c r="AI186" s="36">
        <f t="shared" si="144"/>
        <v>0</v>
      </c>
      <c r="AJ186" s="36">
        <f t="shared" si="191"/>
        <v>0</v>
      </c>
      <c r="AK186" s="36">
        <v>0</v>
      </c>
      <c r="AL186" s="36">
        <v>0</v>
      </c>
      <c r="AM186" s="36">
        <v>0</v>
      </c>
      <c r="AN186" s="36">
        <v>0</v>
      </c>
      <c r="AO186" s="34">
        <f t="shared" si="190"/>
        <v>4.9835140000000007E-2</v>
      </c>
      <c r="AP186" s="34">
        <v>0</v>
      </c>
      <c r="AQ186" s="34">
        <v>4.7366700000000005E-2</v>
      </c>
      <c r="AR186" s="34">
        <v>2.4684400000000001E-3</v>
      </c>
      <c r="AS186" s="34">
        <v>0</v>
      </c>
      <c r="AT186" s="34">
        <f t="shared" si="187"/>
        <v>0</v>
      </c>
      <c r="AU186" s="34">
        <v>0</v>
      </c>
      <c r="AV186" s="34">
        <v>0</v>
      </c>
      <c r="AW186" s="34">
        <v>0</v>
      </c>
      <c r="AX186" s="34">
        <v>0</v>
      </c>
      <c r="AY186" s="34">
        <f t="shared" si="188"/>
        <v>0</v>
      </c>
      <c r="AZ186" s="34">
        <v>0</v>
      </c>
      <c r="BA186" s="34">
        <v>0</v>
      </c>
      <c r="BB186" s="34">
        <v>0</v>
      </c>
      <c r="BC186" s="34">
        <v>0</v>
      </c>
    </row>
    <row r="187" spans="1:55" s="55" customFormat="1" ht="24" customHeight="1" x14ac:dyDescent="0.25">
      <c r="A187" s="31" t="s">
        <v>56</v>
      </c>
      <c r="B187" s="89" t="s">
        <v>211</v>
      </c>
      <c r="C187" s="90" t="s">
        <v>212</v>
      </c>
      <c r="D187" s="88">
        <v>0.36204500338983125</v>
      </c>
      <c r="E187" s="29">
        <f t="shared" si="174"/>
        <v>0.39439291200000004</v>
      </c>
      <c r="F187" s="29">
        <f t="shared" si="174"/>
        <v>0</v>
      </c>
      <c r="G187" s="29">
        <f t="shared" si="174"/>
        <v>1.9555056000000001E-2</v>
      </c>
      <c r="H187" s="29">
        <f t="shared" si="169"/>
        <v>0.37483785600000002</v>
      </c>
      <c r="I187" s="29">
        <f t="shared" si="141"/>
        <v>0</v>
      </c>
      <c r="J187" s="29">
        <f t="shared" si="170"/>
        <v>0</v>
      </c>
      <c r="K187" s="29">
        <v>0</v>
      </c>
      <c r="L187" s="29">
        <v>0</v>
      </c>
      <c r="M187" s="29">
        <v>0</v>
      </c>
      <c r="N187" s="29">
        <v>0</v>
      </c>
      <c r="O187" s="29">
        <f t="shared" si="189"/>
        <v>0</v>
      </c>
      <c r="P187" s="29">
        <v>0</v>
      </c>
      <c r="Q187" s="29">
        <v>0</v>
      </c>
      <c r="R187" s="29">
        <v>0</v>
      </c>
      <c r="S187" s="29">
        <v>0</v>
      </c>
      <c r="T187" s="30">
        <f t="shared" si="184"/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f t="shared" si="185"/>
        <v>0.39439291200000004</v>
      </c>
      <c r="Z187" s="30">
        <v>0</v>
      </c>
      <c r="AA187" s="30">
        <v>1.9555056000000001E-2</v>
      </c>
      <c r="AB187" s="30">
        <v>0.37483785600000002</v>
      </c>
      <c r="AC187" s="34">
        <v>0</v>
      </c>
      <c r="AD187" s="36">
        <v>0.30170416949152606</v>
      </c>
      <c r="AE187" s="36">
        <f t="shared" si="175"/>
        <v>0.32866076</v>
      </c>
      <c r="AF187" s="36">
        <f t="shared" si="175"/>
        <v>0</v>
      </c>
      <c r="AG187" s="36">
        <f t="shared" si="175"/>
        <v>1.6295879999999999E-2</v>
      </c>
      <c r="AH187" s="36">
        <f t="shared" si="172"/>
        <v>0.31236488000000001</v>
      </c>
      <c r="AI187" s="36">
        <f t="shared" si="144"/>
        <v>0</v>
      </c>
      <c r="AJ187" s="36">
        <f t="shared" si="191"/>
        <v>0</v>
      </c>
      <c r="AK187" s="36">
        <v>0</v>
      </c>
      <c r="AL187" s="36">
        <v>0</v>
      </c>
      <c r="AM187" s="36">
        <v>0</v>
      </c>
      <c r="AN187" s="36">
        <v>0</v>
      </c>
      <c r="AO187" s="34">
        <f t="shared" si="190"/>
        <v>0</v>
      </c>
      <c r="AP187" s="34">
        <v>0</v>
      </c>
      <c r="AQ187" s="34">
        <v>0</v>
      </c>
      <c r="AR187" s="34">
        <v>0</v>
      </c>
      <c r="AS187" s="34">
        <v>0</v>
      </c>
      <c r="AT187" s="34">
        <f t="shared" si="187"/>
        <v>0</v>
      </c>
      <c r="AU187" s="34">
        <v>0</v>
      </c>
      <c r="AV187" s="34">
        <v>0</v>
      </c>
      <c r="AW187" s="34">
        <v>0</v>
      </c>
      <c r="AX187" s="34">
        <v>0</v>
      </c>
      <c r="AY187" s="34">
        <f t="shared" si="188"/>
        <v>0.32866076</v>
      </c>
      <c r="AZ187" s="34">
        <v>0</v>
      </c>
      <c r="BA187" s="34">
        <v>1.6295879999999999E-2</v>
      </c>
      <c r="BB187" s="34">
        <v>0.31236488000000001</v>
      </c>
      <c r="BC187" s="34">
        <v>0</v>
      </c>
    </row>
    <row r="188" spans="1:55" s="55" customFormat="1" ht="24" customHeight="1" x14ac:dyDescent="0.25">
      <c r="A188" s="31" t="s">
        <v>56</v>
      </c>
      <c r="B188" s="89" t="s">
        <v>213</v>
      </c>
      <c r="C188" s="90" t="s">
        <v>214</v>
      </c>
      <c r="D188" s="88">
        <v>0.36204500338983125</v>
      </c>
      <c r="E188" s="29">
        <f t="shared" si="174"/>
        <v>0.39387921600000003</v>
      </c>
      <c r="F188" s="29">
        <f t="shared" si="174"/>
        <v>0</v>
      </c>
      <c r="G188" s="29">
        <f t="shared" si="174"/>
        <v>1.9555056000000001E-2</v>
      </c>
      <c r="H188" s="29">
        <f t="shared" si="169"/>
        <v>0.37432416000000002</v>
      </c>
      <c r="I188" s="29">
        <f t="shared" si="141"/>
        <v>0</v>
      </c>
      <c r="J188" s="29">
        <f t="shared" si="170"/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f t="shared" si="189"/>
        <v>0</v>
      </c>
      <c r="P188" s="29">
        <v>0</v>
      </c>
      <c r="Q188" s="29">
        <v>0</v>
      </c>
      <c r="R188" s="29">
        <v>0</v>
      </c>
      <c r="S188" s="29">
        <v>0</v>
      </c>
      <c r="T188" s="30">
        <f t="shared" si="184"/>
        <v>0.37270003200000001</v>
      </c>
      <c r="U188" s="30">
        <v>0</v>
      </c>
      <c r="V188" s="30">
        <v>0</v>
      </c>
      <c r="W188" s="30">
        <v>0.37270003200000001</v>
      </c>
      <c r="X188" s="30">
        <v>0</v>
      </c>
      <c r="Y188" s="30">
        <f t="shared" si="185"/>
        <v>2.1179184E-2</v>
      </c>
      <c r="Z188" s="30">
        <v>0</v>
      </c>
      <c r="AA188" s="30">
        <v>1.9555056000000001E-2</v>
      </c>
      <c r="AB188" s="30">
        <v>1.6241280000000001E-3</v>
      </c>
      <c r="AC188" s="34">
        <v>0</v>
      </c>
      <c r="AD188" s="36">
        <v>0.30170416949152606</v>
      </c>
      <c r="AE188" s="36">
        <f t="shared" si="175"/>
        <v>0.32823268</v>
      </c>
      <c r="AF188" s="36">
        <f t="shared" si="175"/>
        <v>0</v>
      </c>
      <c r="AG188" s="36">
        <f t="shared" si="175"/>
        <v>1.6295879999999999E-2</v>
      </c>
      <c r="AH188" s="36">
        <f t="shared" si="172"/>
        <v>0.31193680000000001</v>
      </c>
      <c r="AI188" s="36">
        <f t="shared" si="144"/>
        <v>0</v>
      </c>
      <c r="AJ188" s="36">
        <f t="shared" si="191"/>
        <v>0</v>
      </c>
      <c r="AK188" s="36">
        <v>0</v>
      </c>
      <c r="AL188" s="36">
        <v>0</v>
      </c>
      <c r="AM188" s="36">
        <v>0</v>
      </c>
      <c r="AN188" s="36">
        <v>0</v>
      </c>
      <c r="AO188" s="34">
        <f t="shared" si="190"/>
        <v>0</v>
      </c>
      <c r="AP188" s="34">
        <v>0</v>
      </c>
      <c r="AQ188" s="34">
        <v>0</v>
      </c>
      <c r="AR188" s="34">
        <v>0</v>
      </c>
      <c r="AS188" s="34">
        <v>0</v>
      </c>
      <c r="AT188" s="34">
        <f t="shared" si="187"/>
        <v>0</v>
      </c>
      <c r="AU188" s="34">
        <v>0</v>
      </c>
      <c r="AV188" s="34">
        <v>0</v>
      </c>
      <c r="AW188" s="34">
        <v>0</v>
      </c>
      <c r="AX188" s="34">
        <v>0</v>
      </c>
      <c r="AY188" s="34">
        <f t="shared" si="188"/>
        <v>0.32823268</v>
      </c>
      <c r="AZ188" s="34">
        <v>0</v>
      </c>
      <c r="BA188" s="34">
        <v>1.6295879999999999E-2</v>
      </c>
      <c r="BB188" s="34">
        <v>0.31193680000000001</v>
      </c>
      <c r="BC188" s="34">
        <v>0</v>
      </c>
    </row>
    <row r="189" spans="1:55" s="55" customFormat="1" ht="24" customHeight="1" x14ac:dyDescent="0.25">
      <c r="A189" s="31" t="s">
        <v>56</v>
      </c>
      <c r="B189" s="89" t="s">
        <v>215</v>
      </c>
      <c r="C189" s="90" t="s">
        <v>216</v>
      </c>
      <c r="D189" s="88">
        <v>0.36204500338983125</v>
      </c>
      <c r="E189" s="29">
        <f t="shared" si="174"/>
        <v>0.38965463999999994</v>
      </c>
      <c r="F189" s="29">
        <f t="shared" si="174"/>
        <v>0</v>
      </c>
      <c r="G189" s="29">
        <f t="shared" si="174"/>
        <v>1.4654988000000001E-2</v>
      </c>
      <c r="H189" s="29">
        <f t="shared" si="169"/>
        <v>0.37499965199999996</v>
      </c>
      <c r="I189" s="29">
        <f t="shared" si="169"/>
        <v>0</v>
      </c>
      <c r="J189" s="29">
        <f t="shared" si="170"/>
        <v>0</v>
      </c>
      <c r="K189" s="29">
        <v>0</v>
      </c>
      <c r="L189" s="29">
        <v>0</v>
      </c>
      <c r="M189" s="29">
        <v>0</v>
      </c>
      <c r="N189" s="29">
        <v>0</v>
      </c>
      <c r="O189" s="29">
        <f t="shared" si="189"/>
        <v>0</v>
      </c>
      <c r="P189" s="29">
        <v>0</v>
      </c>
      <c r="Q189" s="29">
        <v>0</v>
      </c>
      <c r="R189" s="29">
        <v>0</v>
      </c>
      <c r="S189" s="29">
        <v>0</v>
      </c>
      <c r="T189" s="30">
        <f t="shared" si="184"/>
        <v>0.38965463999999994</v>
      </c>
      <c r="U189" s="30">
        <v>0</v>
      </c>
      <c r="V189" s="30">
        <v>1.4654988000000001E-2</v>
      </c>
      <c r="W189" s="30">
        <v>0.37499965199999996</v>
      </c>
      <c r="X189" s="30">
        <v>0</v>
      </c>
      <c r="Y189" s="30">
        <f t="shared" si="185"/>
        <v>0</v>
      </c>
      <c r="Z189" s="30">
        <v>0</v>
      </c>
      <c r="AA189" s="30">
        <v>0</v>
      </c>
      <c r="AB189" s="30">
        <v>0</v>
      </c>
      <c r="AC189" s="34">
        <v>0</v>
      </c>
      <c r="AD189" s="36">
        <v>0.30170416949152606</v>
      </c>
      <c r="AE189" s="36">
        <f t="shared" si="175"/>
        <v>0.32471220000000001</v>
      </c>
      <c r="AF189" s="36">
        <f t="shared" si="175"/>
        <v>0</v>
      </c>
      <c r="AG189" s="36">
        <f t="shared" si="175"/>
        <v>1.2212490000000001E-2</v>
      </c>
      <c r="AH189" s="36">
        <f t="shared" si="172"/>
        <v>0.31249970999999999</v>
      </c>
      <c r="AI189" s="36">
        <f t="shared" si="172"/>
        <v>0</v>
      </c>
      <c r="AJ189" s="36">
        <f t="shared" si="191"/>
        <v>0</v>
      </c>
      <c r="AK189" s="36">
        <v>0</v>
      </c>
      <c r="AL189" s="36">
        <v>0</v>
      </c>
      <c r="AM189" s="36">
        <v>0</v>
      </c>
      <c r="AN189" s="36">
        <v>0</v>
      </c>
      <c r="AO189" s="34">
        <f t="shared" si="190"/>
        <v>0</v>
      </c>
      <c r="AP189" s="34">
        <v>0</v>
      </c>
      <c r="AQ189" s="34">
        <v>0</v>
      </c>
      <c r="AR189" s="34">
        <v>0</v>
      </c>
      <c r="AS189" s="34">
        <v>0</v>
      </c>
      <c r="AT189" s="34">
        <f t="shared" si="187"/>
        <v>0.32471220000000001</v>
      </c>
      <c r="AU189" s="34">
        <v>0</v>
      </c>
      <c r="AV189" s="34">
        <v>1.2212490000000001E-2</v>
      </c>
      <c r="AW189" s="34">
        <v>0.31249970999999999</v>
      </c>
      <c r="AX189" s="34">
        <v>0</v>
      </c>
      <c r="AY189" s="34">
        <f t="shared" si="188"/>
        <v>0</v>
      </c>
      <c r="AZ189" s="34">
        <v>0</v>
      </c>
      <c r="BA189" s="34">
        <v>0</v>
      </c>
      <c r="BB189" s="34">
        <v>0</v>
      </c>
      <c r="BC189" s="34">
        <v>0</v>
      </c>
    </row>
    <row r="190" spans="1:55" s="55" customFormat="1" ht="24" customHeight="1" x14ac:dyDescent="0.25">
      <c r="A190" s="31" t="s">
        <v>56</v>
      </c>
      <c r="B190" s="89" t="s">
        <v>217</v>
      </c>
      <c r="C190" s="90" t="s">
        <v>218</v>
      </c>
      <c r="D190" s="88">
        <v>0.36204500338983125</v>
      </c>
      <c r="E190" s="29">
        <f t="shared" si="174"/>
        <v>0.39224984399999996</v>
      </c>
      <c r="F190" s="29">
        <f t="shared" si="174"/>
        <v>0</v>
      </c>
      <c r="G190" s="29">
        <f t="shared" si="174"/>
        <v>1.6561836E-2</v>
      </c>
      <c r="H190" s="29">
        <f t="shared" si="169"/>
        <v>0.37568800799999996</v>
      </c>
      <c r="I190" s="29">
        <f t="shared" si="169"/>
        <v>0</v>
      </c>
      <c r="J190" s="29">
        <f t="shared" si="170"/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f t="shared" si="189"/>
        <v>0</v>
      </c>
      <c r="P190" s="29">
        <v>0</v>
      </c>
      <c r="Q190" s="29">
        <v>0</v>
      </c>
      <c r="R190" s="29">
        <v>0</v>
      </c>
      <c r="S190" s="29">
        <v>0</v>
      </c>
      <c r="T190" s="30">
        <f t="shared" si="184"/>
        <v>0.39224984399999996</v>
      </c>
      <c r="U190" s="30">
        <v>0</v>
      </c>
      <c r="V190" s="30">
        <v>1.6561836E-2</v>
      </c>
      <c r="W190" s="30">
        <v>0.37568800799999996</v>
      </c>
      <c r="X190" s="30">
        <v>0</v>
      </c>
      <c r="Y190" s="30">
        <f t="shared" si="185"/>
        <v>0</v>
      </c>
      <c r="Z190" s="30">
        <v>0</v>
      </c>
      <c r="AA190" s="30">
        <v>0</v>
      </c>
      <c r="AB190" s="30">
        <v>0</v>
      </c>
      <c r="AC190" s="34">
        <v>0</v>
      </c>
      <c r="AD190" s="36">
        <v>0.30170416949152606</v>
      </c>
      <c r="AE190" s="36">
        <f t="shared" si="175"/>
        <v>0.32687486999999998</v>
      </c>
      <c r="AF190" s="36">
        <f t="shared" si="175"/>
        <v>0</v>
      </c>
      <c r="AG190" s="36">
        <f t="shared" si="175"/>
        <v>0</v>
      </c>
      <c r="AH190" s="36">
        <f t="shared" si="172"/>
        <v>0.32687486999999998</v>
      </c>
      <c r="AI190" s="36">
        <f t="shared" si="172"/>
        <v>0</v>
      </c>
      <c r="AJ190" s="36">
        <f t="shared" si="191"/>
        <v>0</v>
      </c>
      <c r="AK190" s="36">
        <v>0</v>
      </c>
      <c r="AL190" s="36">
        <v>0</v>
      </c>
      <c r="AM190" s="36">
        <v>0</v>
      </c>
      <c r="AN190" s="36">
        <v>0</v>
      </c>
      <c r="AO190" s="34">
        <f t="shared" si="190"/>
        <v>0</v>
      </c>
      <c r="AP190" s="34">
        <v>0</v>
      </c>
      <c r="AQ190" s="34">
        <v>0</v>
      </c>
      <c r="AR190" s="34">
        <v>0</v>
      </c>
      <c r="AS190" s="34">
        <v>0</v>
      </c>
      <c r="AT190" s="34">
        <f t="shared" si="187"/>
        <v>0.32687486999999998</v>
      </c>
      <c r="AU190" s="34">
        <v>0</v>
      </c>
      <c r="AV190" s="34">
        <v>0</v>
      </c>
      <c r="AW190" s="34">
        <v>0.32687486999999998</v>
      </c>
      <c r="AX190" s="34">
        <v>0</v>
      </c>
      <c r="AY190" s="34">
        <f t="shared" si="188"/>
        <v>0</v>
      </c>
      <c r="AZ190" s="34">
        <v>0</v>
      </c>
      <c r="BA190" s="34">
        <v>0</v>
      </c>
      <c r="BB190" s="34">
        <v>0</v>
      </c>
      <c r="BC190" s="34">
        <v>0</v>
      </c>
    </row>
    <row r="191" spans="1:55" s="55" customFormat="1" ht="24" customHeight="1" x14ac:dyDescent="0.25">
      <c r="A191" s="31" t="s">
        <v>56</v>
      </c>
      <c r="B191" s="89" t="s">
        <v>219</v>
      </c>
      <c r="C191" s="90" t="s">
        <v>220</v>
      </c>
      <c r="D191" s="88">
        <v>0.36204500338983125</v>
      </c>
      <c r="E191" s="29">
        <f t="shared" si="174"/>
        <v>0.37908650399999999</v>
      </c>
      <c r="F191" s="29">
        <f t="shared" si="174"/>
        <v>0</v>
      </c>
      <c r="G191" s="29">
        <f t="shared" si="174"/>
        <v>5.9591400000000008E-3</v>
      </c>
      <c r="H191" s="29">
        <f t="shared" si="169"/>
        <v>0.37312736400000002</v>
      </c>
      <c r="I191" s="29">
        <f t="shared" si="169"/>
        <v>0</v>
      </c>
      <c r="J191" s="29">
        <f t="shared" si="170"/>
        <v>0</v>
      </c>
      <c r="K191" s="29">
        <v>0</v>
      </c>
      <c r="L191" s="29">
        <v>0</v>
      </c>
      <c r="M191" s="29">
        <v>0</v>
      </c>
      <c r="N191" s="29">
        <v>0</v>
      </c>
      <c r="O191" s="29">
        <f t="shared" si="189"/>
        <v>0</v>
      </c>
      <c r="P191" s="29">
        <v>0</v>
      </c>
      <c r="Q191" s="29">
        <v>0</v>
      </c>
      <c r="R191" s="29">
        <v>0</v>
      </c>
      <c r="S191" s="29">
        <v>0</v>
      </c>
      <c r="T191" s="30">
        <f t="shared" si="184"/>
        <v>0.37270004400000001</v>
      </c>
      <c r="U191" s="30">
        <v>0</v>
      </c>
      <c r="V191" s="30">
        <v>0</v>
      </c>
      <c r="W191" s="30">
        <v>0.37270004400000001</v>
      </c>
      <c r="X191" s="30">
        <v>0</v>
      </c>
      <c r="Y191" s="30">
        <f t="shared" si="185"/>
        <v>6.3864600000000009E-3</v>
      </c>
      <c r="Z191" s="30">
        <v>0</v>
      </c>
      <c r="AA191" s="30">
        <v>5.9591400000000008E-3</v>
      </c>
      <c r="AB191" s="30">
        <v>4.2732000000000002E-4</v>
      </c>
      <c r="AC191" s="34">
        <v>0</v>
      </c>
      <c r="AD191" s="36">
        <v>0.30170416949152606</v>
      </c>
      <c r="AE191" s="36">
        <f t="shared" si="175"/>
        <v>0.31590541999999999</v>
      </c>
      <c r="AF191" s="36">
        <f t="shared" si="175"/>
        <v>0</v>
      </c>
      <c r="AG191" s="36">
        <f t="shared" si="175"/>
        <v>4.9659500000000002E-3</v>
      </c>
      <c r="AH191" s="36">
        <f t="shared" si="172"/>
        <v>0.31093947</v>
      </c>
      <c r="AI191" s="36">
        <f t="shared" si="172"/>
        <v>0</v>
      </c>
      <c r="AJ191" s="36">
        <f t="shared" si="191"/>
        <v>0</v>
      </c>
      <c r="AK191" s="36">
        <v>0</v>
      </c>
      <c r="AL191" s="36">
        <v>0</v>
      </c>
      <c r="AM191" s="36">
        <v>0</v>
      </c>
      <c r="AN191" s="36">
        <v>0</v>
      </c>
      <c r="AO191" s="34">
        <f t="shared" si="190"/>
        <v>0</v>
      </c>
      <c r="AP191" s="34">
        <v>0</v>
      </c>
      <c r="AQ191" s="34">
        <v>0</v>
      </c>
      <c r="AR191" s="34">
        <v>0</v>
      </c>
      <c r="AS191" s="34">
        <v>0</v>
      </c>
      <c r="AT191" s="34">
        <f t="shared" si="187"/>
        <v>0</v>
      </c>
      <c r="AU191" s="34">
        <v>0</v>
      </c>
      <c r="AV191" s="34">
        <v>0</v>
      </c>
      <c r="AW191" s="34">
        <v>0</v>
      </c>
      <c r="AX191" s="34">
        <v>0</v>
      </c>
      <c r="AY191" s="34">
        <f t="shared" si="188"/>
        <v>0.31590541999999999</v>
      </c>
      <c r="AZ191" s="34">
        <v>0</v>
      </c>
      <c r="BA191" s="34">
        <v>4.9659500000000002E-3</v>
      </c>
      <c r="BB191" s="34">
        <v>0.31093947</v>
      </c>
      <c r="BC191" s="34">
        <v>0</v>
      </c>
    </row>
    <row r="192" spans="1:55" s="55" customFormat="1" ht="24" customHeight="1" x14ac:dyDescent="0.25">
      <c r="A192" s="31" t="s">
        <v>56</v>
      </c>
      <c r="B192" s="89" t="s">
        <v>221</v>
      </c>
      <c r="C192" s="90" t="s">
        <v>222</v>
      </c>
      <c r="D192" s="88">
        <v>0.36204500338983125</v>
      </c>
      <c r="E192" s="29">
        <f t="shared" si="174"/>
        <v>0.29135980799999994</v>
      </c>
      <c r="F192" s="29">
        <f t="shared" si="174"/>
        <v>0</v>
      </c>
      <c r="G192" s="29">
        <f t="shared" si="174"/>
        <v>5.9591400000000008E-3</v>
      </c>
      <c r="H192" s="29">
        <f t="shared" si="169"/>
        <v>0.28540066799999997</v>
      </c>
      <c r="I192" s="29">
        <f t="shared" si="169"/>
        <v>0</v>
      </c>
      <c r="J192" s="29">
        <f t="shared" si="170"/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f t="shared" si="189"/>
        <v>0</v>
      </c>
      <c r="P192" s="29">
        <v>0</v>
      </c>
      <c r="Q192" s="29">
        <v>0</v>
      </c>
      <c r="R192" s="29">
        <v>0</v>
      </c>
      <c r="S192" s="29">
        <v>0</v>
      </c>
      <c r="T192" s="30">
        <f t="shared" si="184"/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f t="shared" si="185"/>
        <v>0.29135980799999994</v>
      </c>
      <c r="Z192" s="30">
        <v>0</v>
      </c>
      <c r="AA192" s="30">
        <v>5.9591400000000008E-3</v>
      </c>
      <c r="AB192" s="30">
        <v>0.28540066799999997</v>
      </c>
      <c r="AC192" s="34">
        <v>0</v>
      </c>
      <c r="AD192" s="36">
        <v>0.30170416949152606</v>
      </c>
      <c r="AE192" s="36">
        <f t="shared" si="175"/>
        <v>0.24279983999999999</v>
      </c>
      <c r="AF192" s="36">
        <f t="shared" si="175"/>
        <v>0</v>
      </c>
      <c r="AG192" s="36">
        <f t="shared" si="175"/>
        <v>4.9659500000000002E-3</v>
      </c>
      <c r="AH192" s="36">
        <f t="shared" si="172"/>
        <v>0.23783388999999999</v>
      </c>
      <c r="AI192" s="36">
        <f t="shared" si="172"/>
        <v>0</v>
      </c>
      <c r="AJ192" s="36">
        <f t="shared" si="191"/>
        <v>0</v>
      </c>
      <c r="AK192" s="36">
        <v>0</v>
      </c>
      <c r="AL192" s="36">
        <v>0</v>
      </c>
      <c r="AM192" s="36">
        <v>0</v>
      </c>
      <c r="AN192" s="36">
        <v>0</v>
      </c>
      <c r="AO192" s="34">
        <f t="shared" si="190"/>
        <v>0</v>
      </c>
      <c r="AP192" s="34">
        <v>0</v>
      </c>
      <c r="AQ192" s="34">
        <v>0</v>
      </c>
      <c r="AR192" s="34">
        <v>0</v>
      </c>
      <c r="AS192" s="34">
        <v>0</v>
      </c>
      <c r="AT192" s="34">
        <f t="shared" si="187"/>
        <v>0</v>
      </c>
      <c r="AU192" s="34">
        <v>0</v>
      </c>
      <c r="AV192" s="34">
        <v>0</v>
      </c>
      <c r="AW192" s="34">
        <v>0</v>
      </c>
      <c r="AX192" s="34">
        <v>0</v>
      </c>
      <c r="AY192" s="34">
        <f t="shared" si="188"/>
        <v>0.24279983999999999</v>
      </c>
      <c r="AZ192" s="34">
        <v>0</v>
      </c>
      <c r="BA192" s="34">
        <v>4.9659500000000002E-3</v>
      </c>
      <c r="BB192" s="34">
        <v>0.23783388999999999</v>
      </c>
      <c r="BC192" s="34">
        <v>0</v>
      </c>
    </row>
    <row r="193" spans="1:55" s="55" customFormat="1" ht="24" customHeight="1" x14ac:dyDescent="0.25">
      <c r="A193" s="31" t="s">
        <v>56</v>
      </c>
      <c r="B193" s="89" t="s">
        <v>223</v>
      </c>
      <c r="C193" s="90" t="s">
        <v>224</v>
      </c>
      <c r="D193" s="88">
        <v>0.90511250847457791</v>
      </c>
      <c r="E193" s="29">
        <f t="shared" si="174"/>
        <v>0.83430590399999982</v>
      </c>
      <c r="F193" s="29">
        <f t="shared" si="174"/>
        <v>0</v>
      </c>
      <c r="G193" s="29">
        <f t="shared" si="174"/>
        <v>2.5911947999999997E-2</v>
      </c>
      <c r="H193" s="29">
        <f t="shared" si="174"/>
        <v>0.80839395599999986</v>
      </c>
      <c r="I193" s="29">
        <f t="shared" si="174"/>
        <v>0</v>
      </c>
      <c r="J193" s="29">
        <f t="shared" ref="J193:J256" si="192">K193+L193+M193+N193</f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f t="shared" si="189"/>
        <v>0</v>
      </c>
      <c r="P193" s="29">
        <v>0</v>
      </c>
      <c r="Q193" s="29">
        <v>0</v>
      </c>
      <c r="R193" s="29">
        <v>0</v>
      </c>
      <c r="S193" s="29">
        <v>0</v>
      </c>
      <c r="T193" s="30">
        <f t="shared" si="184"/>
        <v>0</v>
      </c>
      <c r="U193" s="30">
        <v>0</v>
      </c>
      <c r="V193" s="30">
        <v>0</v>
      </c>
      <c r="W193" s="30">
        <v>0</v>
      </c>
      <c r="X193" s="30">
        <v>0</v>
      </c>
      <c r="Y193" s="30">
        <f t="shared" si="185"/>
        <v>0.83430590399999982</v>
      </c>
      <c r="Z193" s="30">
        <v>0</v>
      </c>
      <c r="AA193" s="30">
        <v>2.5911947999999997E-2</v>
      </c>
      <c r="AB193" s="30">
        <v>0.80839395599999986</v>
      </c>
      <c r="AC193" s="34">
        <v>0</v>
      </c>
      <c r="AD193" s="36">
        <v>0.75426042372881497</v>
      </c>
      <c r="AE193" s="36">
        <f t="shared" si="175"/>
        <v>0.69525491999999989</v>
      </c>
      <c r="AF193" s="36">
        <f t="shared" si="175"/>
        <v>0</v>
      </c>
      <c r="AG193" s="36">
        <f t="shared" si="175"/>
        <v>2.1593290000000001E-2</v>
      </c>
      <c r="AH193" s="36">
        <f t="shared" si="175"/>
        <v>0.6736616299999999</v>
      </c>
      <c r="AI193" s="36">
        <f t="shared" si="175"/>
        <v>0</v>
      </c>
      <c r="AJ193" s="36">
        <f t="shared" si="191"/>
        <v>0</v>
      </c>
      <c r="AK193" s="36">
        <v>0</v>
      </c>
      <c r="AL193" s="36">
        <v>0</v>
      </c>
      <c r="AM193" s="36">
        <v>0</v>
      </c>
      <c r="AN193" s="36">
        <v>0</v>
      </c>
      <c r="AO193" s="34">
        <f t="shared" si="190"/>
        <v>0</v>
      </c>
      <c r="AP193" s="34">
        <v>0</v>
      </c>
      <c r="AQ193" s="34">
        <v>0</v>
      </c>
      <c r="AR193" s="34">
        <v>0</v>
      </c>
      <c r="AS193" s="34">
        <v>0</v>
      </c>
      <c r="AT193" s="34">
        <f t="shared" si="187"/>
        <v>0</v>
      </c>
      <c r="AU193" s="34">
        <v>0</v>
      </c>
      <c r="AV193" s="34">
        <v>0</v>
      </c>
      <c r="AW193" s="34">
        <v>0</v>
      </c>
      <c r="AX193" s="34">
        <v>0</v>
      </c>
      <c r="AY193" s="34">
        <f t="shared" si="188"/>
        <v>0.69525491999999989</v>
      </c>
      <c r="AZ193" s="34">
        <v>0</v>
      </c>
      <c r="BA193" s="34">
        <v>2.1593290000000001E-2</v>
      </c>
      <c r="BB193" s="34">
        <v>0.6736616299999999</v>
      </c>
      <c r="BC193" s="34">
        <v>0</v>
      </c>
    </row>
    <row r="194" spans="1:55" s="55" customFormat="1" ht="24" customHeight="1" x14ac:dyDescent="0.25">
      <c r="A194" s="31" t="s">
        <v>56</v>
      </c>
      <c r="B194" s="89" t="s">
        <v>225</v>
      </c>
      <c r="C194" s="90" t="s">
        <v>226</v>
      </c>
      <c r="D194" s="88">
        <v>0.36204500338983125</v>
      </c>
      <c r="E194" s="29">
        <f t="shared" ref="E194:H257" si="193">J194+O194+T194+Y194</f>
        <v>0.37824533999999999</v>
      </c>
      <c r="F194" s="29">
        <f t="shared" si="193"/>
        <v>0</v>
      </c>
      <c r="G194" s="29">
        <f t="shared" si="193"/>
        <v>5.2142519999999991E-3</v>
      </c>
      <c r="H194" s="29">
        <f t="shared" si="193"/>
        <v>0.37303108800000001</v>
      </c>
      <c r="I194" s="29">
        <f t="shared" ref="I194:I257" si="194">N194+S194+X194+AC194</f>
        <v>0</v>
      </c>
      <c r="J194" s="29">
        <f t="shared" si="192"/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f t="shared" si="189"/>
        <v>0</v>
      </c>
      <c r="P194" s="29">
        <v>0</v>
      </c>
      <c r="Q194" s="29">
        <v>0</v>
      </c>
      <c r="R194" s="29">
        <v>0</v>
      </c>
      <c r="S194" s="29">
        <v>0</v>
      </c>
      <c r="T194" s="30">
        <f t="shared" si="184"/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f t="shared" si="185"/>
        <v>0.37824533999999999</v>
      </c>
      <c r="Z194" s="30">
        <v>0</v>
      </c>
      <c r="AA194" s="30">
        <v>5.2142519999999991E-3</v>
      </c>
      <c r="AB194" s="30">
        <v>0.37303108800000001</v>
      </c>
      <c r="AC194" s="34">
        <v>0</v>
      </c>
      <c r="AD194" s="36">
        <v>0.30170416949152606</v>
      </c>
      <c r="AE194" s="36">
        <f t="shared" ref="AE194:AH257" si="195">AJ194+AO194+AT194+AY194</f>
        <v>0.31520444999999997</v>
      </c>
      <c r="AF194" s="36">
        <f t="shared" si="195"/>
        <v>0</v>
      </c>
      <c r="AG194" s="36">
        <f t="shared" si="195"/>
        <v>4.3452099999999995E-3</v>
      </c>
      <c r="AH194" s="36">
        <f t="shared" si="195"/>
        <v>0.31085923999999998</v>
      </c>
      <c r="AI194" s="36">
        <f t="shared" ref="AI194:AI257" si="196">AN194+AS194+AX194+BC194</f>
        <v>0</v>
      </c>
      <c r="AJ194" s="36">
        <f t="shared" si="191"/>
        <v>0</v>
      </c>
      <c r="AK194" s="36">
        <v>0</v>
      </c>
      <c r="AL194" s="36">
        <v>0</v>
      </c>
      <c r="AM194" s="36">
        <v>0</v>
      </c>
      <c r="AN194" s="36">
        <v>0</v>
      </c>
      <c r="AO194" s="34">
        <f t="shared" si="190"/>
        <v>0</v>
      </c>
      <c r="AP194" s="34">
        <v>0</v>
      </c>
      <c r="AQ194" s="34">
        <v>0</v>
      </c>
      <c r="AR194" s="34">
        <v>0</v>
      </c>
      <c r="AS194" s="34">
        <v>0</v>
      </c>
      <c r="AT194" s="34">
        <f t="shared" si="187"/>
        <v>0</v>
      </c>
      <c r="AU194" s="34">
        <v>0</v>
      </c>
      <c r="AV194" s="34">
        <v>0</v>
      </c>
      <c r="AW194" s="34">
        <v>0</v>
      </c>
      <c r="AX194" s="34">
        <v>0</v>
      </c>
      <c r="AY194" s="34">
        <f t="shared" si="188"/>
        <v>0.31520444999999997</v>
      </c>
      <c r="AZ194" s="34">
        <v>0</v>
      </c>
      <c r="BA194" s="34">
        <v>4.3452099999999995E-3</v>
      </c>
      <c r="BB194" s="34">
        <v>0.31085923999999998</v>
      </c>
      <c r="BC194" s="34">
        <v>0</v>
      </c>
    </row>
    <row r="195" spans="1:55" s="55" customFormat="1" ht="36.75" customHeight="1" x14ac:dyDescent="0.25">
      <c r="A195" s="31" t="s">
        <v>56</v>
      </c>
      <c r="B195" s="89" t="s">
        <v>227</v>
      </c>
      <c r="C195" s="90" t="s">
        <v>228</v>
      </c>
      <c r="D195" s="88">
        <v>3.3005040000000001</v>
      </c>
      <c r="E195" s="29">
        <f t="shared" si="193"/>
        <v>0</v>
      </c>
      <c r="F195" s="29">
        <f t="shared" si="193"/>
        <v>0</v>
      </c>
      <c r="G195" s="29">
        <f t="shared" si="193"/>
        <v>0</v>
      </c>
      <c r="H195" s="29">
        <f t="shared" si="193"/>
        <v>0</v>
      </c>
      <c r="I195" s="29">
        <f t="shared" si="194"/>
        <v>0</v>
      </c>
      <c r="J195" s="29">
        <f t="shared" si="192"/>
        <v>0</v>
      </c>
      <c r="K195" s="29">
        <v>0</v>
      </c>
      <c r="L195" s="29">
        <v>0</v>
      </c>
      <c r="M195" s="29">
        <v>0</v>
      </c>
      <c r="N195" s="29">
        <v>0</v>
      </c>
      <c r="O195" s="29">
        <f t="shared" si="189"/>
        <v>0</v>
      </c>
      <c r="P195" s="29">
        <v>0</v>
      </c>
      <c r="Q195" s="29">
        <v>0</v>
      </c>
      <c r="R195" s="29">
        <v>0</v>
      </c>
      <c r="S195" s="29">
        <v>0</v>
      </c>
      <c r="T195" s="30">
        <f t="shared" si="184"/>
        <v>0</v>
      </c>
      <c r="U195" s="30">
        <v>0</v>
      </c>
      <c r="V195" s="30">
        <v>0</v>
      </c>
      <c r="W195" s="30">
        <v>0</v>
      </c>
      <c r="X195" s="30">
        <v>0</v>
      </c>
      <c r="Y195" s="30">
        <f t="shared" si="185"/>
        <v>0</v>
      </c>
      <c r="Z195" s="30">
        <v>0</v>
      </c>
      <c r="AA195" s="30">
        <v>0</v>
      </c>
      <c r="AB195" s="30">
        <v>0</v>
      </c>
      <c r="AC195" s="34">
        <v>0</v>
      </c>
      <c r="AD195" s="36">
        <v>2.7504200000000001</v>
      </c>
      <c r="AE195" s="36">
        <f t="shared" si="195"/>
        <v>0</v>
      </c>
      <c r="AF195" s="36">
        <f t="shared" si="195"/>
        <v>0</v>
      </c>
      <c r="AG195" s="36">
        <f t="shared" si="195"/>
        <v>0</v>
      </c>
      <c r="AH195" s="36">
        <f t="shared" si="195"/>
        <v>0</v>
      </c>
      <c r="AI195" s="36">
        <f t="shared" si="196"/>
        <v>0</v>
      </c>
      <c r="AJ195" s="36">
        <f t="shared" si="191"/>
        <v>0</v>
      </c>
      <c r="AK195" s="36">
        <v>0</v>
      </c>
      <c r="AL195" s="36">
        <v>0</v>
      </c>
      <c r="AM195" s="36">
        <v>0</v>
      </c>
      <c r="AN195" s="36">
        <v>0</v>
      </c>
      <c r="AO195" s="34">
        <f t="shared" si="190"/>
        <v>0</v>
      </c>
      <c r="AP195" s="34">
        <v>0</v>
      </c>
      <c r="AQ195" s="34">
        <v>0</v>
      </c>
      <c r="AR195" s="34">
        <v>0</v>
      </c>
      <c r="AS195" s="34">
        <v>0</v>
      </c>
      <c r="AT195" s="34">
        <f t="shared" si="187"/>
        <v>0</v>
      </c>
      <c r="AU195" s="34">
        <v>0</v>
      </c>
      <c r="AV195" s="34">
        <v>0</v>
      </c>
      <c r="AW195" s="34">
        <v>0</v>
      </c>
      <c r="AX195" s="34">
        <v>0</v>
      </c>
      <c r="AY195" s="34">
        <f t="shared" si="188"/>
        <v>0</v>
      </c>
      <c r="AZ195" s="34">
        <v>0</v>
      </c>
      <c r="BA195" s="34">
        <v>0</v>
      </c>
      <c r="BB195" s="34">
        <v>0</v>
      </c>
      <c r="BC195" s="34">
        <v>0</v>
      </c>
    </row>
    <row r="196" spans="1:55" s="55" customFormat="1" ht="36.75" customHeight="1" x14ac:dyDescent="0.25">
      <c r="A196" s="98" t="s">
        <v>56</v>
      </c>
      <c r="B196" s="96" t="s">
        <v>431</v>
      </c>
      <c r="C196" s="99" t="s">
        <v>230</v>
      </c>
      <c r="D196" s="88">
        <v>0</v>
      </c>
      <c r="E196" s="29">
        <f t="shared" si="193"/>
        <v>0.271975368</v>
      </c>
      <c r="F196" s="29">
        <f t="shared" si="193"/>
        <v>0</v>
      </c>
      <c r="G196" s="29">
        <f t="shared" si="193"/>
        <v>2.4377256E-2</v>
      </c>
      <c r="H196" s="29">
        <f t="shared" si="193"/>
        <v>0.24759811199999998</v>
      </c>
      <c r="I196" s="29">
        <f t="shared" si="194"/>
        <v>0</v>
      </c>
      <c r="J196" s="29">
        <f t="shared" si="192"/>
        <v>0.271975368</v>
      </c>
      <c r="K196" s="29">
        <v>0</v>
      </c>
      <c r="L196" s="29">
        <v>2.4377256E-2</v>
      </c>
      <c r="M196" s="29">
        <v>0.24759811199999998</v>
      </c>
      <c r="N196" s="29">
        <v>0</v>
      </c>
      <c r="O196" s="29">
        <f t="shared" si="189"/>
        <v>0</v>
      </c>
      <c r="P196" s="29">
        <v>0</v>
      </c>
      <c r="Q196" s="29">
        <v>0</v>
      </c>
      <c r="R196" s="29">
        <v>0</v>
      </c>
      <c r="S196" s="29">
        <v>0</v>
      </c>
      <c r="T196" s="30">
        <f t="shared" si="184"/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f t="shared" si="185"/>
        <v>0</v>
      </c>
      <c r="Z196" s="30">
        <v>0</v>
      </c>
      <c r="AA196" s="30">
        <v>0</v>
      </c>
      <c r="AB196" s="30">
        <v>0</v>
      </c>
      <c r="AC196" s="34">
        <v>0</v>
      </c>
      <c r="AD196" s="36">
        <v>0</v>
      </c>
      <c r="AE196" s="36">
        <f t="shared" si="195"/>
        <v>0.22664614</v>
      </c>
      <c r="AF196" s="36">
        <f t="shared" si="195"/>
        <v>0</v>
      </c>
      <c r="AG196" s="36">
        <f t="shared" si="195"/>
        <v>2.031438E-2</v>
      </c>
      <c r="AH196" s="36">
        <f t="shared" si="195"/>
        <v>0.20633176</v>
      </c>
      <c r="AI196" s="36">
        <f t="shared" si="196"/>
        <v>0</v>
      </c>
      <c r="AJ196" s="36">
        <f t="shared" si="191"/>
        <v>0.22664614</v>
      </c>
      <c r="AK196" s="36">
        <v>0</v>
      </c>
      <c r="AL196" s="36">
        <v>2.031438E-2</v>
      </c>
      <c r="AM196" s="36">
        <v>0.20633176</v>
      </c>
      <c r="AN196" s="36">
        <v>0</v>
      </c>
      <c r="AO196" s="34">
        <f t="shared" si="190"/>
        <v>0</v>
      </c>
      <c r="AP196" s="34">
        <v>0</v>
      </c>
      <c r="AQ196" s="34">
        <v>0</v>
      </c>
      <c r="AR196" s="34">
        <v>0</v>
      </c>
      <c r="AS196" s="34">
        <v>0</v>
      </c>
      <c r="AT196" s="34">
        <f t="shared" si="187"/>
        <v>0</v>
      </c>
      <c r="AU196" s="34">
        <v>0</v>
      </c>
      <c r="AV196" s="34">
        <v>0</v>
      </c>
      <c r="AW196" s="34">
        <v>0</v>
      </c>
      <c r="AX196" s="34">
        <v>0</v>
      </c>
      <c r="AY196" s="34">
        <f t="shared" si="188"/>
        <v>0</v>
      </c>
      <c r="AZ196" s="34">
        <v>0</v>
      </c>
      <c r="BA196" s="34">
        <v>0</v>
      </c>
      <c r="BB196" s="34">
        <v>0</v>
      </c>
      <c r="BC196" s="34">
        <v>0</v>
      </c>
    </row>
    <row r="197" spans="1:55" s="55" customFormat="1" ht="36.75" customHeight="1" x14ac:dyDescent="0.25">
      <c r="A197" s="110" t="s">
        <v>56</v>
      </c>
      <c r="B197" s="96" t="s">
        <v>504</v>
      </c>
      <c r="C197" s="99" t="s">
        <v>505</v>
      </c>
      <c r="D197" s="88">
        <v>0</v>
      </c>
      <c r="E197" s="29">
        <f t="shared" si="193"/>
        <v>0.25475386799999999</v>
      </c>
      <c r="F197" s="29">
        <f t="shared" si="193"/>
        <v>0</v>
      </c>
      <c r="G197" s="29">
        <f t="shared" si="193"/>
        <v>5.335752E-3</v>
      </c>
      <c r="H197" s="29">
        <f t="shared" si="193"/>
        <v>0.249418116</v>
      </c>
      <c r="I197" s="29">
        <f t="shared" si="194"/>
        <v>0</v>
      </c>
      <c r="J197" s="29">
        <f t="shared" si="192"/>
        <v>0</v>
      </c>
      <c r="K197" s="29">
        <v>0</v>
      </c>
      <c r="L197" s="29">
        <v>0</v>
      </c>
      <c r="M197" s="29">
        <v>0</v>
      </c>
      <c r="N197" s="29">
        <v>0</v>
      </c>
      <c r="O197" s="29">
        <f t="shared" si="189"/>
        <v>0.25475386799999999</v>
      </c>
      <c r="P197" s="29">
        <v>0</v>
      </c>
      <c r="Q197" s="29">
        <v>5.335752E-3</v>
      </c>
      <c r="R197" s="29">
        <v>0.249418116</v>
      </c>
      <c r="S197" s="29">
        <v>0</v>
      </c>
      <c r="T197" s="30">
        <f t="shared" si="184"/>
        <v>0</v>
      </c>
      <c r="U197" s="30">
        <v>0</v>
      </c>
      <c r="V197" s="30">
        <v>0</v>
      </c>
      <c r="W197" s="30">
        <v>0</v>
      </c>
      <c r="X197" s="30">
        <v>0</v>
      </c>
      <c r="Y197" s="30">
        <f t="shared" si="185"/>
        <v>0</v>
      </c>
      <c r="Z197" s="30">
        <v>0</v>
      </c>
      <c r="AA197" s="30">
        <v>0</v>
      </c>
      <c r="AB197" s="30">
        <v>0</v>
      </c>
      <c r="AC197" s="34">
        <v>0</v>
      </c>
      <c r="AD197" s="36">
        <v>0</v>
      </c>
      <c r="AE197" s="36">
        <f t="shared" si="195"/>
        <v>0.21229489000000001</v>
      </c>
      <c r="AF197" s="36">
        <f t="shared" si="195"/>
        <v>0</v>
      </c>
      <c r="AG197" s="36">
        <f t="shared" si="195"/>
        <v>4.4464600000000002E-3</v>
      </c>
      <c r="AH197" s="36">
        <f t="shared" si="195"/>
        <v>0.20784843</v>
      </c>
      <c r="AI197" s="36">
        <f t="shared" si="196"/>
        <v>0</v>
      </c>
      <c r="AJ197" s="36">
        <f t="shared" si="191"/>
        <v>0</v>
      </c>
      <c r="AK197" s="36">
        <v>0</v>
      </c>
      <c r="AL197" s="36">
        <v>0</v>
      </c>
      <c r="AM197" s="36">
        <v>0</v>
      </c>
      <c r="AN197" s="36">
        <v>0</v>
      </c>
      <c r="AO197" s="34">
        <f t="shared" si="190"/>
        <v>0.21229489000000001</v>
      </c>
      <c r="AP197" s="34">
        <v>0</v>
      </c>
      <c r="AQ197" s="34">
        <v>4.4464600000000002E-3</v>
      </c>
      <c r="AR197" s="34">
        <v>0.20784843</v>
      </c>
      <c r="AS197" s="34">
        <v>0</v>
      </c>
      <c r="AT197" s="34">
        <f t="shared" si="187"/>
        <v>0</v>
      </c>
      <c r="AU197" s="34">
        <v>0</v>
      </c>
      <c r="AV197" s="34">
        <v>0</v>
      </c>
      <c r="AW197" s="34">
        <v>0</v>
      </c>
      <c r="AX197" s="34">
        <v>0</v>
      </c>
      <c r="AY197" s="34">
        <f t="shared" si="188"/>
        <v>0</v>
      </c>
      <c r="AZ197" s="34">
        <v>0</v>
      </c>
      <c r="BA197" s="34">
        <v>0</v>
      </c>
      <c r="BB197" s="34">
        <v>0</v>
      </c>
      <c r="BC197" s="34">
        <v>0</v>
      </c>
    </row>
    <row r="198" spans="1:55" s="55" customFormat="1" ht="36.75" customHeight="1" x14ac:dyDescent="0.25">
      <c r="A198" s="110" t="s">
        <v>56</v>
      </c>
      <c r="B198" s="96" t="s">
        <v>509</v>
      </c>
      <c r="C198" s="99" t="s">
        <v>512</v>
      </c>
      <c r="D198" s="88">
        <v>0</v>
      </c>
      <c r="E198" s="29">
        <f t="shared" si="193"/>
        <v>0.25672840799999996</v>
      </c>
      <c r="F198" s="29">
        <f t="shared" si="193"/>
        <v>0</v>
      </c>
      <c r="G198" s="29">
        <f t="shared" si="193"/>
        <v>7.1884079999999986E-3</v>
      </c>
      <c r="H198" s="29">
        <f t="shared" si="193"/>
        <v>0.24953999999999998</v>
      </c>
      <c r="I198" s="29">
        <f t="shared" si="194"/>
        <v>0</v>
      </c>
      <c r="J198" s="29">
        <f t="shared" si="192"/>
        <v>0</v>
      </c>
      <c r="K198" s="29">
        <v>0</v>
      </c>
      <c r="L198" s="29">
        <v>0</v>
      </c>
      <c r="M198" s="29">
        <v>0</v>
      </c>
      <c r="N198" s="29">
        <v>0</v>
      </c>
      <c r="O198" s="29">
        <f t="shared" si="189"/>
        <v>0.25672840799999996</v>
      </c>
      <c r="P198" s="29">
        <v>0</v>
      </c>
      <c r="Q198" s="29">
        <v>7.1884079999999986E-3</v>
      </c>
      <c r="R198" s="29">
        <v>0.24953999999999998</v>
      </c>
      <c r="S198" s="29">
        <v>0</v>
      </c>
      <c r="T198" s="30">
        <f t="shared" si="184"/>
        <v>0</v>
      </c>
      <c r="U198" s="30">
        <v>0</v>
      </c>
      <c r="V198" s="30">
        <v>0</v>
      </c>
      <c r="W198" s="30">
        <v>0</v>
      </c>
      <c r="X198" s="30">
        <v>0</v>
      </c>
      <c r="Y198" s="30">
        <f t="shared" si="185"/>
        <v>0</v>
      </c>
      <c r="Z198" s="30">
        <v>0</v>
      </c>
      <c r="AA198" s="30">
        <v>0</v>
      </c>
      <c r="AB198" s="30">
        <v>0</v>
      </c>
      <c r="AC198" s="34">
        <v>0</v>
      </c>
      <c r="AD198" s="36">
        <v>0</v>
      </c>
      <c r="AE198" s="36">
        <f t="shared" si="195"/>
        <v>0.21394034000000001</v>
      </c>
      <c r="AF198" s="36">
        <f t="shared" si="195"/>
        <v>0</v>
      </c>
      <c r="AG198" s="36">
        <f t="shared" si="195"/>
        <v>5.9903399999999994E-3</v>
      </c>
      <c r="AH198" s="36">
        <f t="shared" si="195"/>
        <v>0.20795</v>
      </c>
      <c r="AI198" s="36">
        <f t="shared" si="196"/>
        <v>0</v>
      </c>
      <c r="AJ198" s="36">
        <f t="shared" si="191"/>
        <v>0</v>
      </c>
      <c r="AK198" s="36">
        <v>0</v>
      </c>
      <c r="AL198" s="36">
        <v>0</v>
      </c>
      <c r="AM198" s="36">
        <v>0</v>
      </c>
      <c r="AN198" s="36">
        <v>0</v>
      </c>
      <c r="AO198" s="34">
        <f t="shared" si="190"/>
        <v>0.21394034000000001</v>
      </c>
      <c r="AP198" s="34">
        <v>0</v>
      </c>
      <c r="AQ198" s="34">
        <v>5.9903399999999994E-3</v>
      </c>
      <c r="AR198" s="34">
        <v>0.20795</v>
      </c>
      <c r="AS198" s="34">
        <v>0</v>
      </c>
      <c r="AT198" s="34">
        <f t="shared" si="187"/>
        <v>0</v>
      </c>
      <c r="AU198" s="34">
        <v>0</v>
      </c>
      <c r="AV198" s="34">
        <v>0</v>
      </c>
      <c r="AW198" s="34">
        <v>0</v>
      </c>
      <c r="AX198" s="34">
        <v>0</v>
      </c>
      <c r="AY198" s="34">
        <f t="shared" si="188"/>
        <v>0</v>
      </c>
      <c r="AZ198" s="34">
        <v>0</v>
      </c>
      <c r="BA198" s="34">
        <v>0</v>
      </c>
      <c r="BB198" s="34">
        <v>0</v>
      </c>
      <c r="BC198" s="34">
        <v>0</v>
      </c>
    </row>
    <row r="199" spans="1:55" s="55" customFormat="1" ht="36.75" customHeight="1" x14ac:dyDescent="0.25">
      <c r="A199" s="110" t="s">
        <v>56</v>
      </c>
      <c r="B199" s="96" t="s">
        <v>511</v>
      </c>
      <c r="C199" s="99" t="s">
        <v>631</v>
      </c>
      <c r="D199" s="88">
        <v>0</v>
      </c>
      <c r="E199" s="29">
        <f t="shared" si="193"/>
        <v>0.26529336000000003</v>
      </c>
      <c r="F199" s="29">
        <f t="shared" si="193"/>
        <v>0</v>
      </c>
      <c r="G199" s="29">
        <f t="shared" si="193"/>
        <v>1.6549187999999999E-2</v>
      </c>
      <c r="H199" s="29">
        <f t="shared" si="193"/>
        <v>0.24874417200000001</v>
      </c>
      <c r="I199" s="29">
        <f t="shared" si="194"/>
        <v>0</v>
      </c>
      <c r="J199" s="29">
        <f t="shared" si="192"/>
        <v>0</v>
      </c>
      <c r="K199" s="29">
        <v>0</v>
      </c>
      <c r="L199" s="29">
        <v>0</v>
      </c>
      <c r="M199" s="29">
        <v>0</v>
      </c>
      <c r="N199" s="29">
        <v>0</v>
      </c>
      <c r="O199" s="29">
        <f t="shared" si="189"/>
        <v>0.26529336000000003</v>
      </c>
      <c r="P199" s="29">
        <v>0</v>
      </c>
      <c r="Q199" s="29">
        <v>1.6549187999999999E-2</v>
      </c>
      <c r="R199" s="29">
        <v>0.24874417200000001</v>
      </c>
      <c r="S199" s="29">
        <v>0</v>
      </c>
      <c r="T199" s="30">
        <f t="shared" si="184"/>
        <v>0</v>
      </c>
      <c r="U199" s="30">
        <v>0</v>
      </c>
      <c r="V199" s="30">
        <v>0</v>
      </c>
      <c r="W199" s="30">
        <v>0</v>
      </c>
      <c r="X199" s="30">
        <v>0</v>
      </c>
      <c r="Y199" s="30">
        <f t="shared" si="185"/>
        <v>0</v>
      </c>
      <c r="Z199" s="30">
        <v>0</v>
      </c>
      <c r="AA199" s="30">
        <v>0</v>
      </c>
      <c r="AB199" s="30">
        <v>0</v>
      </c>
      <c r="AC199" s="34">
        <v>0</v>
      </c>
      <c r="AD199" s="36">
        <v>0</v>
      </c>
      <c r="AE199" s="36">
        <f t="shared" si="195"/>
        <v>0.22107780000000002</v>
      </c>
      <c r="AF199" s="36">
        <f t="shared" si="195"/>
        <v>0</v>
      </c>
      <c r="AG199" s="36">
        <f t="shared" si="195"/>
        <v>1.3790989999999999E-2</v>
      </c>
      <c r="AH199" s="36">
        <f t="shared" si="195"/>
        <v>0.20728681000000002</v>
      </c>
      <c r="AI199" s="36">
        <f t="shared" si="196"/>
        <v>0</v>
      </c>
      <c r="AJ199" s="36">
        <f t="shared" si="191"/>
        <v>0</v>
      </c>
      <c r="AK199" s="36">
        <v>0</v>
      </c>
      <c r="AL199" s="36">
        <v>0</v>
      </c>
      <c r="AM199" s="36">
        <v>0</v>
      </c>
      <c r="AN199" s="36">
        <v>0</v>
      </c>
      <c r="AO199" s="34">
        <f t="shared" si="190"/>
        <v>0.22107780000000002</v>
      </c>
      <c r="AP199" s="34">
        <v>0</v>
      </c>
      <c r="AQ199" s="34">
        <v>1.3790989999999999E-2</v>
      </c>
      <c r="AR199" s="34">
        <v>0.20728681000000002</v>
      </c>
      <c r="AS199" s="34">
        <v>0</v>
      </c>
      <c r="AT199" s="34">
        <f t="shared" si="187"/>
        <v>0</v>
      </c>
      <c r="AU199" s="34">
        <v>0</v>
      </c>
      <c r="AV199" s="34">
        <v>0</v>
      </c>
      <c r="AW199" s="34">
        <v>0</v>
      </c>
      <c r="AX199" s="34">
        <v>0</v>
      </c>
      <c r="AY199" s="34">
        <f t="shared" si="188"/>
        <v>0</v>
      </c>
      <c r="AZ199" s="34">
        <v>0</v>
      </c>
      <c r="BA199" s="34">
        <v>0</v>
      </c>
      <c r="BB199" s="34">
        <v>0</v>
      </c>
      <c r="BC199" s="34">
        <v>0</v>
      </c>
    </row>
    <row r="200" spans="1:55" s="55" customFormat="1" ht="36.75" customHeight="1" x14ac:dyDescent="0.25">
      <c r="A200" s="110" t="s">
        <v>56</v>
      </c>
      <c r="B200" s="96" t="s">
        <v>506</v>
      </c>
      <c r="C200" s="99" t="s">
        <v>510</v>
      </c>
      <c r="D200" s="88">
        <v>0</v>
      </c>
      <c r="E200" s="29">
        <f t="shared" si="193"/>
        <v>1.4799191999999999E-2</v>
      </c>
      <c r="F200" s="29">
        <f t="shared" si="193"/>
        <v>0</v>
      </c>
      <c r="G200" s="29">
        <f t="shared" si="193"/>
        <v>6.8811360000000004E-3</v>
      </c>
      <c r="H200" s="29">
        <f t="shared" si="193"/>
        <v>7.9180559999999997E-3</v>
      </c>
      <c r="I200" s="29">
        <f t="shared" si="194"/>
        <v>0</v>
      </c>
      <c r="J200" s="29">
        <f t="shared" si="192"/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f t="shared" si="189"/>
        <v>1.4799191999999999E-2</v>
      </c>
      <c r="P200" s="29">
        <v>0</v>
      </c>
      <c r="Q200" s="29">
        <v>6.8811360000000004E-3</v>
      </c>
      <c r="R200" s="29">
        <v>7.9180559999999997E-3</v>
      </c>
      <c r="S200" s="29">
        <v>0</v>
      </c>
      <c r="T200" s="30">
        <f t="shared" si="184"/>
        <v>0</v>
      </c>
      <c r="U200" s="30">
        <v>0</v>
      </c>
      <c r="V200" s="30">
        <v>0</v>
      </c>
      <c r="W200" s="30">
        <v>0</v>
      </c>
      <c r="X200" s="30">
        <v>0</v>
      </c>
      <c r="Y200" s="30">
        <f t="shared" si="185"/>
        <v>0</v>
      </c>
      <c r="Z200" s="30">
        <v>0</v>
      </c>
      <c r="AA200" s="30">
        <v>0</v>
      </c>
      <c r="AB200" s="30">
        <v>0</v>
      </c>
      <c r="AC200" s="34">
        <v>0</v>
      </c>
      <c r="AD200" s="36">
        <v>0</v>
      </c>
      <c r="AE200" s="36">
        <f t="shared" si="195"/>
        <v>1.233266E-2</v>
      </c>
      <c r="AF200" s="36">
        <f t="shared" si="195"/>
        <v>0</v>
      </c>
      <c r="AG200" s="36">
        <f t="shared" si="195"/>
        <v>5.7342800000000005E-3</v>
      </c>
      <c r="AH200" s="36">
        <f t="shared" si="195"/>
        <v>6.59838E-3</v>
      </c>
      <c r="AI200" s="36">
        <f t="shared" si="196"/>
        <v>0</v>
      </c>
      <c r="AJ200" s="36">
        <f t="shared" si="191"/>
        <v>0</v>
      </c>
      <c r="AK200" s="36">
        <v>0</v>
      </c>
      <c r="AL200" s="36">
        <v>0</v>
      </c>
      <c r="AM200" s="36">
        <v>0</v>
      </c>
      <c r="AN200" s="36">
        <v>0</v>
      </c>
      <c r="AO200" s="34">
        <f t="shared" si="190"/>
        <v>1.233266E-2</v>
      </c>
      <c r="AP200" s="34">
        <v>0</v>
      </c>
      <c r="AQ200" s="34">
        <v>5.7342800000000005E-3</v>
      </c>
      <c r="AR200" s="34">
        <v>6.59838E-3</v>
      </c>
      <c r="AS200" s="34">
        <v>0</v>
      </c>
      <c r="AT200" s="34">
        <f t="shared" si="187"/>
        <v>0</v>
      </c>
      <c r="AU200" s="34">
        <v>0</v>
      </c>
      <c r="AV200" s="34">
        <v>0</v>
      </c>
      <c r="AW200" s="34">
        <v>0</v>
      </c>
      <c r="AX200" s="34">
        <v>0</v>
      </c>
      <c r="AY200" s="34">
        <f t="shared" si="188"/>
        <v>0</v>
      </c>
      <c r="AZ200" s="34">
        <v>0</v>
      </c>
      <c r="BA200" s="34">
        <v>0</v>
      </c>
      <c r="BB200" s="34">
        <v>0</v>
      </c>
      <c r="BC200" s="34">
        <v>0</v>
      </c>
    </row>
    <row r="201" spans="1:55" s="55" customFormat="1" ht="36.75" customHeight="1" x14ac:dyDescent="0.25">
      <c r="A201" s="110" t="s">
        <v>56</v>
      </c>
      <c r="B201" s="96" t="s">
        <v>507</v>
      </c>
      <c r="C201" s="99" t="s">
        <v>853</v>
      </c>
      <c r="D201" s="88">
        <v>0</v>
      </c>
      <c r="E201" s="29">
        <f t="shared" si="193"/>
        <v>1.7168123999999996E-2</v>
      </c>
      <c r="F201" s="29">
        <f t="shared" si="193"/>
        <v>0</v>
      </c>
      <c r="G201" s="29">
        <f t="shared" si="193"/>
        <v>1.5354335999999998E-2</v>
      </c>
      <c r="H201" s="29">
        <f t="shared" si="193"/>
        <v>1.813788E-3</v>
      </c>
      <c r="I201" s="29">
        <f t="shared" si="194"/>
        <v>0</v>
      </c>
      <c r="J201" s="29">
        <f t="shared" si="192"/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f t="shared" si="189"/>
        <v>1.7168123999999996E-2</v>
      </c>
      <c r="P201" s="29">
        <v>0</v>
      </c>
      <c r="Q201" s="29">
        <v>1.5354335999999998E-2</v>
      </c>
      <c r="R201" s="29">
        <v>1.813788E-3</v>
      </c>
      <c r="S201" s="29">
        <v>0</v>
      </c>
      <c r="T201" s="30">
        <f t="shared" si="184"/>
        <v>0</v>
      </c>
      <c r="U201" s="30">
        <v>0</v>
      </c>
      <c r="V201" s="30">
        <v>0</v>
      </c>
      <c r="W201" s="30">
        <v>0</v>
      </c>
      <c r="X201" s="30">
        <v>0</v>
      </c>
      <c r="Y201" s="30">
        <f t="shared" si="185"/>
        <v>0</v>
      </c>
      <c r="Z201" s="30">
        <v>0</v>
      </c>
      <c r="AA201" s="30">
        <v>0</v>
      </c>
      <c r="AB201" s="30">
        <v>0</v>
      </c>
      <c r="AC201" s="34">
        <v>0</v>
      </c>
      <c r="AD201" s="36">
        <v>0</v>
      </c>
      <c r="AE201" s="36">
        <f t="shared" si="195"/>
        <v>1.430677E-2</v>
      </c>
      <c r="AF201" s="36">
        <f t="shared" si="195"/>
        <v>0</v>
      </c>
      <c r="AG201" s="36">
        <f t="shared" si="195"/>
        <v>1.2795279999999999E-2</v>
      </c>
      <c r="AH201" s="36">
        <f t="shared" si="195"/>
        <v>1.5114900000000001E-3</v>
      </c>
      <c r="AI201" s="36">
        <f t="shared" si="196"/>
        <v>0</v>
      </c>
      <c r="AJ201" s="36">
        <f t="shared" si="191"/>
        <v>0</v>
      </c>
      <c r="AK201" s="36">
        <v>0</v>
      </c>
      <c r="AL201" s="36">
        <v>0</v>
      </c>
      <c r="AM201" s="36">
        <v>0</v>
      </c>
      <c r="AN201" s="36">
        <v>0</v>
      </c>
      <c r="AO201" s="34">
        <f t="shared" si="190"/>
        <v>1.430677E-2</v>
      </c>
      <c r="AP201" s="34">
        <v>0</v>
      </c>
      <c r="AQ201" s="34">
        <v>1.2795279999999999E-2</v>
      </c>
      <c r="AR201" s="34">
        <v>1.5114900000000001E-3</v>
      </c>
      <c r="AS201" s="34">
        <v>0</v>
      </c>
      <c r="AT201" s="34">
        <f t="shared" si="187"/>
        <v>0</v>
      </c>
      <c r="AU201" s="34">
        <v>0</v>
      </c>
      <c r="AV201" s="34">
        <v>0</v>
      </c>
      <c r="AW201" s="34">
        <v>0</v>
      </c>
      <c r="AX201" s="34">
        <v>0</v>
      </c>
      <c r="AY201" s="34">
        <f t="shared" si="188"/>
        <v>0</v>
      </c>
      <c r="AZ201" s="34">
        <v>0</v>
      </c>
      <c r="BA201" s="34">
        <v>0</v>
      </c>
      <c r="BB201" s="34">
        <v>0</v>
      </c>
      <c r="BC201" s="34">
        <v>0</v>
      </c>
    </row>
    <row r="202" spans="1:55" s="55" customFormat="1" ht="36.75" customHeight="1" x14ac:dyDescent="0.25">
      <c r="A202" s="110" t="s">
        <v>56</v>
      </c>
      <c r="B202" s="96" t="s">
        <v>508</v>
      </c>
      <c r="C202" s="99" t="s">
        <v>854</v>
      </c>
      <c r="D202" s="88">
        <v>0</v>
      </c>
      <c r="E202" s="29">
        <f t="shared" si="193"/>
        <v>6.6688799999999993E-2</v>
      </c>
      <c r="F202" s="29">
        <f t="shared" si="193"/>
        <v>0</v>
      </c>
      <c r="G202" s="29">
        <f t="shared" si="193"/>
        <v>6.5230271999999992E-2</v>
      </c>
      <c r="H202" s="29">
        <f t="shared" si="193"/>
        <v>1.4585280000000002E-3</v>
      </c>
      <c r="I202" s="29">
        <f t="shared" si="194"/>
        <v>0</v>
      </c>
      <c r="J202" s="29">
        <f t="shared" si="192"/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f t="shared" si="189"/>
        <v>1.5168000000000001E-2</v>
      </c>
      <c r="P202" s="29">
        <v>0</v>
      </c>
      <c r="Q202" s="29">
        <v>1.3709472E-2</v>
      </c>
      <c r="R202" s="29">
        <v>1.4585280000000002E-3</v>
      </c>
      <c r="S202" s="29">
        <v>0</v>
      </c>
      <c r="T202" s="30">
        <f t="shared" si="184"/>
        <v>0</v>
      </c>
      <c r="U202" s="30">
        <v>0</v>
      </c>
      <c r="V202" s="30">
        <v>0</v>
      </c>
      <c r="W202" s="30">
        <v>0</v>
      </c>
      <c r="X202" s="30">
        <v>0</v>
      </c>
      <c r="Y202" s="30">
        <f t="shared" si="185"/>
        <v>5.1520799999999992E-2</v>
      </c>
      <c r="Z202" s="30">
        <v>0</v>
      </c>
      <c r="AA202" s="30">
        <v>5.1520799999999992E-2</v>
      </c>
      <c r="AB202" s="30">
        <v>0</v>
      </c>
      <c r="AC202" s="34">
        <v>0</v>
      </c>
      <c r="AD202" s="36">
        <v>0</v>
      </c>
      <c r="AE202" s="36">
        <f t="shared" si="195"/>
        <v>1.264E-2</v>
      </c>
      <c r="AF202" s="36">
        <f t="shared" si="195"/>
        <v>0</v>
      </c>
      <c r="AG202" s="36">
        <f t="shared" si="195"/>
        <v>1.142456E-2</v>
      </c>
      <c r="AH202" s="36">
        <f t="shared" si="195"/>
        <v>1.2154400000000001E-3</v>
      </c>
      <c r="AI202" s="36">
        <f t="shared" si="196"/>
        <v>0</v>
      </c>
      <c r="AJ202" s="36">
        <f t="shared" si="191"/>
        <v>0</v>
      </c>
      <c r="AK202" s="36">
        <v>0</v>
      </c>
      <c r="AL202" s="36">
        <v>0</v>
      </c>
      <c r="AM202" s="36">
        <v>0</v>
      </c>
      <c r="AN202" s="36">
        <v>0</v>
      </c>
      <c r="AO202" s="34">
        <f t="shared" si="190"/>
        <v>1.264E-2</v>
      </c>
      <c r="AP202" s="34">
        <v>0</v>
      </c>
      <c r="AQ202" s="34">
        <v>1.142456E-2</v>
      </c>
      <c r="AR202" s="34">
        <v>1.2154400000000001E-3</v>
      </c>
      <c r="AS202" s="34">
        <v>0</v>
      </c>
      <c r="AT202" s="34">
        <f t="shared" si="187"/>
        <v>0</v>
      </c>
      <c r="AU202" s="34">
        <v>0</v>
      </c>
      <c r="AV202" s="34">
        <v>0</v>
      </c>
      <c r="AW202" s="34">
        <v>0</v>
      </c>
      <c r="AX202" s="34">
        <v>0</v>
      </c>
      <c r="AY202" s="34">
        <f t="shared" si="188"/>
        <v>0</v>
      </c>
      <c r="AZ202" s="34">
        <v>0</v>
      </c>
      <c r="BA202" s="34">
        <v>0</v>
      </c>
      <c r="BB202" s="34">
        <v>0</v>
      </c>
      <c r="BC202" s="34">
        <v>0</v>
      </c>
    </row>
    <row r="203" spans="1:55" s="55" customFormat="1" ht="36.75" customHeight="1" x14ac:dyDescent="0.25">
      <c r="A203" s="110" t="s">
        <v>56</v>
      </c>
      <c r="B203" s="96" t="s">
        <v>628</v>
      </c>
      <c r="C203" s="99" t="s">
        <v>633</v>
      </c>
      <c r="D203" s="88">
        <v>0</v>
      </c>
      <c r="E203" s="29">
        <f t="shared" si="193"/>
        <v>0.244349496</v>
      </c>
      <c r="F203" s="29">
        <f t="shared" si="193"/>
        <v>0</v>
      </c>
      <c r="G203" s="29">
        <f t="shared" si="193"/>
        <v>1.9559279999999996E-3</v>
      </c>
      <c r="H203" s="29">
        <f t="shared" si="193"/>
        <v>0.242393568</v>
      </c>
      <c r="I203" s="29">
        <f t="shared" si="194"/>
        <v>0</v>
      </c>
      <c r="J203" s="29">
        <f t="shared" si="192"/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9">
        <v>0</v>
      </c>
      <c r="R203" s="29">
        <v>0</v>
      </c>
      <c r="S203" s="29">
        <v>0</v>
      </c>
      <c r="T203" s="30">
        <f t="shared" si="184"/>
        <v>0.244349496</v>
      </c>
      <c r="U203" s="30">
        <v>0</v>
      </c>
      <c r="V203" s="30">
        <v>1.9559279999999996E-3</v>
      </c>
      <c r="W203" s="30">
        <v>0.242393568</v>
      </c>
      <c r="X203" s="30">
        <v>0</v>
      </c>
      <c r="Y203" s="30">
        <f t="shared" si="185"/>
        <v>0</v>
      </c>
      <c r="Z203" s="30">
        <v>0</v>
      </c>
      <c r="AA203" s="30">
        <v>0</v>
      </c>
      <c r="AB203" s="30">
        <v>0</v>
      </c>
      <c r="AC203" s="34">
        <v>0</v>
      </c>
      <c r="AD203" s="36">
        <v>0</v>
      </c>
      <c r="AE203" s="36">
        <f t="shared" si="195"/>
        <v>0.20362458</v>
      </c>
      <c r="AF203" s="36">
        <f t="shared" si="195"/>
        <v>0</v>
      </c>
      <c r="AG203" s="36">
        <f t="shared" si="195"/>
        <v>1.6299399999999999E-3</v>
      </c>
      <c r="AH203" s="36">
        <f t="shared" si="195"/>
        <v>0.20199464</v>
      </c>
      <c r="AI203" s="36">
        <f t="shared" si="196"/>
        <v>0</v>
      </c>
      <c r="AJ203" s="36">
        <v>0</v>
      </c>
      <c r="AK203" s="36">
        <v>0</v>
      </c>
      <c r="AL203" s="36">
        <v>0</v>
      </c>
      <c r="AM203" s="36">
        <v>0</v>
      </c>
      <c r="AN203" s="36">
        <v>0</v>
      </c>
      <c r="AO203" s="36">
        <v>0</v>
      </c>
      <c r="AP203" s="36">
        <v>0</v>
      </c>
      <c r="AQ203" s="36">
        <v>0</v>
      </c>
      <c r="AR203" s="36">
        <v>0</v>
      </c>
      <c r="AS203" s="36">
        <v>0</v>
      </c>
      <c r="AT203" s="34">
        <f t="shared" si="187"/>
        <v>0.20362458</v>
      </c>
      <c r="AU203" s="34">
        <v>0</v>
      </c>
      <c r="AV203" s="34">
        <v>1.6299399999999999E-3</v>
      </c>
      <c r="AW203" s="34">
        <v>0.20199464</v>
      </c>
      <c r="AX203" s="34">
        <v>0</v>
      </c>
      <c r="AY203" s="34">
        <f t="shared" si="188"/>
        <v>0</v>
      </c>
      <c r="AZ203" s="34">
        <v>0</v>
      </c>
      <c r="BA203" s="34">
        <v>0</v>
      </c>
      <c r="BB203" s="34">
        <v>0</v>
      </c>
      <c r="BC203" s="34">
        <v>0</v>
      </c>
    </row>
    <row r="204" spans="1:55" s="55" customFormat="1" ht="36.75" customHeight="1" x14ac:dyDescent="0.25">
      <c r="A204" s="110" t="s">
        <v>56</v>
      </c>
      <c r="B204" s="96" t="s">
        <v>629</v>
      </c>
      <c r="C204" s="99" t="s">
        <v>855</v>
      </c>
      <c r="D204" s="88">
        <v>0</v>
      </c>
      <c r="E204" s="29">
        <f t="shared" si="193"/>
        <v>0.25771111200000002</v>
      </c>
      <c r="F204" s="29">
        <f t="shared" si="193"/>
        <v>0</v>
      </c>
      <c r="G204" s="29">
        <f t="shared" si="193"/>
        <v>1.6801632E-2</v>
      </c>
      <c r="H204" s="29">
        <f t="shared" si="193"/>
        <v>0.24090948000000001</v>
      </c>
      <c r="I204" s="29">
        <f t="shared" si="194"/>
        <v>0</v>
      </c>
      <c r="J204" s="29">
        <f t="shared" si="192"/>
        <v>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30">
        <f t="shared" si="184"/>
        <v>0.25771111200000002</v>
      </c>
      <c r="U204" s="30">
        <v>0</v>
      </c>
      <c r="V204" s="30">
        <v>1.6801632E-2</v>
      </c>
      <c r="W204" s="30">
        <v>0.24090948000000001</v>
      </c>
      <c r="X204" s="30">
        <v>0</v>
      </c>
      <c r="Y204" s="30">
        <f t="shared" si="185"/>
        <v>0</v>
      </c>
      <c r="Z204" s="30">
        <v>0</v>
      </c>
      <c r="AA204" s="30">
        <v>0</v>
      </c>
      <c r="AB204" s="30">
        <v>0</v>
      </c>
      <c r="AC204" s="34">
        <v>0</v>
      </c>
      <c r="AD204" s="36">
        <v>0</v>
      </c>
      <c r="AE204" s="36">
        <f t="shared" si="195"/>
        <v>0.21475926000000001</v>
      </c>
      <c r="AF204" s="36">
        <f t="shared" si="195"/>
        <v>0</v>
      </c>
      <c r="AG204" s="36">
        <f t="shared" si="195"/>
        <v>1.4001360000000001E-2</v>
      </c>
      <c r="AH204" s="36">
        <f t="shared" si="195"/>
        <v>0.20075790000000002</v>
      </c>
      <c r="AI204" s="36">
        <f t="shared" si="196"/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4">
        <v>0</v>
      </c>
      <c r="AP204" s="34">
        <v>0</v>
      </c>
      <c r="AQ204" s="34">
        <v>0</v>
      </c>
      <c r="AR204" s="34">
        <v>0</v>
      </c>
      <c r="AS204" s="34">
        <v>0</v>
      </c>
      <c r="AT204" s="34">
        <f t="shared" si="187"/>
        <v>0.21475926000000001</v>
      </c>
      <c r="AU204" s="34">
        <v>0</v>
      </c>
      <c r="AV204" s="34">
        <v>1.4001360000000001E-2</v>
      </c>
      <c r="AW204" s="34">
        <v>0.20075790000000002</v>
      </c>
      <c r="AX204" s="34">
        <v>0</v>
      </c>
      <c r="AY204" s="34">
        <f t="shared" si="188"/>
        <v>0</v>
      </c>
      <c r="AZ204" s="34">
        <v>0</v>
      </c>
      <c r="BA204" s="34">
        <v>0</v>
      </c>
      <c r="BB204" s="34">
        <v>0</v>
      </c>
      <c r="BC204" s="34">
        <v>0</v>
      </c>
    </row>
    <row r="205" spans="1:55" s="55" customFormat="1" ht="36.75" customHeight="1" x14ac:dyDescent="0.25">
      <c r="A205" s="110" t="s">
        <v>56</v>
      </c>
      <c r="B205" s="96" t="s">
        <v>630</v>
      </c>
      <c r="C205" s="99" t="s">
        <v>856</v>
      </c>
      <c r="D205" s="88">
        <v>0</v>
      </c>
      <c r="E205" s="29">
        <f t="shared" si="193"/>
        <v>0.56044833599999999</v>
      </c>
      <c r="F205" s="29">
        <f t="shared" si="193"/>
        <v>0</v>
      </c>
      <c r="G205" s="29">
        <f t="shared" si="193"/>
        <v>7.9485119999999996E-3</v>
      </c>
      <c r="H205" s="29">
        <f t="shared" si="193"/>
        <v>0.55249982399999997</v>
      </c>
      <c r="I205" s="29">
        <f t="shared" si="194"/>
        <v>0</v>
      </c>
      <c r="J205" s="29">
        <f t="shared" si="192"/>
        <v>0</v>
      </c>
      <c r="K205" s="29">
        <v>0</v>
      </c>
      <c r="L205" s="29">
        <v>0</v>
      </c>
      <c r="M205" s="29">
        <v>0</v>
      </c>
      <c r="N205" s="29">
        <v>0</v>
      </c>
      <c r="O205" s="29">
        <v>0</v>
      </c>
      <c r="P205" s="29">
        <v>0</v>
      </c>
      <c r="Q205" s="29">
        <v>0</v>
      </c>
      <c r="R205" s="29">
        <v>0</v>
      </c>
      <c r="S205" s="29">
        <v>0</v>
      </c>
      <c r="T205" s="30">
        <f t="shared" si="184"/>
        <v>0.56044833599999999</v>
      </c>
      <c r="U205" s="30">
        <v>0</v>
      </c>
      <c r="V205" s="30">
        <v>7.9485119999999996E-3</v>
      </c>
      <c r="W205" s="30">
        <v>0.55249982399999997</v>
      </c>
      <c r="X205" s="30">
        <v>0</v>
      </c>
      <c r="Y205" s="30">
        <f t="shared" si="185"/>
        <v>0</v>
      </c>
      <c r="Z205" s="30">
        <v>0</v>
      </c>
      <c r="AA205" s="30">
        <v>0</v>
      </c>
      <c r="AB205" s="30">
        <v>0</v>
      </c>
      <c r="AC205" s="34">
        <v>0</v>
      </c>
      <c r="AD205" s="36">
        <v>0</v>
      </c>
      <c r="AE205" s="36">
        <f t="shared" si="195"/>
        <v>0.46704027999999997</v>
      </c>
      <c r="AF205" s="36">
        <f t="shared" si="195"/>
        <v>0</v>
      </c>
      <c r="AG205" s="36">
        <f t="shared" si="195"/>
        <v>6.6237600000000002E-3</v>
      </c>
      <c r="AH205" s="36">
        <f t="shared" si="195"/>
        <v>0.46041652</v>
      </c>
      <c r="AI205" s="36">
        <f t="shared" si="196"/>
        <v>0</v>
      </c>
      <c r="AJ205" s="36">
        <v>0</v>
      </c>
      <c r="AK205" s="36">
        <v>0</v>
      </c>
      <c r="AL205" s="36">
        <v>0</v>
      </c>
      <c r="AM205" s="36">
        <v>0</v>
      </c>
      <c r="AN205" s="36">
        <v>0</v>
      </c>
      <c r="AO205" s="34">
        <v>0</v>
      </c>
      <c r="AP205" s="34">
        <v>0</v>
      </c>
      <c r="AQ205" s="34">
        <v>0</v>
      </c>
      <c r="AR205" s="34">
        <v>0</v>
      </c>
      <c r="AS205" s="34">
        <v>0</v>
      </c>
      <c r="AT205" s="34">
        <f t="shared" si="187"/>
        <v>0.46704027999999997</v>
      </c>
      <c r="AU205" s="34">
        <v>0</v>
      </c>
      <c r="AV205" s="34">
        <v>6.6237600000000002E-3</v>
      </c>
      <c r="AW205" s="34">
        <v>0.46041652</v>
      </c>
      <c r="AX205" s="34">
        <v>0</v>
      </c>
      <c r="AY205" s="34">
        <f t="shared" si="188"/>
        <v>0</v>
      </c>
      <c r="AZ205" s="34">
        <v>0</v>
      </c>
      <c r="BA205" s="34">
        <v>0</v>
      </c>
      <c r="BB205" s="34">
        <v>0</v>
      </c>
      <c r="BC205" s="34">
        <v>0</v>
      </c>
    </row>
    <row r="206" spans="1:55" s="55" customFormat="1" ht="36.75" customHeight="1" x14ac:dyDescent="0.25">
      <c r="A206" s="110" t="s">
        <v>56</v>
      </c>
      <c r="B206" s="96" t="s">
        <v>632</v>
      </c>
      <c r="C206" s="99" t="s">
        <v>857</v>
      </c>
      <c r="D206" s="88">
        <v>0</v>
      </c>
      <c r="E206" s="29">
        <f t="shared" si="193"/>
        <v>0.48903737999999997</v>
      </c>
      <c r="F206" s="29">
        <f t="shared" si="193"/>
        <v>0</v>
      </c>
      <c r="G206" s="29">
        <f t="shared" si="193"/>
        <v>1.0230743999999998E-2</v>
      </c>
      <c r="H206" s="29">
        <f t="shared" si="193"/>
        <v>0.47880663599999995</v>
      </c>
      <c r="I206" s="29">
        <f t="shared" si="194"/>
        <v>0</v>
      </c>
      <c r="J206" s="29">
        <f t="shared" si="192"/>
        <v>0</v>
      </c>
      <c r="K206" s="29">
        <v>0</v>
      </c>
      <c r="L206" s="29">
        <v>0</v>
      </c>
      <c r="M206" s="29">
        <v>0</v>
      </c>
      <c r="N206" s="29">
        <v>0</v>
      </c>
      <c r="O206" s="29">
        <v>0</v>
      </c>
      <c r="P206" s="29">
        <v>0</v>
      </c>
      <c r="Q206" s="29">
        <v>0</v>
      </c>
      <c r="R206" s="29">
        <v>0</v>
      </c>
      <c r="S206" s="29">
        <v>0</v>
      </c>
      <c r="T206" s="30">
        <f t="shared" si="184"/>
        <v>0.48903737999999997</v>
      </c>
      <c r="U206" s="30">
        <v>0</v>
      </c>
      <c r="V206" s="30">
        <v>1.0230743999999998E-2</v>
      </c>
      <c r="W206" s="30">
        <v>0.47880663599999995</v>
      </c>
      <c r="X206" s="30">
        <v>0</v>
      </c>
      <c r="Y206" s="30">
        <f t="shared" si="185"/>
        <v>0</v>
      </c>
      <c r="Z206" s="30">
        <v>0</v>
      </c>
      <c r="AA206" s="30">
        <v>0</v>
      </c>
      <c r="AB206" s="30">
        <v>0</v>
      </c>
      <c r="AC206" s="34">
        <v>0</v>
      </c>
      <c r="AD206" s="36">
        <v>0</v>
      </c>
      <c r="AE206" s="36">
        <f t="shared" si="195"/>
        <v>0.40753115000000001</v>
      </c>
      <c r="AF206" s="36">
        <f t="shared" si="195"/>
        <v>0</v>
      </c>
      <c r="AG206" s="36">
        <f t="shared" si="195"/>
        <v>0</v>
      </c>
      <c r="AH206" s="36">
        <f t="shared" si="195"/>
        <v>0.40753115000000001</v>
      </c>
      <c r="AI206" s="36">
        <f t="shared" si="196"/>
        <v>0</v>
      </c>
      <c r="AJ206" s="36">
        <v>0</v>
      </c>
      <c r="AK206" s="36">
        <v>0</v>
      </c>
      <c r="AL206" s="36">
        <v>0</v>
      </c>
      <c r="AM206" s="36">
        <v>0</v>
      </c>
      <c r="AN206" s="36">
        <v>0</v>
      </c>
      <c r="AO206" s="34">
        <v>0</v>
      </c>
      <c r="AP206" s="34">
        <v>0</v>
      </c>
      <c r="AQ206" s="34">
        <v>0</v>
      </c>
      <c r="AR206" s="34">
        <v>0</v>
      </c>
      <c r="AS206" s="34">
        <v>0</v>
      </c>
      <c r="AT206" s="34">
        <f t="shared" si="187"/>
        <v>0.40753115000000001</v>
      </c>
      <c r="AU206" s="34">
        <v>0</v>
      </c>
      <c r="AV206" s="34">
        <v>0</v>
      </c>
      <c r="AW206" s="34">
        <v>0.40753115000000001</v>
      </c>
      <c r="AX206" s="34">
        <v>0</v>
      </c>
      <c r="AY206" s="34">
        <f t="shared" si="188"/>
        <v>0</v>
      </c>
      <c r="AZ206" s="34">
        <v>0</v>
      </c>
      <c r="BA206" s="34">
        <v>0</v>
      </c>
      <c r="BB206" s="34">
        <v>0</v>
      </c>
      <c r="BC206" s="34">
        <v>0</v>
      </c>
    </row>
    <row r="207" spans="1:55" s="55" customFormat="1" ht="36.75" customHeight="1" x14ac:dyDescent="0.25">
      <c r="A207" s="110" t="s">
        <v>56</v>
      </c>
      <c r="B207" s="96" t="s">
        <v>716</v>
      </c>
      <c r="C207" s="99" t="s">
        <v>717</v>
      </c>
      <c r="D207" s="88">
        <v>0</v>
      </c>
      <c r="E207" s="29">
        <f t="shared" si="193"/>
        <v>0.250977432</v>
      </c>
      <c r="F207" s="29">
        <f t="shared" si="193"/>
        <v>0</v>
      </c>
      <c r="G207" s="29">
        <f t="shared" si="193"/>
        <v>1.148394E-2</v>
      </c>
      <c r="H207" s="29">
        <f t="shared" si="193"/>
        <v>0.239493492</v>
      </c>
      <c r="I207" s="29">
        <f t="shared" si="194"/>
        <v>0</v>
      </c>
      <c r="J207" s="29">
        <f t="shared" si="192"/>
        <v>0</v>
      </c>
      <c r="K207" s="29">
        <v>0</v>
      </c>
      <c r="L207" s="29">
        <v>0</v>
      </c>
      <c r="M207" s="29">
        <v>0</v>
      </c>
      <c r="N207" s="29">
        <v>0</v>
      </c>
      <c r="O207" s="29">
        <v>0</v>
      </c>
      <c r="P207" s="29">
        <v>0</v>
      </c>
      <c r="Q207" s="29">
        <v>0</v>
      </c>
      <c r="R207" s="29">
        <v>0</v>
      </c>
      <c r="S207" s="29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f t="shared" si="185"/>
        <v>0.250977432</v>
      </c>
      <c r="Z207" s="30">
        <v>0</v>
      </c>
      <c r="AA207" s="30">
        <v>1.148394E-2</v>
      </c>
      <c r="AB207" s="30">
        <v>0.239493492</v>
      </c>
      <c r="AC207" s="34">
        <v>0</v>
      </c>
      <c r="AD207" s="36">
        <v>0</v>
      </c>
      <c r="AE207" s="36">
        <f t="shared" si="195"/>
        <v>0.20914785999999996</v>
      </c>
      <c r="AF207" s="36">
        <f t="shared" si="195"/>
        <v>0</v>
      </c>
      <c r="AG207" s="36">
        <f t="shared" si="195"/>
        <v>9.5699500000000007E-3</v>
      </c>
      <c r="AH207" s="36">
        <f t="shared" si="195"/>
        <v>0.19957790999999997</v>
      </c>
      <c r="AI207" s="36">
        <f t="shared" si="196"/>
        <v>0</v>
      </c>
      <c r="AJ207" s="36">
        <v>0</v>
      </c>
      <c r="AK207" s="36">
        <v>0</v>
      </c>
      <c r="AL207" s="36">
        <v>0</v>
      </c>
      <c r="AM207" s="36">
        <v>0</v>
      </c>
      <c r="AN207" s="36">
        <v>0</v>
      </c>
      <c r="AO207" s="34">
        <v>0</v>
      </c>
      <c r="AP207" s="34">
        <v>0</v>
      </c>
      <c r="AQ207" s="34">
        <v>0</v>
      </c>
      <c r="AR207" s="34">
        <v>0</v>
      </c>
      <c r="AS207" s="34">
        <v>0</v>
      </c>
      <c r="AT207" s="34">
        <v>0</v>
      </c>
      <c r="AU207" s="34">
        <v>0</v>
      </c>
      <c r="AV207" s="34">
        <v>0</v>
      </c>
      <c r="AW207" s="34">
        <v>0</v>
      </c>
      <c r="AX207" s="34">
        <v>0</v>
      </c>
      <c r="AY207" s="34">
        <f t="shared" si="188"/>
        <v>0.20914785999999996</v>
      </c>
      <c r="AZ207" s="34">
        <v>0</v>
      </c>
      <c r="BA207" s="34">
        <v>9.5699500000000007E-3</v>
      </c>
      <c r="BB207" s="34">
        <v>0.19957790999999997</v>
      </c>
      <c r="BC207" s="34">
        <v>0</v>
      </c>
    </row>
    <row r="208" spans="1:55" s="55" customFormat="1" ht="36.75" customHeight="1" x14ac:dyDescent="0.25">
      <c r="A208" s="110" t="s">
        <v>56</v>
      </c>
      <c r="B208" s="96" t="s">
        <v>718</v>
      </c>
      <c r="C208" s="99" t="s">
        <v>719</v>
      </c>
      <c r="D208" s="88">
        <v>0</v>
      </c>
      <c r="E208" s="29">
        <f t="shared" si="193"/>
        <v>0.243759216</v>
      </c>
      <c r="F208" s="29">
        <f t="shared" si="193"/>
        <v>0</v>
      </c>
      <c r="G208" s="29">
        <f t="shared" si="193"/>
        <v>3.7000799999999997E-3</v>
      </c>
      <c r="H208" s="29">
        <f t="shared" si="193"/>
        <v>0.24005913600000001</v>
      </c>
      <c r="I208" s="29">
        <f t="shared" si="194"/>
        <v>0</v>
      </c>
      <c r="J208" s="29">
        <f t="shared" si="192"/>
        <v>0</v>
      </c>
      <c r="K208" s="29">
        <v>0</v>
      </c>
      <c r="L208" s="29">
        <v>0</v>
      </c>
      <c r="M208" s="29">
        <v>0</v>
      </c>
      <c r="N208" s="29">
        <v>0</v>
      </c>
      <c r="O208" s="29">
        <v>0</v>
      </c>
      <c r="P208" s="29">
        <v>0</v>
      </c>
      <c r="Q208" s="29">
        <v>0</v>
      </c>
      <c r="R208" s="29">
        <v>0</v>
      </c>
      <c r="S208" s="29">
        <v>0</v>
      </c>
      <c r="T208" s="30">
        <v>0</v>
      </c>
      <c r="U208" s="30">
        <v>0</v>
      </c>
      <c r="V208" s="30">
        <v>0</v>
      </c>
      <c r="W208" s="30">
        <v>0</v>
      </c>
      <c r="X208" s="30">
        <v>0</v>
      </c>
      <c r="Y208" s="30">
        <f t="shared" si="185"/>
        <v>0.243759216</v>
      </c>
      <c r="Z208" s="30">
        <v>0</v>
      </c>
      <c r="AA208" s="30">
        <v>3.7000799999999997E-3</v>
      </c>
      <c r="AB208" s="30">
        <v>0.24005913600000001</v>
      </c>
      <c r="AC208" s="34">
        <v>0</v>
      </c>
      <c r="AD208" s="36">
        <v>0</v>
      </c>
      <c r="AE208" s="36">
        <f t="shared" si="195"/>
        <v>0.20313268000000001</v>
      </c>
      <c r="AF208" s="36">
        <f t="shared" si="195"/>
        <v>0</v>
      </c>
      <c r="AG208" s="36">
        <f t="shared" si="195"/>
        <v>3.0834E-3</v>
      </c>
      <c r="AH208" s="36">
        <f t="shared" si="195"/>
        <v>0.20004928000000002</v>
      </c>
      <c r="AI208" s="36">
        <f t="shared" si="196"/>
        <v>0</v>
      </c>
      <c r="AJ208" s="36">
        <v>0</v>
      </c>
      <c r="AK208" s="36">
        <v>0</v>
      </c>
      <c r="AL208" s="36">
        <v>0</v>
      </c>
      <c r="AM208" s="36">
        <v>0</v>
      </c>
      <c r="AN208" s="36">
        <v>0</v>
      </c>
      <c r="AO208" s="34">
        <v>0</v>
      </c>
      <c r="AP208" s="34">
        <v>0</v>
      </c>
      <c r="AQ208" s="34">
        <v>0</v>
      </c>
      <c r="AR208" s="34">
        <v>0</v>
      </c>
      <c r="AS208" s="34">
        <v>0</v>
      </c>
      <c r="AT208" s="34">
        <v>0</v>
      </c>
      <c r="AU208" s="34">
        <v>0</v>
      </c>
      <c r="AV208" s="34">
        <v>0</v>
      </c>
      <c r="AW208" s="34">
        <v>0</v>
      </c>
      <c r="AX208" s="34">
        <v>0</v>
      </c>
      <c r="AY208" s="34">
        <f t="shared" si="188"/>
        <v>0.20313268000000001</v>
      </c>
      <c r="AZ208" s="34">
        <v>0</v>
      </c>
      <c r="BA208" s="34">
        <v>3.0834E-3</v>
      </c>
      <c r="BB208" s="34">
        <v>0.20004928000000002</v>
      </c>
      <c r="BC208" s="34">
        <v>0</v>
      </c>
    </row>
    <row r="209" spans="1:55" s="55" customFormat="1" ht="36.75" customHeight="1" x14ac:dyDescent="0.25">
      <c r="A209" s="110" t="s">
        <v>56</v>
      </c>
      <c r="B209" s="96" t="s">
        <v>720</v>
      </c>
      <c r="C209" s="99" t="s">
        <v>721</v>
      </c>
      <c r="D209" s="88">
        <v>0</v>
      </c>
      <c r="E209" s="29">
        <f t="shared" si="193"/>
        <v>0.49222372799999997</v>
      </c>
      <c r="F209" s="29">
        <f t="shared" si="193"/>
        <v>0</v>
      </c>
      <c r="G209" s="29">
        <f t="shared" si="193"/>
        <v>0</v>
      </c>
      <c r="H209" s="29">
        <f t="shared" si="193"/>
        <v>0.49222372799999997</v>
      </c>
      <c r="I209" s="29">
        <f t="shared" si="194"/>
        <v>0</v>
      </c>
      <c r="J209" s="29">
        <f t="shared" si="192"/>
        <v>0</v>
      </c>
      <c r="K209" s="29">
        <v>0</v>
      </c>
      <c r="L209" s="29">
        <v>0</v>
      </c>
      <c r="M209" s="29">
        <v>0</v>
      </c>
      <c r="N209" s="29">
        <v>0</v>
      </c>
      <c r="O209" s="29">
        <v>0</v>
      </c>
      <c r="P209" s="29">
        <v>0</v>
      </c>
      <c r="Q209" s="29">
        <v>0</v>
      </c>
      <c r="R209" s="29">
        <v>0</v>
      </c>
      <c r="S209" s="29">
        <v>0</v>
      </c>
      <c r="T209" s="30">
        <v>0</v>
      </c>
      <c r="U209" s="30">
        <v>0</v>
      </c>
      <c r="V209" s="30">
        <v>0</v>
      </c>
      <c r="W209" s="30">
        <v>0</v>
      </c>
      <c r="X209" s="30">
        <v>0</v>
      </c>
      <c r="Y209" s="30">
        <f t="shared" si="185"/>
        <v>0.49222372799999997</v>
      </c>
      <c r="Z209" s="30">
        <v>0</v>
      </c>
      <c r="AA209" s="30">
        <v>0</v>
      </c>
      <c r="AB209" s="30">
        <v>0.49222372799999997</v>
      </c>
      <c r="AC209" s="34">
        <v>0</v>
      </c>
      <c r="AD209" s="36">
        <v>0</v>
      </c>
      <c r="AE209" s="36">
        <f t="shared" si="195"/>
        <v>0</v>
      </c>
      <c r="AF209" s="36">
        <f t="shared" si="195"/>
        <v>0</v>
      </c>
      <c r="AG209" s="36">
        <f t="shared" si="195"/>
        <v>0</v>
      </c>
      <c r="AH209" s="36">
        <f t="shared" si="195"/>
        <v>0</v>
      </c>
      <c r="AI209" s="36">
        <f t="shared" si="196"/>
        <v>0</v>
      </c>
      <c r="AJ209" s="36">
        <v>0</v>
      </c>
      <c r="AK209" s="36">
        <v>0</v>
      </c>
      <c r="AL209" s="36">
        <v>0</v>
      </c>
      <c r="AM209" s="36">
        <v>0</v>
      </c>
      <c r="AN209" s="36">
        <v>0</v>
      </c>
      <c r="AO209" s="34">
        <v>0</v>
      </c>
      <c r="AP209" s="34">
        <v>0</v>
      </c>
      <c r="AQ209" s="34">
        <v>0</v>
      </c>
      <c r="AR209" s="34">
        <v>0</v>
      </c>
      <c r="AS209" s="34">
        <v>0</v>
      </c>
      <c r="AT209" s="34">
        <v>0</v>
      </c>
      <c r="AU209" s="34">
        <v>0</v>
      </c>
      <c r="AV209" s="34">
        <v>0</v>
      </c>
      <c r="AW209" s="34">
        <v>0</v>
      </c>
      <c r="AX209" s="34">
        <v>0</v>
      </c>
      <c r="AY209" s="34">
        <f t="shared" si="188"/>
        <v>0</v>
      </c>
      <c r="AZ209" s="34">
        <v>0</v>
      </c>
      <c r="BA209" s="34">
        <v>0</v>
      </c>
      <c r="BB209" s="34">
        <v>0</v>
      </c>
      <c r="BC209" s="34"/>
    </row>
    <row r="210" spans="1:55" s="55" customFormat="1" ht="36.75" customHeight="1" x14ac:dyDescent="0.25">
      <c r="A210" s="110" t="s">
        <v>56</v>
      </c>
      <c r="B210" s="96" t="s">
        <v>722</v>
      </c>
      <c r="C210" s="99" t="s">
        <v>723</v>
      </c>
      <c r="D210" s="88">
        <v>0</v>
      </c>
      <c r="E210" s="29">
        <f t="shared" si="193"/>
        <v>0.21532933199999998</v>
      </c>
      <c r="F210" s="29">
        <f t="shared" si="193"/>
        <v>0</v>
      </c>
      <c r="G210" s="29">
        <f t="shared" si="193"/>
        <v>8.1009959999999992E-3</v>
      </c>
      <c r="H210" s="29">
        <f t="shared" si="193"/>
        <v>0.20722833599999999</v>
      </c>
      <c r="I210" s="29">
        <f t="shared" si="194"/>
        <v>0</v>
      </c>
      <c r="J210" s="29">
        <f t="shared" si="192"/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v>0</v>
      </c>
      <c r="P210" s="29">
        <v>0</v>
      </c>
      <c r="Q210" s="29">
        <v>0</v>
      </c>
      <c r="R210" s="29">
        <v>0</v>
      </c>
      <c r="S210" s="29">
        <v>0</v>
      </c>
      <c r="T210" s="30">
        <v>0</v>
      </c>
      <c r="U210" s="30">
        <v>0</v>
      </c>
      <c r="V210" s="30">
        <v>0</v>
      </c>
      <c r="W210" s="30">
        <v>0</v>
      </c>
      <c r="X210" s="30">
        <v>0</v>
      </c>
      <c r="Y210" s="30">
        <f t="shared" si="185"/>
        <v>0.21532933199999998</v>
      </c>
      <c r="Z210" s="30">
        <v>0</v>
      </c>
      <c r="AA210" s="30">
        <v>8.1009959999999992E-3</v>
      </c>
      <c r="AB210" s="30">
        <v>0.20722833599999999</v>
      </c>
      <c r="AC210" s="34">
        <v>0</v>
      </c>
      <c r="AD210" s="36">
        <v>0</v>
      </c>
      <c r="AE210" s="36">
        <f t="shared" si="195"/>
        <v>0.17944111000000001</v>
      </c>
      <c r="AF210" s="36">
        <f t="shared" si="195"/>
        <v>0</v>
      </c>
      <c r="AG210" s="36">
        <f t="shared" si="195"/>
        <v>6.7508299999999993E-3</v>
      </c>
      <c r="AH210" s="36">
        <f t="shared" si="195"/>
        <v>0.17269028</v>
      </c>
      <c r="AI210" s="36">
        <f t="shared" si="196"/>
        <v>0</v>
      </c>
      <c r="AJ210" s="36">
        <v>0</v>
      </c>
      <c r="AK210" s="36">
        <v>0</v>
      </c>
      <c r="AL210" s="36">
        <v>0</v>
      </c>
      <c r="AM210" s="36">
        <v>0</v>
      </c>
      <c r="AN210" s="36">
        <v>0</v>
      </c>
      <c r="AO210" s="34">
        <v>0</v>
      </c>
      <c r="AP210" s="34">
        <v>0</v>
      </c>
      <c r="AQ210" s="34">
        <v>0</v>
      </c>
      <c r="AR210" s="34">
        <v>0</v>
      </c>
      <c r="AS210" s="34">
        <v>0</v>
      </c>
      <c r="AT210" s="34">
        <v>0</v>
      </c>
      <c r="AU210" s="34">
        <v>0</v>
      </c>
      <c r="AV210" s="34">
        <v>0</v>
      </c>
      <c r="AW210" s="34">
        <v>0</v>
      </c>
      <c r="AX210" s="34">
        <v>0</v>
      </c>
      <c r="AY210" s="34">
        <f t="shared" si="188"/>
        <v>0.17944111000000001</v>
      </c>
      <c r="AZ210" s="34">
        <v>0</v>
      </c>
      <c r="BA210" s="34">
        <v>6.7508299999999993E-3</v>
      </c>
      <c r="BB210" s="34">
        <v>0.17269028</v>
      </c>
      <c r="BC210" s="34">
        <v>0</v>
      </c>
    </row>
    <row r="211" spans="1:55" s="55" customFormat="1" ht="36.75" customHeight="1" x14ac:dyDescent="0.25">
      <c r="A211" s="31" t="s">
        <v>56</v>
      </c>
      <c r="B211" s="89" t="s">
        <v>229</v>
      </c>
      <c r="C211" s="90" t="s">
        <v>858</v>
      </c>
      <c r="D211" s="88">
        <v>3.8089785762711825</v>
      </c>
      <c r="E211" s="29">
        <f t="shared" si="193"/>
        <v>0</v>
      </c>
      <c r="F211" s="29">
        <f t="shared" si="193"/>
        <v>0</v>
      </c>
      <c r="G211" s="29">
        <f t="shared" si="193"/>
        <v>0</v>
      </c>
      <c r="H211" s="29">
        <f t="shared" si="193"/>
        <v>0</v>
      </c>
      <c r="I211" s="29">
        <f t="shared" si="194"/>
        <v>0</v>
      </c>
      <c r="J211" s="29">
        <f t="shared" si="192"/>
        <v>0</v>
      </c>
      <c r="K211" s="29">
        <v>0</v>
      </c>
      <c r="L211" s="29">
        <v>0</v>
      </c>
      <c r="M211" s="29">
        <v>0</v>
      </c>
      <c r="N211" s="29">
        <v>0</v>
      </c>
      <c r="O211" s="29">
        <f t="shared" si="189"/>
        <v>0</v>
      </c>
      <c r="P211" s="29">
        <v>0</v>
      </c>
      <c r="Q211" s="29">
        <v>0</v>
      </c>
      <c r="R211" s="29">
        <v>0</v>
      </c>
      <c r="S211" s="29">
        <v>0</v>
      </c>
      <c r="T211" s="30">
        <f t="shared" si="184"/>
        <v>0</v>
      </c>
      <c r="U211" s="30">
        <v>0</v>
      </c>
      <c r="V211" s="30">
        <v>0</v>
      </c>
      <c r="W211" s="30">
        <v>0</v>
      </c>
      <c r="X211" s="30">
        <v>0</v>
      </c>
      <c r="Y211" s="30">
        <f t="shared" si="185"/>
        <v>0</v>
      </c>
      <c r="Z211" s="30">
        <v>0</v>
      </c>
      <c r="AA211" s="30">
        <v>0</v>
      </c>
      <c r="AB211" s="30">
        <v>0</v>
      </c>
      <c r="AC211" s="34">
        <v>0</v>
      </c>
      <c r="AD211" s="36">
        <v>3.1741488135593188</v>
      </c>
      <c r="AE211" s="36">
        <f t="shared" si="195"/>
        <v>0</v>
      </c>
      <c r="AF211" s="36">
        <f t="shared" si="195"/>
        <v>0</v>
      </c>
      <c r="AG211" s="36">
        <f t="shared" si="195"/>
        <v>0</v>
      </c>
      <c r="AH211" s="36">
        <f t="shared" si="195"/>
        <v>0</v>
      </c>
      <c r="AI211" s="36">
        <f t="shared" si="196"/>
        <v>0</v>
      </c>
      <c r="AJ211" s="36">
        <f t="shared" si="191"/>
        <v>0</v>
      </c>
      <c r="AK211" s="36">
        <v>0</v>
      </c>
      <c r="AL211" s="36">
        <v>0</v>
      </c>
      <c r="AM211" s="36">
        <v>0</v>
      </c>
      <c r="AN211" s="36">
        <v>0</v>
      </c>
      <c r="AO211" s="34">
        <f t="shared" si="190"/>
        <v>0</v>
      </c>
      <c r="AP211" s="34">
        <v>0</v>
      </c>
      <c r="AQ211" s="34">
        <v>0</v>
      </c>
      <c r="AR211" s="34">
        <v>0</v>
      </c>
      <c r="AS211" s="34">
        <v>0</v>
      </c>
      <c r="AT211" s="34">
        <f t="shared" si="187"/>
        <v>0</v>
      </c>
      <c r="AU211" s="34">
        <v>0</v>
      </c>
      <c r="AV211" s="34">
        <v>0</v>
      </c>
      <c r="AW211" s="34">
        <v>0</v>
      </c>
      <c r="AX211" s="34">
        <v>0</v>
      </c>
      <c r="AY211" s="34">
        <f t="shared" si="188"/>
        <v>0</v>
      </c>
      <c r="AZ211" s="34">
        <v>0</v>
      </c>
      <c r="BA211" s="34">
        <v>0</v>
      </c>
      <c r="BB211" s="34">
        <v>0</v>
      </c>
      <c r="BC211" s="34">
        <v>0</v>
      </c>
    </row>
    <row r="212" spans="1:55" s="55" customFormat="1" ht="36.75" customHeight="1" x14ac:dyDescent="0.25">
      <c r="A212" s="110" t="s">
        <v>56</v>
      </c>
      <c r="B212" s="96" t="s">
        <v>513</v>
      </c>
      <c r="C212" s="99" t="s">
        <v>858</v>
      </c>
      <c r="D212" s="88">
        <v>0</v>
      </c>
      <c r="E212" s="29">
        <f t="shared" si="193"/>
        <v>0.34307949600000004</v>
      </c>
      <c r="F212" s="29">
        <f t="shared" si="193"/>
        <v>0</v>
      </c>
      <c r="G212" s="29">
        <f t="shared" si="193"/>
        <v>6.3279839999999992E-3</v>
      </c>
      <c r="H212" s="29">
        <f t="shared" si="193"/>
        <v>0.33675151200000003</v>
      </c>
      <c r="I212" s="29">
        <f t="shared" si="194"/>
        <v>0</v>
      </c>
      <c r="J212" s="29">
        <f t="shared" si="192"/>
        <v>0</v>
      </c>
      <c r="K212" s="29">
        <v>0</v>
      </c>
      <c r="L212" s="29">
        <v>0</v>
      </c>
      <c r="M212" s="29">
        <v>0</v>
      </c>
      <c r="N212" s="29">
        <v>0</v>
      </c>
      <c r="O212" s="29">
        <f t="shared" ref="O212:O213" si="197">P212+Q212+R212+S212</f>
        <v>0.34307949600000004</v>
      </c>
      <c r="P212" s="29">
        <v>0</v>
      </c>
      <c r="Q212" s="29">
        <v>6.3279839999999992E-3</v>
      </c>
      <c r="R212" s="29">
        <v>0.33675151200000003</v>
      </c>
      <c r="S212" s="29">
        <v>0</v>
      </c>
      <c r="T212" s="30">
        <f t="shared" si="184"/>
        <v>0</v>
      </c>
      <c r="U212" s="30">
        <v>0</v>
      </c>
      <c r="V212" s="30">
        <v>0</v>
      </c>
      <c r="W212" s="30">
        <v>0</v>
      </c>
      <c r="X212" s="30">
        <v>0</v>
      </c>
      <c r="Y212" s="30">
        <f t="shared" si="185"/>
        <v>0</v>
      </c>
      <c r="Z212" s="30">
        <v>0</v>
      </c>
      <c r="AA212" s="30">
        <v>0</v>
      </c>
      <c r="AB212" s="30">
        <v>0</v>
      </c>
      <c r="AC212" s="34">
        <v>0</v>
      </c>
      <c r="AD212" s="36">
        <v>0</v>
      </c>
      <c r="AE212" s="36">
        <f t="shared" si="195"/>
        <v>0.28589958000000004</v>
      </c>
      <c r="AF212" s="36">
        <f t="shared" si="195"/>
        <v>0</v>
      </c>
      <c r="AG212" s="36">
        <f t="shared" si="195"/>
        <v>5.2733199999999997E-3</v>
      </c>
      <c r="AH212" s="36">
        <f t="shared" si="195"/>
        <v>0.28062626000000002</v>
      </c>
      <c r="AI212" s="36">
        <f t="shared" si="196"/>
        <v>0</v>
      </c>
      <c r="AJ212" s="36">
        <f t="shared" ref="AJ212:AJ213" si="198">AK212+AL212+AM212+AN212</f>
        <v>0</v>
      </c>
      <c r="AK212" s="36">
        <v>0</v>
      </c>
      <c r="AL212" s="36">
        <v>0</v>
      </c>
      <c r="AM212" s="36">
        <v>0</v>
      </c>
      <c r="AN212" s="36">
        <v>0</v>
      </c>
      <c r="AO212" s="34">
        <f t="shared" ref="AO212:AO213" si="199">AP212+AQ212+AR212+AS212</f>
        <v>0.28589958000000004</v>
      </c>
      <c r="AP212" s="34">
        <v>0</v>
      </c>
      <c r="AQ212" s="34">
        <v>5.2733199999999997E-3</v>
      </c>
      <c r="AR212" s="34">
        <v>0.28062626000000002</v>
      </c>
      <c r="AS212" s="34">
        <v>0</v>
      </c>
      <c r="AT212" s="34">
        <f t="shared" si="187"/>
        <v>0</v>
      </c>
      <c r="AU212" s="34">
        <v>0</v>
      </c>
      <c r="AV212" s="34">
        <v>0</v>
      </c>
      <c r="AW212" s="34">
        <v>0</v>
      </c>
      <c r="AX212" s="34">
        <v>0</v>
      </c>
      <c r="AY212" s="34">
        <f t="shared" si="188"/>
        <v>0</v>
      </c>
      <c r="AZ212" s="34">
        <v>0</v>
      </c>
      <c r="BA212" s="34">
        <v>0</v>
      </c>
      <c r="BB212" s="34">
        <v>0</v>
      </c>
      <c r="BC212" s="34">
        <v>0</v>
      </c>
    </row>
    <row r="213" spans="1:55" s="55" customFormat="1" ht="36.75" customHeight="1" x14ac:dyDescent="0.25">
      <c r="A213" s="110" t="s">
        <v>56</v>
      </c>
      <c r="B213" s="96" t="s">
        <v>514</v>
      </c>
      <c r="C213" s="99" t="s">
        <v>859</v>
      </c>
      <c r="D213" s="88">
        <v>0</v>
      </c>
      <c r="E213" s="29">
        <f t="shared" si="193"/>
        <v>0.39507181199999997</v>
      </c>
      <c r="F213" s="29">
        <f t="shared" si="193"/>
        <v>0</v>
      </c>
      <c r="G213" s="29">
        <f t="shared" si="193"/>
        <v>6.2959679999999999E-3</v>
      </c>
      <c r="H213" s="29">
        <f t="shared" si="193"/>
        <v>0.38877584399999998</v>
      </c>
      <c r="I213" s="29">
        <f t="shared" si="194"/>
        <v>0</v>
      </c>
      <c r="J213" s="29">
        <f t="shared" si="192"/>
        <v>0</v>
      </c>
      <c r="K213" s="29">
        <v>0</v>
      </c>
      <c r="L213" s="29">
        <v>0</v>
      </c>
      <c r="M213" s="29">
        <v>0</v>
      </c>
      <c r="N213" s="29">
        <v>0</v>
      </c>
      <c r="O213" s="29">
        <f t="shared" si="197"/>
        <v>0.39507181199999997</v>
      </c>
      <c r="P213" s="29">
        <v>0</v>
      </c>
      <c r="Q213" s="29">
        <v>6.2959679999999999E-3</v>
      </c>
      <c r="R213" s="29">
        <v>0.38877584399999998</v>
      </c>
      <c r="S213" s="29">
        <v>0</v>
      </c>
      <c r="T213" s="30">
        <f t="shared" si="184"/>
        <v>0</v>
      </c>
      <c r="U213" s="30">
        <v>0</v>
      </c>
      <c r="V213" s="30">
        <v>0</v>
      </c>
      <c r="W213" s="30">
        <v>0</v>
      </c>
      <c r="X213" s="30">
        <v>0</v>
      </c>
      <c r="Y213" s="30">
        <f t="shared" si="185"/>
        <v>0</v>
      </c>
      <c r="Z213" s="30">
        <v>0</v>
      </c>
      <c r="AA213" s="30">
        <v>0</v>
      </c>
      <c r="AB213" s="30">
        <v>0</v>
      </c>
      <c r="AC213" s="34">
        <v>0</v>
      </c>
      <c r="AD213" s="36">
        <v>0</v>
      </c>
      <c r="AE213" s="36">
        <f t="shared" si="195"/>
        <v>0.32922651000000003</v>
      </c>
      <c r="AF213" s="36">
        <f t="shared" si="195"/>
        <v>0</v>
      </c>
      <c r="AG213" s="36">
        <f t="shared" si="195"/>
        <v>5.2466400000000003E-3</v>
      </c>
      <c r="AH213" s="36">
        <f t="shared" si="195"/>
        <v>0.32397987</v>
      </c>
      <c r="AI213" s="36">
        <f t="shared" si="196"/>
        <v>0</v>
      </c>
      <c r="AJ213" s="36">
        <f t="shared" si="198"/>
        <v>0</v>
      </c>
      <c r="AK213" s="36">
        <v>0</v>
      </c>
      <c r="AL213" s="36">
        <v>0</v>
      </c>
      <c r="AM213" s="36">
        <v>0</v>
      </c>
      <c r="AN213" s="36">
        <v>0</v>
      </c>
      <c r="AO213" s="34">
        <f t="shared" si="199"/>
        <v>0.32922651000000003</v>
      </c>
      <c r="AP213" s="34">
        <v>0</v>
      </c>
      <c r="AQ213" s="34">
        <v>5.2466400000000003E-3</v>
      </c>
      <c r="AR213" s="34">
        <v>0.32397987</v>
      </c>
      <c r="AS213" s="34">
        <v>0</v>
      </c>
      <c r="AT213" s="34">
        <f t="shared" si="187"/>
        <v>0</v>
      </c>
      <c r="AU213" s="34">
        <v>0</v>
      </c>
      <c r="AV213" s="34">
        <v>0</v>
      </c>
      <c r="AW213" s="34">
        <v>0</v>
      </c>
      <c r="AX213" s="34">
        <v>0</v>
      </c>
      <c r="AY213" s="34">
        <f t="shared" si="188"/>
        <v>0</v>
      </c>
      <c r="AZ213" s="34">
        <v>0</v>
      </c>
      <c r="BA213" s="34">
        <v>0</v>
      </c>
      <c r="BB213" s="34">
        <v>0</v>
      </c>
      <c r="BC213" s="34">
        <v>0</v>
      </c>
    </row>
    <row r="214" spans="1:55" s="55" customFormat="1" ht="36.75" customHeight="1" x14ac:dyDescent="0.25">
      <c r="A214" s="110" t="s">
        <v>56</v>
      </c>
      <c r="B214" s="96" t="s">
        <v>634</v>
      </c>
      <c r="C214" s="99" t="s">
        <v>860</v>
      </c>
      <c r="D214" s="88">
        <v>0</v>
      </c>
      <c r="E214" s="29">
        <f t="shared" si="193"/>
        <v>0.71531073599999995</v>
      </c>
      <c r="F214" s="29">
        <f t="shared" si="193"/>
        <v>0</v>
      </c>
      <c r="G214" s="29">
        <f t="shared" si="193"/>
        <v>1.1763216000000002E-2</v>
      </c>
      <c r="H214" s="29">
        <f t="shared" si="193"/>
        <v>0.70354751999999998</v>
      </c>
      <c r="I214" s="29">
        <f t="shared" si="194"/>
        <v>0</v>
      </c>
      <c r="J214" s="29">
        <f t="shared" si="192"/>
        <v>0</v>
      </c>
      <c r="K214" s="29">
        <v>0</v>
      </c>
      <c r="L214" s="29">
        <v>0</v>
      </c>
      <c r="M214" s="29">
        <v>0</v>
      </c>
      <c r="N214" s="29">
        <v>0</v>
      </c>
      <c r="O214" s="29">
        <v>0</v>
      </c>
      <c r="P214" s="29">
        <v>0</v>
      </c>
      <c r="Q214" s="29">
        <v>0</v>
      </c>
      <c r="R214" s="29">
        <v>0</v>
      </c>
      <c r="S214" s="29">
        <v>0</v>
      </c>
      <c r="T214" s="30">
        <f t="shared" si="184"/>
        <v>0.71531073599999995</v>
      </c>
      <c r="U214" s="30">
        <v>0</v>
      </c>
      <c r="V214" s="30">
        <v>1.1763216000000002E-2</v>
      </c>
      <c r="W214" s="30">
        <v>0.70354751999999998</v>
      </c>
      <c r="X214" s="30">
        <v>0</v>
      </c>
      <c r="Y214" s="30">
        <f t="shared" si="185"/>
        <v>0</v>
      </c>
      <c r="Z214" s="30">
        <v>0</v>
      </c>
      <c r="AA214" s="30">
        <v>0</v>
      </c>
      <c r="AB214" s="30">
        <v>0</v>
      </c>
      <c r="AC214" s="34">
        <v>0</v>
      </c>
      <c r="AD214" s="36">
        <v>0</v>
      </c>
      <c r="AE214" s="36">
        <f t="shared" si="195"/>
        <v>0.59609227999999992</v>
      </c>
      <c r="AF214" s="36">
        <f t="shared" si="195"/>
        <v>0</v>
      </c>
      <c r="AG214" s="36">
        <f t="shared" si="195"/>
        <v>9.8026800000000011E-3</v>
      </c>
      <c r="AH214" s="36">
        <f t="shared" si="195"/>
        <v>0.58628959999999997</v>
      </c>
      <c r="AI214" s="36">
        <f t="shared" si="196"/>
        <v>0</v>
      </c>
      <c r="AJ214" s="36">
        <v>0</v>
      </c>
      <c r="AK214" s="36">
        <v>0</v>
      </c>
      <c r="AL214" s="36">
        <v>0</v>
      </c>
      <c r="AM214" s="36">
        <v>0</v>
      </c>
      <c r="AN214" s="36">
        <v>0</v>
      </c>
      <c r="AO214" s="36">
        <v>0</v>
      </c>
      <c r="AP214" s="36">
        <v>0</v>
      </c>
      <c r="AQ214" s="36">
        <v>0</v>
      </c>
      <c r="AR214" s="36">
        <v>0</v>
      </c>
      <c r="AS214" s="36">
        <v>0</v>
      </c>
      <c r="AT214" s="34">
        <f t="shared" si="187"/>
        <v>0.59609227999999992</v>
      </c>
      <c r="AU214" s="34">
        <v>0</v>
      </c>
      <c r="AV214" s="34">
        <v>9.8026800000000011E-3</v>
      </c>
      <c r="AW214" s="34">
        <v>0.58628959999999997</v>
      </c>
      <c r="AX214" s="34">
        <v>0</v>
      </c>
      <c r="AY214" s="34">
        <f t="shared" si="188"/>
        <v>0</v>
      </c>
      <c r="AZ214" s="34">
        <v>0</v>
      </c>
      <c r="BA214" s="34">
        <v>0</v>
      </c>
      <c r="BB214" s="34">
        <v>0</v>
      </c>
      <c r="BC214" s="34">
        <v>0</v>
      </c>
    </row>
    <row r="215" spans="1:55" s="55" customFormat="1" ht="36.75" customHeight="1" x14ac:dyDescent="0.25">
      <c r="A215" s="110" t="s">
        <v>56</v>
      </c>
      <c r="B215" s="96" t="s">
        <v>724</v>
      </c>
      <c r="C215" s="99" t="s">
        <v>725</v>
      </c>
      <c r="D215" s="88">
        <v>0</v>
      </c>
      <c r="E215" s="29">
        <f t="shared" si="193"/>
        <v>0.71502889199999997</v>
      </c>
      <c r="F215" s="29">
        <f t="shared" si="193"/>
        <v>0</v>
      </c>
      <c r="G215" s="29">
        <f t="shared" si="193"/>
        <v>1.220868E-2</v>
      </c>
      <c r="H215" s="29">
        <f t="shared" si="193"/>
        <v>0.702820212</v>
      </c>
      <c r="I215" s="29">
        <f t="shared" si="194"/>
        <v>0</v>
      </c>
      <c r="J215" s="29">
        <f t="shared" si="192"/>
        <v>0</v>
      </c>
      <c r="K215" s="29">
        <v>0</v>
      </c>
      <c r="L215" s="29">
        <v>0</v>
      </c>
      <c r="M215" s="29">
        <v>0</v>
      </c>
      <c r="N215" s="29">
        <v>0</v>
      </c>
      <c r="O215" s="29">
        <v>0</v>
      </c>
      <c r="P215" s="29">
        <v>0</v>
      </c>
      <c r="Q215" s="29">
        <v>0</v>
      </c>
      <c r="R215" s="29">
        <v>0</v>
      </c>
      <c r="S215" s="29">
        <v>0</v>
      </c>
      <c r="T215" s="30">
        <v>0</v>
      </c>
      <c r="U215" s="30">
        <v>0</v>
      </c>
      <c r="V215" s="30">
        <v>0</v>
      </c>
      <c r="W215" s="30">
        <v>0</v>
      </c>
      <c r="X215" s="30">
        <v>0</v>
      </c>
      <c r="Y215" s="30">
        <f t="shared" si="185"/>
        <v>0.71502889199999997</v>
      </c>
      <c r="Z215" s="30">
        <v>0</v>
      </c>
      <c r="AA215" s="30">
        <v>1.220868E-2</v>
      </c>
      <c r="AB215" s="30">
        <v>0.702820212</v>
      </c>
      <c r="AC215" s="34">
        <v>0</v>
      </c>
      <c r="AD215" s="36">
        <v>0</v>
      </c>
      <c r="AE215" s="36">
        <f t="shared" si="195"/>
        <v>0.59585740999999992</v>
      </c>
      <c r="AF215" s="36">
        <f t="shared" si="195"/>
        <v>0</v>
      </c>
      <c r="AG215" s="36">
        <f t="shared" si="195"/>
        <v>1.01739E-2</v>
      </c>
      <c r="AH215" s="36">
        <f t="shared" si="195"/>
        <v>0.58568350999999996</v>
      </c>
      <c r="AI215" s="36">
        <f t="shared" si="196"/>
        <v>0</v>
      </c>
      <c r="AJ215" s="36">
        <v>0</v>
      </c>
      <c r="AK215" s="36">
        <v>0</v>
      </c>
      <c r="AL215" s="36">
        <v>0</v>
      </c>
      <c r="AM215" s="36">
        <v>0</v>
      </c>
      <c r="AN215" s="36">
        <v>0</v>
      </c>
      <c r="AO215" s="36">
        <v>0</v>
      </c>
      <c r="AP215" s="36">
        <v>0</v>
      </c>
      <c r="AQ215" s="36">
        <v>0</v>
      </c>
      <c r="AR215" s="36">
        <v>0</v>
      </c>
      <c r="AS215" s="36">
        <v>0</v>
      </c>
      <c r="AT215" s="34">
        <v>0</v>
      </c>
      <c r="AU215" s="34">
        <v>0</v>
      </c>
      <c r="AV215" s="34">
        <v>0</v>
      </c>
      <c r="AW215" s="34">
        <v>0</v>
      </c>
      <c r="AX215" s="34">
        <v>0</v>
      </c>
      <c r="AY215" s="34">
        <f t="shared" si="188"/>
        <v>0.59585740999999992</v>
      </c>
      <c r="AZ215" s="34">
        <v>0</v>
      </c>
      <c r="BA215" s="34">
        <v>1.01739E-2</v>
      </c>
      <c r="BB215" s="34">
        <v>0.58568350999999996</v>
      </c>
      <c r="BC215" s="34">
        <v>0</v>
      </c>
    </row>
    <row r="216" spans="1:55" s="55" customFormat="1" ht="36.75" customHeight="1" x14ac:dyDescent="0.25">
      <c r="A216" s="110" t="s">
        <v>56</v>
      </c>
      <c r="B216" s="96" t="s">
        <v>726</v>
      </c>
      <c r="C216" s="99" t="s">
        <v>727</v>
      </c>
      <c r="D216" s="88">
        <v>0</v>
      </c>
      <c r="E216" s="29">
        <f t="shared" si="193"/>
        <v>0.71513139599999997</v>
      </c>
      <c r="F216" s="29">
        <f t="shared" si="193"/>
        <v>0</v>
      </c>
      <c r="G216" s="29">
        <f t="shared" si="193"/>
        <v>9.4597919999999999E-3</v>
      </c>
      <c r="H216" s="29">
        <f t="shared" si="193"/>
        <v>0.70567160399999995</v>
      </c>
      <c r="I216" s="29">
        <f t="shared" si="194"/>
        <v>0</v>
      </c>
      <c r="J216" s="29">
        <f t="shared" si="192"/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f t="shared" si="185"/>
        <v>0.71513139599999997</v>
      </c>
      <c r="Z216" s="30">
        <v>0</v>
      </c>
      <c r="AA216" s="30">
        <v>9.4597919999999999E-3</v>
      </c>
      <c r="AB216" s="30">
        <v>0.70567160399999995</v>
      </c>
      <c r="AC216" s="34">
        <v>0</v>
      </c>
      <c r="AD216" s="36">
        <v>0</v>
      </c>
      <c r="AE216" s="36">
        <f t="shared" si="195"/>
        <v>0.59594283000000003</v>
      </c>
      <c r="AF216" s="36">
        <f t="shared" si="195"/>
        <v>0</v>
      </c>
      <c r="AG216" s="36">
        <f t="shared" si="195"/>
        <v>7.8831600000000002E-3</v>
      </c>
      <c r="AH216" s="36">
        <f t="shared" si="195"/>
        <v>0.58805967000000003</v>
      </c>
      <c r="AI216" s="36">
        <f t="shared" si="196"/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36">
        <v>0</v>
      </c>
      <c r="AT216" s="34">
        <v>0</v>
      </c>
      <c r="AU216" s="34">
        <v>0</v>
      </c>
      <c r="AV216" s="34">
        <v>0</v>
      </c>
      <c r="AW216" s="34">
        <v>0</v>
      </c>
      <c r="AX216" s="34">
        <v>0</v>
      </c>
      <c r="AY216" s="34">
        <f t="shared" si="188"/>
        <v>0.59594283000000003</v>
      </c>
      <c r="AZ216" s="34">
        <v>0</v>
      </c>
      <c r="BA216" s="34">
        <v>7.8831600000000002E-3</v>
      </c>
      <c r="BB216" s="34">
        <v>0.58805967000000003</v>
      </c>
      <c r="BC216" s="34">
        <v>0</v>
      </c>
    </row>
    <row r="217" spans="1:55" s="55" customFormat="1" ht="36.75" customHeight="1" x14ac:dyDescent="0.25">
      <c r="A217" s="110" t="s">
        <v>56</v>
      </c>
      <c r="B217" s="96" t="s">
        <v>728</v>
      </c>
      <c r="C217" s="99" t="s">
        <v>729</v>
      </c>
      <c r="D217" s="88">
        <v>0</v>
      </c>
      <c r="E217" s="29">
        <f t="shared" si="193"/>
        <v>0.71532595200000004</v>
      </c>
      <c r="F217" s="29">
        <f t="shared" si="193"/>
        <v>0</v>
      </c>
      <c r="G217" s="29">
        <f t="shared" si="193"/>
        <v>1.1155871999999999E-2</v>
      </c>
      <c r="H217" s="29">
        <f t="shared" si="193"/>
        <v>0.70417008000000003</v>
      </c>
      <c r="I217" s="29">
        <f t="shared" si="194"/>
        <v>0</v>
      </c>
      <c r="J217" s="29">
        <f t="shared" si="192"/>
        <v>0</v>
      </c>
      <c r="K217" s="29">
        <v>0</v>
      </c>
      <c r="L217" s="29">
        <v>0</v>
      </c>
      <c r="M217" s="29">
        <v>0</v>
      </c>
      <c r="N217" s="29">
        <v>0</v>
      </c>
      <c r="O217" s="29">
        <v>0</v>
      </c>
      <c r="P217" s="29">
        <v>0</v>
      </c>
      <c r="Q217" s="29">
        <v>0</v>
      </c>
      <c r="R217" s="29">
        <v>0</v>
      </c>
      <c r="S217" s="29">
        <v>0</v>
      </c>
      <c r="T217" s="30">
        <v>0</v>
      </c>
      <c r="U217" s="30">
        <v>0</v>
      </c>
      <c r="V217" s="30">
        <v>0</v>
      </c>
      <c r="W217" s="30">
        <v>0</v>
      </c>
      <c r="X217" s="30">
        <v>0</v>
      </c>
      <c r="Y217" s="30">
        <f t="shared" si="185"/>
        <v>0.71532595200000004</v>
      </c>
      <c r="Z217" s="30">
        <v>0</v>
      </c>
      <c r="AA217" s="30">
        <v>1.1155871999999999E-2</v>
      </c>
      <c r="AB217" s="30">
        <v>0.70417008000000003</v>
      </c>
      <c r="AC217" s="34">
        <v>0</v>
      </c>
      <c r="AD217" s="36">
        <v>0</v>
      </c>
      <c r="AE217" s="36">
        <f t="shared" si="195"/>
        <v>0.59610496000000002</v>
      </c>
      <c r="AF217" s="36">
        <f t="shared" si="195"/>
        <v>0</v>
      </c>
      <c r="AG217" s="36">
        <f t="shared" si="195"/>
        <v>9.2965599999999989E-3</v>
      </c>
      <c r="AH217" s="36">
        <f t="shared" si="195"/>
        <v>0.58680840000000001</v>
      </c>
      <c r="AI217" s="36">
        <f t="shared" si="196"/>
        <v>0</v>
      </c>
      <c r="AJ217" s="36">
        <v>0</v>
      </c>
      <c r="AK217" s="36">
        <v>0</v>
      </c>
      <c r="AL217" s="36">
        <v>0</v>
      </c>
      <c r="AM217" s="36">
        <v>0</v>
      </c>
      <c r="AN217" s="36">
        <v>0</v>
      </c>
      <c r="AO217" s="36">
        <v>0</v>
      </c>
      <c r="AP217" s="36">
        <v>0</v>
      </c>
      <c r="AQ217" s="36">
        <v>0</v>
      </c>
      <c r="AR217" s="36">
        <v>0</v>
      </c>
      <c r="AS217" s="36">
        <v>0</v>
      </c>
      <c r="AT217" s="34">
        <v>0</v>
      </c>
      <c r="AU217" s="34">
        <v>0</v>
      </c>
      <c r="AV217" s="34">
        <v>0</v>
      </c>
      <c r="AW217" s="34">
        <v>0</v>
      </c>
      <c r="AX217" s="34">
        <v>0</v>
      </c>
      <c r="AY217" s="34">
        <f t="shared" si="188"/>
        <v>0.59610496000000002</v>
      </c>
      <c r="AZ217" s="34">
        <v>0</v>
      </c>
      <c r="BA217" s="34">
        <v>9.2965599999999989E-3</v>
      </c>
      <c r="BB217" s="34">
        <v>0.58680840000000001</v>
      </c>
      <c r="BC217" s="34">
        <v>0</v>
      </c>
    </row>
    <row r="218" spans="1:55" s="55" customFormat="1" ht="36.75" customHeight="1" x14ac:dyDescent="0.25">
      <c r="A218" s="110" t="s">
        <v>56</v>
      </c>
      <c r="B218" s="96" t="s">
        <v>730</v>
      </c>
      <c r="C218" s="99" t="s">
        <v>731</v>
      </c>
      <c r="D218" s="88">
        <v>0</v>
      </c>
      <c r="E218" s="29">
        <f t="shared" si="193"/>
        <v>0.36195569999999994</v>
      </c>
      <c r="F218" s="29">
        <f t="shared" si="193"/>
        <v>0</v>
      </c>
      <c r="G218" s="29">
        <f t="shared" si="193"/>
        <v>8.4500519999999996E-3</v>
      </c>
      <c r="H218" s="29">
        <f t="shared" si="193"/>
        <v>0.35350564799999995</v>
      </c>
      <c r="I218" s="29">
        <f t="shared" si="194"/>
        <v>0</v>
      </c>
      <c r="J218" s="29">
        <f t="shared" si="192"/>
        <v>0</v>
      </c>
      <c r="K218" s="29">
        <v>0</v>
      </c>
      <c r="L218" s="29">
        <v>0</v>
      </c>
      <c r="M218" s="29">
        <v>0</v>
      </c>
      <c r="N218" s="29">
        <v>0</v>
      </c>
      <c r="O218" s="29">
        <v>0</v>
      </c>
      <c r="P218" s="29">
        <v>0</v>
      </c>
      <c r="Q218" s="29">
        <v>0</v>
      </c>
      <c r="R218" s="29">
        <v>0</v>
      </c>
      <c r="S218" s="29">
        <v>0</v>
      </c>
      <c r="T218" s="30">
        <v>0</v>
      </c>
      <c r="U218" s="30">
        <v>0</v>
      </c>
      <c r="V218" s="30">
        <v>0</v>
      </c>
      <c r="W218" s="30">
        <v>0</v>
      </c>
      <c r="X218" s="30">
        <v>0</v>
      </c>
      <c r="Y218" s="30">
        <f t="shared" si="185"/>
        <v>0.36195569999999994</v>
      </c>
      <c r="Z218" s="30">
        <v>0</v>
      </c>
      <c r="AA218" s="30">
        <v>8.4500519999999996E-3</v>
      </c>
      <c r="AB218" s="30">
        <v>0.35350564799999995</v>
      </c>
      <c r="AC218" s="34">
        <v>0</v>
      </c>
      <c r="AD218" s="36">
        <v>0</v>
      </c>
      <c r="AE218" s="36">
        <f t="shared" si="195"/>
        <v>0.30162974999999997</v>
      </c>
      <c r="AF218" s="36">
        <f t="shared" si="195"/>
        <v>0</v>
      </c>
      <c r="AG218" s="36">
        <f t="shared" si="195"/>
        <v>7.0417100000000005E-3</v>
      </c>
      <c r="AH218" s="36">
        <f t="shared" si="195"/>
        <v>0.29458804</v>
      </c>
      <c r="AI218" s="36">
        <f t="shared" si="196"/>
        <v>0</v>
      </c>
      <c r="AJ218" s="36">
        <v>0</v>
      </c>
      <c r="AK218" s="36">
        <v>0</v>
      </c>
      <c r="AL218" s="36">
        <v>0</v>
      </c>
      <c r="AM218" s="36">
        <v>0</v>
      </c>
      <c r="AN218" s="36">
        <v>0</v>
      </c>
      <c r="AO218" s="36">
        <v>0</v>
      </c>
      <c r="AP218" s="36">
        <v>0</v>
      </c>
      <c r="AQ218" s="36">
        <v>0</v>
      </c>
      <c r="AR218" s="36">
        <v>0</v>
      </c>
      <c r="AS218" s="36">
        <v>0</v>
      </c>
      <c r="AT218" s="34">
        <v>0</v>
      </c>
      <c r="AU218" s="34">
        <v>0</v>
      </c>
      <c r="AV218" s="34">
        <v>0</v>
      </c>
      <c r="AW218" s="34">
        <v>0</v>
      </c>
      <c r="AX218" s="34">
        <v>0</v>
      </c>
      <c r="AY218" s="34">
        <f t="shared" si="188"/>
        <v>0.30162974999999997</v>
      </c>
      <c r="AZ218" s="34">
        <v>0</v>
      </c>
      <c r="BA218" s="34">
        <v>7.0417100000000005E-3</v>
      </c>
      <c r="BB218" s="34">
        <v>0.29458804</v>
      </c>
      <c r="BC218" s="34">
        <v>0</v>
      </c>
    </row>
    <row r="219" spans="1:55" s="55" customFormat="1" ht="36.75" customHeight="1" x14ac:dyDescent="0.25">
      <c r="A219" s="110" t="s">
        <v>56</v>
      </c>
      <c r="B219" s="96" t="s">
        <v>732</v>
      </c>
      <c r="C219" s="99" t="s">
        <v>733</v>
      </c>
      <c r="D219" s="88">
        <v>0</v>
      </c>
      <c r="E219" s="29">
        <f t="shared" si="193"/>
        <v>0.34093045199999999</v>
      </c>
      <c r="F219" s="29">
        <f t="shared" si="193"/>
        <v>0</v>
      </c>
      <c r="G219" s="29">
        <f t="shared" si="193"/>
        <v>3.7000799999999997E-3</v>
      </c>
      <c r="H219" s="29">
        <f t="shared" si="193"/>
        <v>0.337230372</v>
      </c>
      <c r="I219" s="29">
        <f t="shared" si="194"/>
        <v>0</v>
      </c>
      <c r="J219" s="29">
        <f t="shared" si="192"/>
        <v>0</v>
      </c>
      <c r="K219" s="29">
        <v>0</v>
      </c>
      <c r="L219" s="29">
        <v>0</v>
      </c>
      <c r="M219" s="29">
        <v>0</v>
      </c>
      <c r="N219" s="29">
        <v>0</v>
      </c>
      <c r="O219" s="29">
        <v>0</v>
      </c>
      <c r="P219" s="29">
        <v>0</v>
      </c>
      <c r="Q219" s="29">
        <v>0</v>
      </c>
      <c r="R219" s="29">
        <v>0</v>
      </c>
      <c r="S219" s="29">
        <v>0</v>
      </c>
      <c r="T219" s="30">
        <v>0</v>
      </c>
      <c r="U219" s="30">
        <v>0</v>
      </c>
      <c r="V219" s="30">
        <v>0</v>
      </c>
      <c r="W219" s="30">
        <v>0</v>
      </c>
      <c r="X219" s="30">
        <v>0</v>
      </c>
      <c r="Y219" s="30">
        <f t="shared" si="185"/>
        <v>0.34093045199999999</v>
      </c>
      <c r="Z219" s="30">
        <v>0</v>
      </c>
      <c r="AA219" s="30">
        <v>3.7000799999999997E-3</v>
      </c>
      <c r="AB219" s="30">
        <v>0.337230372</v>
      </c>
      <c r="AC219" s="34">
        <v>0</v>
      </c>
      <c r="AD219" s="36">
        <v>0</v>
      </c>
      <c r="AE219" s="36">
        <f t="shared" si="195"/>
        <v>0.28410870999999999</v>
      </c>
      <c r="AF219" s="36">
        <f t="shared" si="195"/>
        <v>0</v>
      </c>
      <c r="AG219" s="36">
        <f t="shared" si="195"/>
        <v>3.0834E-3</v>
      </c>
      <c r="AH219" s="36">
        <f t="shared" si="195"/>
        <v>0.28102530999999997</v>
      </c>
      <c r="AI219" s="36">
        <f t="shared" si="196"/>
        <v>0</v>
      </c>
      <c r="AJ219" s="36">
        <v>0</v>
      </c>
      <c r="AK219" s="36">
        <v>0</v>
      </c>
      <c r="AL219" s="36">
        <v>0</v>
      </c>
      <c r="AM219" s="36">
        <v>0</v>
      </c>
      <c r="AN219" s="36">
        <v>0</v>
      </c>
      <c r="AO219" s="36">
        <v>0</v>
      </c>
      <c r="AP219" s="36">
        <v>0</v>
      </c>
      <c r="AQ219" s="36">
        <v>0</v>
      </c>
      <c r="AR219" s="36">
        <v>0</v>
      </c>
      <c r="AS219" s="36">
        <v>0</v>
      </c>
      <c r="AT219" s="34">
        <v>0</v>
      </c>
      <c r="AU219" s="34">
        <v>0</v>
      </c>
      <c r="AV219" s="34">
        <v>0</v>
      </c>
      <c r="AW219" s="34">
        <v>0</v>
      </c>
      <c r="AX219" s="34">
        <v>0</v>
      </c>
      <c r="AY219" s="34">
        <f t="shared" si="188"/>
        <v>0.28410870999999999</v>
      </c>
      <c r="AZ219" s="34">
        <v>0</v>
      </c>
      <c r="BA219" s="34">
        <v>3.0834E-3</v>
      </c>
      <c r="BB219" s="34">
        <v>0.28102530999999997</v>
      </c>
      <c r="BC219" s="34">
        <v>0</v>
      </c>
    </row>
    <row r="220" spans="1:55" s="55" customFormat="1" ht="52.5" customHeight="1" x14ac:dyDescent="0.25">
      <c r="A220" s="109" t="s">
        <v>56</v>
      </c>
      <c r="B220" s="89" t="s">
        <v>231</v>
      </c>
      <c r="C220" s="90" t="s">
        <v>232</v>
      </c>
      <c r="D220" s="88">
        <v>0.82580253599999986</v>
      </c>
      <c r="E220" s="29">
        <f t="shared" si="193"/>
        <v>0</v>
      </c>
      <c r="F220" s="29">
        <f t="shared" si="193"/>
        <v>0</v>
      </c>
      <c r="G220" s="29">
        <f t="shared" si="193"/>
        <v>0</v>
      </c>
      <c r="H220" s="29">
        <f t="shared" si="193"/>
        <v>0</v>
      </c>
      <c r="I220" s="29">
        <f t="shared" si="194"/>
        <v>0</v>
      </c>
      <c r="J220" s="29">
        <f t="shared" si="192"/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30">
        <f t="shared" si="184"/>
        <v>0</v>
      </c>
      <c r="U220" s="29">
        <v>0</v>
      </c>
      <c r="V220" s="29">
        <v>0</v>
      </c>
      <c r="W220" s="29">
        <v>0</v>
      </c>
      <c r="X220" s="30">
        <v>0</v>
      </c>
      <c r="Y220" s="29">
        <f t="shared" si="185"/>
        <v>0</v>
      </c>
      <c r="Z220" s="29">
        <v>0</v>
      </c>
      <c r="AA220" s="29">
        <v>0</v>
      </c>
      <c r="AB220" s="29">
        <v>0</v>
      </c>
      <c r="AC220" s="36">
        <v>0</v>
      </c>
      <c r="AD220" s="36">
        <v>0.68816877999999992</v>
      </c>
      <c r="AE220" s="36">
        <f t="shared" si="195"/>
        <v>0</v>
      </c>
      <c r="AF220" s="36">
        <f t="shared" si="195"/>
        <v>0</v>
      </c>
      <c r="AG220" s="36">
        <f t="shared" si="195"/>
        <v>0</v>
      </c>
      <c r="AH220" s="36">
        <f t="shared" si="195"/>
        <v>0</v>
      </c>
      <c r="AI220" s="36">
        <f t="shared" si="196"/>
        <v>0</v>
      </c>
      <c r="AJ220" s="36">
        <v>0</v>
      </c>
      <c r="AK220" s="36">
        <v>0</v>
      </c>
      <c r="AL220" s="36">
        <v>0</v>
      </c>
      <c r="AM220" s="36">
        <v>0</v>
      </c>
      <c r="AN220" s="36">
        <v>0</v>
      </c>
      <c r="AO220" s="36">
        <v>0</v>
      </c>
      <c r="AP220" s="36">
        <v>0</v>
      </c>
      <c r="AQ220" s="36">
        <v>0</v>
      </c>
      <c r="AR220" s="36">
        <v>0</v>
      </c>
      <c r="AS220" s="36">
        <v>0</v>
      </c>
      <c r="AT220" s="36">
        <f t="shared" si="187"/>
        <v>0</v>
      </c>
      <c r="AU220" s="36">
        <v>0</v>
      </c>
      <c r="AV220" s="36">
        <v>0</v>
      </c>
      <c r="AW220" s="36">
        <v>0</v>
      </c>
      <c r="AX220" s="34">
        <v>0</v>
      </c>
      <c r="AY220" s="34">
        <f t="shared" si="188"/>
        <v>0</v>
      </c>
      <c r="AZ220" s="36">
        <v>0</v>
      </c>
      <c r="BA220" s="36">
        <v>0</v>
      </c>
      <c r="BB220" s="36">
        <v>0</v>
      </c>
      <c r="BC220" s="36">
        <v>0</v>
      </c>
    </row>
    <row r="221" spans="1:55" s="55" customFormat="1" ht="21.75" customHeight="1" x14ac:dyDescent="0.25">
      <c r="A221" s="109" t="s">
        <v>56</v>
      </c>
      <c r="B221" s="89" t="s">
        <v>375</v>
      </c>
      <c r="C221" s="90" t="s">
        <v>376</v>
      </c>
      <c r="D221" s="88">
        <v>0</v>
      </c>
      <c r="E221" s="29">
        <f t="shared" si="193"/>
        <v>1.3990475999999998E-2</v>
      </c>
      <c r="F221" s="29">
        <f t="shared" si="193"/>
        <v>8.9999999999999993E-3</v>
      </c>
      <c r="G221" s="29">
        <f t="shared" si="193"/>
        <v>1.312728E-3</v>
      </c>
      <c r="H221" s="29">
        <f t="shared" si="193"/>
        <v>3.6777479999999998E-3</v>
      </c>
      <c r="I221" s="29">
        <f t="shared" si="194"/>
        <v>0</v>
      </c>
      <c r="J221" s="29">
        <f t="shared" si="192"/>
        <v>4.9904759999999998E-3</v>
      </c>
      <c r="K221" s="29">
        <v>0</v>
      </c>
      <c r="L221" s="29">
        <v>1.312728E-3</v>
      </c>
      <c r="M221" s="29">
        <v>3.6777479999999998E-3</v>
      </c>
      <c r="N221" s="29">
        <v>0</v>
      </c>
      <c r="O221" s="29">
        <v>0</v>
      </c>
      <c r="P221" s="29">
        <v>0</v>
      </c>
      <c r="Q221" s="29">
        <v>0</v>
      </c>
      <c r="R221" s="29">
        <v>0</v>
      </c>
      <c r="S221" s="29">
        <v>0</v>
      </c>
      <c r="T221" s="30">
        <f t="shared" si="184"/>
        <v>0</v>
      </c>
      <c r="U221" s="30">
        <v>0</v>
      </c>
      <c r="V221" s="30">
        <v>0</v>
      </c>
      <c r="W221" s="30">
        <v>0</v>
      </c>
      <c r="X221" s="30">
        <v>0</v>
      </c>
      <c r="Y221" s="30">
        <f t="shared" si="185"/>
        <v>8.9999999999999993E-3</v>
      </c>
      <c r="Z221" s="30">
        <v>8.9999999999999993E-3</v>
      </c>
      <c r="AA221" s="30">
        <v>0</v>
      </c>
      <c r="AB221" s="30">
        <v>0</v>
      </c>
      <c r="AC221" s="34">
        <v>0</v>
      </c>
      <c r="AD221" s="36">
        <v>0</v>
      </c>
      <c r="AE221" s="36">
        <f t="shared" si="195"/>
        <v>4.1587299999999994E-3</v>
      </c>
      <c r="AF221" s="36">
        <f t="shared" si="195"/>
        <v>0</v>
      </c>
      <c r="AG221" s="36">
        <f t="shared" si="195"/>
        <v>1.0939399999999998E-3</v>
      </c>
      <c r="AH221" s="36">
        <f t="shared" si="195"/>
        <v>3.06479E-3</v>
      </c>
      <c r="AI221" s="36">
        <f t="shared" si="196"/>
        <v>0</v>
      </c>
      <c r="AJ221" s="36">
        <v>4.1587299999999994E-3</v>
      </c>
      <c r="AK221" s="36">
        <v>0</v>
      </c>
      <c r="AL221" s="36">
        <v>1.0939399999999998E-3</v>
      </c>
      <c r="AM221" s="36">
        <v>3.06479E-3</v>
      </c>
      <c r="AN221" s="36">
        <v>0</v>
      </c>
      <c r="AO221" s="34">
        <v>0</v>
      </c>
      <c r="AP221" s="34">
        <v>0</v>
      </c>
      <c r="AQ221" s="34">
        <v>0</v>
      </c>
      <c r="AR221" s="34">
        <v>0</v>
      </c>
      <c r="AS221" s="34">
        <v>0</v>
      </c>
      <c r="AT221" s="34">
        <f t="shared" si="187"/>
        <v>0</v>
      </c>
      <c r="AU221" s="34">
        <v>0</v>
      </c>
      <c r="AV221" s="34">
        <v>0</v>
      </c>
      <c r="AW221" s="34">
        <v>0</v>
      </c>
      <c r="AX221" s="34">
        <v>0</v>
      </c>
      <c r="AY221" s="34">
        <f t="shared" si="188"/>
        <v>0</v>
      </c>
      <c r="AZ221" s="34">
        <v>0</v>
      </c>
      <c r="BA221" s="34">
        <v>0</v>
      </c>
      <c r="BB221" s="34">
        <v>0</v>
      </c>
      <c r="BC221" s="34">
        <v>0</v>
      </c>
    </row>
    <row r="222" spans="1:55" s="55" customFormat="1" ht="21.75" customHeight="1" x14ac:dyDescent="0.25">
      <c r="A222" s="109" t="s">
        <v>56</v>
      </c>
      <c r="B222" s="89" t="s">
        <v>377</v>
      </c>
      <c r="C222" s="90" t="s">
        <v>378</v>
      </c>
      <c r="D222" s="88">
        <v>0</v>
      </c>
      <c r="E222" s="29">
        <f t="shared" si="193"/>
        <v>5.4585936000000002E-2</v>
      </c>
      <c r="F222" s="29">
        <f t="shared" si="193"/>
        <v>0</v>
      </c>
      <c r="G222" s="29">
        <f t="shared" si="193"/>
        <v>2.588796E-3</v>
      </c>
      <c r="H222" s="29">
        <f t="shared" si="193"/>
        <v>5.1997140000000004E-2</v>
      </c>
      <c r="I222" s="29">
        <f t="shared" si="194"/>
        <v>0</v>
      </c>
      <c r="J222" s="29">
        <f t="shared" si="192"/>
        <v>5.4585936000000002E-2</v>
      </c>
      <c r="K222" s="29">
        <v>0</v>
      </c>
      <c r="L222" s="29">
        <v>2.588796E-3</v>
      </c>
      <c r="M222" s="29">
        <v>5.1997140000000004E-2</v>
      </c>
      <c r="N222" s="29">
        <v>0</v>
      </c>
      <c r="O222" s="29">
        <v>0</v>
      </c>
      <c r="P222" s="29">
        <v>0</v>
      </c>
      <c r="Q222" s="29">
        <v>0</v>
      </c>
      <c r="R222" s="29">
        <v>0</v>
      </c>
      <c r="S222" s="29">
        <v>0</v>
      </c>
      <c r="T222" s="30">
        <f t="shared" si="184"/>
        <v>0</v>
      </c>
      <c r="U222" s="30">
        <v>0</v>
      </c>
      <c r="V222" s="30">
        <v>0</v>
      </c>
      <c r="W222" s="30">
        <v>0</v>
      </c>
      <c r="X222" s="30">
        <v>0</v>
      </c>
      <c r="Y222" s="30">
        <f t="shared" si="185"/>
        <v>0</v>
      </c>
      <c r="Z222" s="30">
        <v>0</v>
      </c>
      <c r="AA222" s="30">
        <v>0</v>
      </c>
      <c r="AB222" s="30">
        <v>0</v>
      </c>
      <c r="AC222" s="34">
        <v>0</v>
      </c>
      <c r="AD222" s="36">
        <v>0</v>
      </c>
      <c r="AE222" s="36">
        <f t="shared" si="195"/>
        <v>5.57896E-3</v>
      </c>
      <c r="AF222" s="36">
        <f t="shared" si="195"/>
        <v>0</v>
      </c>
      <c r="AG222" s="36">
        <f t="shared" si="195"/>
        <v>2.1573299999999998E-3</v>
      </c>
      <c r="AH222" s="36">
        <f t="shared" si="195"/>
        <v>3.4216300000000002E-3</v>
      </c>
      <c r="AI222" s="36">
        <f t="shared" si="196"/>
        <v>0</v>
      </c>
      <c r="AJ222" s="36">
        <v>5.57896E-3</v>
      </c>
      <c r="AK222" s="36">
        <v>0</v>
      </c>
      <c r="AL222" s="36">
        <v>2.1573299999999998E-3</v>
      </c>
      <c r="AM222" s="36">
        <v>3.4216300000000002E-3</v>
      </c>
      <c r="AN222" s="36">
        <v>0</v>
      </c>
      <c r="AO222" s="34">
        <v>0</v>
      </c>
      <c r="AP222" s="34">
        <v>0</v>
      </c>
      <c r="AQ222" s="34">
        <v>0</v>
      </c>
      <c r="AR222" s="34">
        <v>0</v>
      </c>
      <c r="AS222" s="34">
        <v>0</v>
      </c>
      <c r="AT222" s="34">
        <f t="shared" si="187"/>
        <v>0</v>
      </c>
      <c r="AU222" s="34">
        <v>0</v>
      </c>
      <c r="AV222" s="34">
        <v>0</v>
      </c>
      <c r="AW222" s="34">
        <v>0</v>
      </c>
      <c r="AX222" s="34">
        <v>0</v>
      </c>
      <c r="AY222" s="34">
        <f t="shared" si="188"/>
        <v>0</v>
      </c>
      <c r="AZ222" s="34">
        <v>0</v>
      </c>
      <c r="BA222" s="34">
        <v>0</v>
      </c>
      <c r="BB222" s="34">
        <v>0</v>
      </c>
      <c r="BC222" s="34">
        <v>0</v>
      </c>
    </row>
    <row r="223" spans="1:55" s="55" customFormat="1" ht="21.75" customHeight="1" x14ac:dyDescent="0.25">
      <c r="A223" s="109" t="s">
        <v>56</v>
      </c>
      <c r="B223" s="89" t="s">
        <v>379</v>
      </c>
      <c r="C223" s="90" t="s">
        <v>380</v>
      </c>
      <c r="D223" s="88">
        <v>0</v>
      </c>
      <c r="E223" s="29">
        <f t="shared" si="193"/>
        <v>1.4569079999999998E-2</v>
      </c>
      <c r="F223" s="29">
        <f t="shared" si="193"/>
        <v>0</v>
      </c>
      <c r="G223" s="29">
        <f t="shared" si="193"/>
        <v>9.1189439999999986E-3</v>
      </c>
      <c r="H223" s="29">
        <f t="shared" si="193"/>
        <v>5.4501359999999995E-3</v>
      </c>
      <c r="I223" s="29">
        <f t="shared" si="194"/>
        <v>0</v>
      </c>
      <c r="J223" s="29">
        <f t="shared" si="192"/>
        <v>1.4569079999999998E-2</v>
      </c>
      <c r="K223" s="29">
        <v>0</v>
      </c>
      <c r="L223" s="29">
        <v>9.1189439999999986E-3</v>
      </c>
      <c r="M223" s="29">
        <v>5.4501359999999995E-3</v>
      </c>
      <c r="N223" s="29">
        <v>0</v>
      </c>
      <c r="O223" s="29">
        <v>0</v>
      </c>
      <c r="P223" s="29">
        <v>0</v>
      </c>
      <c r="Q223" s="29">
        <v>0</v>
      </c>
      <c r="R223" s="29">
        <v>0</v>
      </c>
      <c r="S223" s="29">
        <v>0</v>
      </c>
      <c r="T223" s="30">
        <f t="shared" ref="T223:T267" si="200">U223+V223+W223+X223</f>
        <v>0</v>
      </c>
      <c r="U223" s="30">
        <v>0</v>
      </c>
      <c r="V223" s="30">
        <v>0</v>
      </c>
      <c r="W223" s="30">
        <v>0</v>
      </c>
      <c r="X223" s="30">
        <v>0</v>
      </c>
      <c r="Y223" s="30">
        <f t="shared" ref="Y223:Y273" si="201">Z223+AA223+AB223+AC223</f>
        <v>0</v>
      </c>
      <c r="Z223" s="30">
        <v>0</v>
      </c>
      <c r="AA223" s="30">
        <v>0</v>
      </c>
      <c r="AB223" s="30">
        <v>0</v>
      </c>
      <c r="AC223" s="34">
        <v>0</v>
      </c>
      <c r="AD223" s="36">
        <v>0</v>
      </c>
      <c r="AE223" s="36">
        <f t="shared" si="195"/>
        <v>1.21409E-2</v>
      </c>
      <c r="AF223" s="36">
        <f t="shared" si="195"/>
        <v>0</v>
      </c>
      <c r="AG223" s="36">
        <f t="shared" si="195"/>
        <v>7.59912E-3</v>
      </c>
      <c r="AH223" s="36">
        <f t="shared" si="195"/>
        <v>4.5417800000000005E-3</v>
      </c>
      <c r="AI223" s="36">
        <f t="shared" si="196"/>
        <v>0</v>
      </c>
      <c r="AJ223" s="36">
        <v>1.21409E-2</v>
      </c>
      <c r="AK223" s="36">
        <v>0</v>
      </c>
      <c r="AL223" s="36">
        <v>7.59912E-3</v>
      </c>
      <c r="AM223" s="36">
        <v>4.5417800000000005E-3</v>
      </c>
      <c r="AN223" s="36">
        <v>0</v>
      </c>
      <c r="AO223" s="34">
        <v>0</v>
      </c>
      <c r="AP223" s="34">
        <v>0</v>
      </c>
      <c r="AQ223" s="34">
        <v>0</v>
      </c>
      <c r="AR223" s="34">
        <v>0</v>
      </c>
      <c r="AS223" s="34">
        <v>0</v>
      </c>
      <c r="AT223" s="34">
        <f t="shared" ref="AT223:AT267" si="202">AU223+AV223+AW223+AX223</f>
        <v>0</v>
      </c>
      <c r="AU223" s="34">
        <v>0</v>
      </c>
      <c r="AV223" s="34">
        <v>0</v>
      </c>
      <c r="AW223" s="34">
        <v>0</v>
      </c>
      <c r="AX223" s="34">
        <v>0</v>
      </c>
      <c r="AY223" s="34">
        <f t="shared" ref="AY223:AY272" si="203">AZ223+BA223+BB223+BC223</f>
        <v>0</v>
      </c>
      <c r="AZ223" s="34">
        <v>0</v>
      </c>
      <c r="BA223" s="34">
        <v>0</v>
      </c>
      <c r="BB223" s="34">
        <v>0</v>
      </c>
      <c r="BC223" s="34">
        <v>0</v>
      </c>
    </row>
    <row r="224" spans="1:55" s="55" customFormat="1" ht="21.75" customHeight="1" x14ac:dyDescent="0.25">
      <c r="A224" s="109" t="s">
        <v>56</v>
      </c>
      <c r="B224" s="89" t="s">
        <v>381</v>
      </c>
      <c r="C224" s="90" t="s">
        <v>382</v>
      </c>
      <c r="D224" s="88">
        <v>0</v>
      </c>
      <c r="E224" s="29">
        <f t="shared" si="193"/>
        <v>5.2749359999999992E-3</v>
      </c>
      <c r="F224" s="29">
        <f t="shared" si="193"/>
        <v>0</v>
      </c>
      <c r="G224" s="29">
        <f t="shared" si="193"/>
        <v>1.0787519999999999E-3</v>
      </c>
      <c r="H224" s="29">
        <f t="shared" si="193"/>
        <v>4.1961839999999995E-3</v>
      </c>
      <c r="I224" s="29">
        <f t="shared" si="194"/>
        <v>0</v>
      </c>
      <c r="J224" s="29">
        <f t="shared" si="192"/>
        <v>5.2749359999999992E-3</v>
      </c>
      <c r="K224" s="29">
        <v>0</v>
      </c>
      <c r="L224" s="29">
        <v>1.0787519999999999E-3</v>
      </c>
      <c r="M224" s="29">
        <v>4.1961839999999995E-3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30">
        <f t="shared" si="200"/>
        <v>0</v>
      </c>
      <c r="U224" s="30">
        <v>0</v>
      </c>
      <c r="V224" s="30">
        <v>0</v>
      </c>
      <c r="W224" s="30">
        <v>0</v>
      </c>
      <c r="X224" s="30">
        <v>0</v>
      </c>
      <c r="Y224" s="30">
        <f t="shared" si="201"/>
        <v>0</v>
      </c>
      <c r="Z224" s="30">
        <v>0</v>
      </c>
      <c r="AA224" s="30">
        <v>0</v>
      </c>
      <c r="AB224" s="30">
        <v>0</v>
      </c>
      <c r="AC224" s="34">
        <v>0</v>
      </c>
      <c r="AD224" s="36">
        <v>0</v>
      </c>
      <c r="AE224" s="36">
        <f t="shared" si="195"/>
        <v>4.3957800000000002E-3</v>
      </c>
      <c r="AF224" s="36">
        <f t="shared" si="195"/>
        <v>0</v>
      </c>
      <c r="AG224" s="36">
        <f t="shared" si="195"/>
        <v>8.9895999999999997E-4</v>
      </c>
      <c r="AH224" s="36">
        <f t="shared" si="195"/>
        <v>3.4968199999999999E-3</v>
      </c>
      <c r="AI224" s="36">
        <f t="shared" si="196"/>
        <v>0</v>
      </c>
      <c r="AJ224" s="36">
        <v>4.3957800000000002E-3</v>
      </c>
      <c r="AK224" s="36">
        <v>0</v>
      </c>
      <c r="AL224" s="36">
        <v>8.9895999999999997E-4</v>
      </c>
      <c r="AM224" s="36">
        <v>3.4968199999999999E-3</v>
      </c>
      <c r="AN224" s="36">
        <v>0</v>
      </c>
      <c r="AO224" s="34">
        <v>0</v>
      </c>
      <c r="AP224" s="34">
        <v>0</v>
      </c>
      <c r="AQ224" s="34">
        <v>0</v>
      </c>
      <c r="AR224" s="34">
        <v>0</v>
      </c>
      <c r="AS224" s="34">
        <v>0</v>
      </c>
      <c r="AT224" s="34">
        <f t="shared" si="202"/>
        <v>0</v>
      </c>
      <c r="AU224" s="34">
        <v>0</v>
      </c>
      <c r="AV224" s="34">
        <v>0</v>
      </c>
      <c r="AW224" s="34">
        <v>0</v>
      </c>
      <c r="AX224" s="34">
        <v>0</v>
      </c>
      <c r="AY224" s="34">
        <f t="shared" si="203"/>
        <v>0</v>
      </c>
      <c r="AZ224" s="34">
        <v>0</v>
      </c>
      <c r="BA224" s="34">
        <v>0</v>
      </c>
      <c r="BB224" s="34">
        <v>0</v>
      </c>
      <c r="BC224" s="34">
        <v>0</v>
      </c>
    </row>
    <row r="225" spans="1:55" s="55" customFormat="1" ht="21.75" customHeight="1" x14ac:dyDescent="0.25">
      <c r="A225" s="109" t="s">
        <v>56</v>
      </c>
      <c r="B225" s="89" t="s">
        <v>383</v>
      </c>
      <c r="C225" s="90" t="s">
        <v>384</v>
      </c>
      <c r="D225" s="88">
        <v>0</v>
      </c>
      <c r="E225" s="29">
        <f t="shared" si="193"/>
        <v>7.5077519999999995E-3</v>
      </c>
      <c r="F225" s="29">
        <f t="shared" si="193"/>
        <v>0</v>
      </c>
      <c r="G225" s="29">
        <f t="shared" si="193"/>
        <v>2.5123199999999997E-3</v>
      </c>
      <c r="H225" s="29">
        <f t="shared" si="193"/>
        <v>4.9954320000000002E-3</v>
      </c>
      <c r="I225" s="29">
        <f t="shared" si="194"/>
        <v>0</v>
      </c>
      <c r="J225" s="29">
        <f t="shared" si="192"/>
        <v>7.5077519999999995E-3</v>
      </c>
      <c r="K225" s="29">
        <v>0</v>
      </c>
      <c r="L225" s="29">
        <v>2.5123199999999997E-3</v>
      </c>
      <c r="M225" s="29">
        <v>4.9954320000000002E-3</v>
      </c>
      <c r="N225" s="29">
        <v>0</v>
      </c>
      <c r="O225" s="29">
        <v>0</v>
      </c>
      <c r="P225" s="29">
        <v>0</v>
      </c>
      <c r="Q225" s="29">
        <v>0</v>
      </c>
      <c r="R225" s="29">
        <v>0</v>
      </c>
      <c r="S225" s="29">
        <v>0</v>
      </c>
      <c r="T225" s="30">
        <f t="shared" si="200"/>
        <v>0</v>
      </c>
      <c r="U225" s="30">
        <v>0</v>
      </c>
      <c r="V225" s="30">
        <v>0</v>
      </c>
      <c r="W225" s="30">
        <v>0</v>
      </c>
      <c r="X225" s="30">
        <v>0</v>
      </c>
      <c r="Y225" s="30">
        <f t="shared" si="201"/>
        <v>0</v>
      </c>
      <c r="Z225" s="30">
        <v>0</v>
      </c>
      <c r="AA225" s="30">
        <v>0</v>
      </c>
      <c r="AB225" s="30">
        <v>0</v>
      </c>
      <c r="AC225" s="34">
        <v>0</v>
      </c>
      <c r="AD225" s="36">
        <v>0</v>
      </c>
      <c r="AE225" s="36">
        <f t="shared" si="195"/>
        <v>6.2564600000000001E-3</v>
      </c>
      <c r="AF225" s="36">
        <f t="shared" si="195"/>
        <v>0</v>
      </c>
      <c r="AG225" s="36">
        <f t="shared" si="195"/>
        <v>2.0935999999999997E-3</v>
      </c>
      <c r="AH225" s="36">
        <f t="shared" si="195"/>
        <v>4.16286E-3</v>
      </c>
      <c r="AI225" s="36">
        <f t="shared" si="196"/>
        <v>0</v>
      </c>
      <c r="AJ225" s="36">
        <v>6.2564600000000001E-3</v>
      </c>
      <c r="AK225" s="36">
        <v>0</v>
      </c>
      <c r="AL225" s="36">
        <v>2.0935999999999997E-3</v>
      </c>
      <c r="AM225" s="36">
        <v>4.16286E-3</v>
      </c>
      <c r="AN225" s="36">
        <v>0</v>
      </c>
      <c r="AO225" s="34">
        <v>0</v>
      </c>
      <c r="AP225" s="34">
        <v>0</v>
      </c>
      <c r="AQ225" s="34">
        <v>0</v>
      </c>
      <c r="AR225" s="34">
        <v>0</v>
      </c>
      <c r="AS225" s="34">
        <v>0</v>
      </c>
      <c r="AT225" s="34">
        <f t="shared" si="202"/>
        <v>0</v>
      </c>
      <c r="AU225" s="34">
        <v>0</v>
      </c>
      <c r="AV225" s="34">
        <v>0</v>
      </c>
      <c r="AW225" s="34">
        <v>0</v>
      </c>
      <c r="AX225" s="34">
        <v>0</v>
      </c>
      <c r="AY225" s="34">
        <f t="shared" si="203"/>
        <v>0</v>
      </c>
      <c r="AZ225" s="34">
        <v>0</v>
      </c>
      <c r="BA225" s="34">
        <v>0</v>
      </c>
      <c r="BB225" s="34">
        <v>0</v>
      </c>
      <c r="BC225" s="34">
        <v>0</v>
      </c>
    </row>
    <row r="226" spans="1:55" s="55" customFormat="1" ht="21.75" customHeight="1" x14ac:dyDescent="0.25">
      <c r="A226" s="109" t="s">
        <v>56</v>
      </c>
      <c r="B226" s="89" t="s">
        <v>385</v>
      </c>
      <c r="C226" s="90" t="s">
        <v>386</v>
      </c>
      <c r="D226" s="88">
        <v>0</v>
      </c>
      <c r="E226" s="29">
        <f t="shared" si="193"/>
        <v>6.5013960000000004E-3</v>
      </c>
      <c r="F226" s="29">
        <f t="shared" si="193"/>
        <v>0</v>
      </c>
      <c r="G226" s="29">
        <f t="shared" si="193"/>
        <v>1.8897360000000002E-3</v>
      </c>
      <c r="H226" s="29">
        <f t="shared" si="193"/>
        <v>4.6116600000000001E-3</v>
      </c>
      <c r="I226" s="29">
        <f t="shared" si="194"/>
        <v>0</v>
      </c>
      <c r="J226" s="29">
        <f t="shared" si="192"/>
        <v>6.5013960000000004E-3</v>
      </c>
      <c r="K226" s="29">
        <v>0</v>
      </c>
      <c r="L226" s="29">
        <v>1.8897360000000002E-3</v>
      </c>
      <c r="M226" s="29">
        <v>4.6116600000000001E-3</v>
      </c>
      <c r="N226" s="29">
        <v>0</v>
      </c>
      <c r="O226" s="29">
        <v>0</v>
      </c>
      <c r="P226" s="29">
        <v>0</v>
      </c>
      <c r="Q226" s="29">
        <v>0</v>
      </c>
      <c r="R226" s="29">
        <v>0</v>
      </c>
      <c r="S226" s="29">
        <v>0</v>
      </c>
      <c r="T226" s="30">
        <f t="shared" si="200"/>
        <v>0</v>
      </c>
      <c r="U226" s="30">
        <v>0</v>
      </c>
      <c r="V226" s="30">
        <v>0</v>
      </c>
      <c r="W226" s="30">
        <v>0</v>
      </c>
      <c r="X226" s="30">
        <v>0</v>
      </c>
      <c r="Y226" s="30">
        <f t="shared" si="201"/>
        <v>0</v>
      </c>
      <c r="Z226" s="30">
        <v>0</v>
      </c>
      <c r="AA226" s="30">
        <v>0</v>
      </c>
      <c r="AB226" s="30">
        <v>0</v>
      </c>
      <c r="AC226" s="34">
        <v>0</v>
      </c>
      <c r="AD226" s="36">
        <v>0</v>
      </c>
      <c r="AE226" s="36">
        <f t="shared" si="195"/>
        <v>5.4178300000000002E-3</v>
      </c>
      <c r="AF226" s="36">
        <f t="shared" si="195"/>
        <v>0</v>
      </c>
      <c r="AG226" s="36">
        <f t="shared" si="195"/>
        <v>1.57478E-3</v>
      </c>
      <c r="AH226" s="36">
        <f t="shared" si="195"/>
        <v>3.8430499999999998E-3</v>
      </c>
      <c r="AI226" s="36">
        <f t="shared" si="196"/>
        <v>0</v>
      </c>
      <c r="AJ226" s="36">
        <v>5.4178300000000002E-3</v>
      </c>
      <c r="AK226" s="36">
        <v>0</v>
      </c>
      <c r="AL226" s="36">
        <v>1.57478E-3</v>
      </c>
      <c r="AM226" s="36">
        <v>3.8430499999999998E-3</v>
      </c>
      <c r="AN226" s="36">
        <v>0</v>
      </c>
      <c r="AO226" s="34">
        <v>0</v>
      </c>
      <c r="AP226" s="34">
        <v>0</v>
      </c>
      <c r="AQ226" s="34">
        <v>0</v>
      </c>
      <c r="AR226" s="34">
        <v>0</v>
      </c>
      <c r="AS226" s="34">
        <v>0</v>
      </c>
      <c r="AT226" s="34">
        <f t="shared" si="202"/>
        <v>0</v>
      </c>
      <c r="AU226" s="34">
        <v>0</v>
      </c>
      <c r="AV226" s="34">
        <v>0</v>
      </c>
      <c r="AW226" s="34">
        <v>0</v>
      </c>
      <c r="AX226" s="34">
        <v>0</v>
      </c>
      <c r="AY226" s="34">
        <f t="shared" si="203"/>
        <v>0</v>
      </c>
      <c r="AZ226" s="34">
        <v>0</v>
      </c>
      <c r="BA226" s="34">
        <v>0</v>
      </c>
      <c r="BB226" s="34">
        <v>0</v>
      </c>
      <c r="BC226" s="34">
        <v>0</v>
      </c>
    </row>
    <row r="227" spans="1:55" s="55" customFormat="1" ht="21.75" customHeight="1" x14ac:dyDescent="0.25">
      <c r="A227" s="109" t="s">
        <v>56</v>
      </c>
      <c r="B227" s="89" t="s">
        <v>387</v>
      </c>
      <c r="C227" s="90" t="s">
        <v>388</v>
      </c>
      <c r="D227" s="88">
        <v>0</v>
      </c>
      <c r="E227" s="29">
        <f t="shared" si="193"/>
        <v>5.3710523999999996E-2</v>
      </c>
      <c r="F227" s="29">
        <f t="shared" si="193"/>
        <v>0</v>
      </c>
      <c r="G227" s="29">
        <f t="shared" si="193"/>
        <v>1.7674031999999999E-2</v>
      </c>
      <c r="H227" s="29">
        <f t="shared" si="193"/>
        <v>3.6036491999999996E-2</v>
      </c>
      <c r="I227" s="29">
        <f t="shared" si="194"/>
        <v>0</v>
      </c>
      <c r="J227" s="29">
        <f t="shared" si="192"/>
        <v>5.3710523999999996E-2</v>
      </c>
      <c r="K227" s="29">
        <v>0</v>
      </c>
      <c r="L227" s="29">
        <f>14.72836*1.2/1000</f>
        <v>1.7674031999999999E-2</v>
      </c>
      <c r="M227" s="29">
        <f>30.03041*1.2/1000</f>
        <v>3.6036491999999996E-2</v>
      </c>
      <c r="N227" s="29">
        <v>0</v>
      </c>
      <c r="O227" s="29">
        <v>0</v>
      </c>
      <c r="P227" s="29">
        <v>0</v>
      </c>
      <c r="Q227" s="29">
        <v>0</v>
      </c>
      <c r="R227" s="29">
        <v>0</v>
      </c>
      <c r="S227" s="29">
        <v>0</v>
      </c>
      <c r="T227" s="30">
        <f t="shared" si="200"/>
        <v>0</v>
      </c>
      <c r="U227" s="30">
        <v>0</v>
      </c>
      <c r="V227" s="30">
        <v>0</v>
      </c>
      <c r="W227" s="30">
        <v>0</v>
      </c>
      <c r="X227" s="30">
        <v>0</v>
      </c>
      <c r="Y227" s="30">
        <f t="shared" si="201"/>
        <v>0</v>
      </c>
      <c r="Z227" s="30">
        <v>0</v>
      </c>
      <c r="AA227" s="30">
        <v>0</v>
      </c>
      <c r="AB227" s="30">
        <v>0</v>
      </c>
      <c r="AC227" s="34">
        <v>0</v>
      </c>
      <c r="AD227" s="36">
        <v>0</v>
      </c>
      <c r="AE227" s="36">
        <f t="shared" si="195"/>
        <v>4.4758770000000003E-2</v>
      </c>
      <c r="AF227" s="36">
        <f t="shared" si="195"/>
        <v>0</v>
      </c>
      <c r="AG227" s="36">
        <f t="shared" si="195"/>
        <v>1.4728360000000001E-2</v>
      </c>
      <c r="AH227" s="36">
        <f t="shared" si="195"/>
        <v>3.003041E-2</v>
      </c>
      <c r="AI227" s="36">
        <f t="shared" si="196"/>
        <v>0</v>
      </c>
      <c r="AJ227" s="36">
        <f>AK227+AL227+AM227</f>
        <v>4.4758770000000003E-2</v>
      </c>
      <c r="AK227" s="36">
        <v>0</v>
      </c>
      <c r="AL227" s="36">
        <f>14.72836/1000</f>
        <v>1.4728360000000001E-2</v>
      </c>
      <c r="AM227" s="36">
        <f>30.03041/1000</f>
        <v>3.003041E-2</v>
      </c>
      <c r="AN227" s="36">
        <v>0</v>
      </c>
      <c r="AO227" s="34">
        <v>0</v>
      </c>
      <c r="AP227" s="34">
        <v>0</v>
      </c>
      <c r="AQ227" s="34">
        <v>0</v>
      </c>
      <c r="AR227" s="34">
        <v>0</v>
      </c>
      <c r="AS227" s="34">
        <v>0</v>
      </c>
      <c r="AT227" s="34">
        <f t="shared" si="202"/>
        <v>0</v>
      </c>
      <c r="AU227" s="34">
        <v>0</v>
      </c>
      <c r="AV227" s="34">
        <v>0</v>
      </c>
      <c r="AW227" s="34">
        <v>0</v>
      </c>
      <c r="AX227" s="34">
        <v>0</v>
      </c>
      <c r="AY227" s="34">
        <f t="shared" si="203"/>
        <v>0</v>
      </c>
      <c r="AZ227" s="34">
        <v>0</v>
      </c>
      <c r="BA227" s="34">
        <v>0</v>
      </c>
      <c r="BB227" s="34">
        <v>0</v>
      </c>
      <c r="BC227" s="34">
        <v>0</v>
      </c>
    </row>
    <row r="228" spans="1:55" s="55" customFormat="1" ht="21.75" customHeight="1" x14ac:dyDescent="0.25">
      <c r="A228" s="109" t="s">
        <v>56</v>
      </c>
      <c r="B228" s="89" t="s">
        <v>389</v>
      </c>
      <c r="C228" s="90" t="s">
        <v>390</v>
      </c>
      <c r="D228" s="88">
        <v>0</v>
      </c>
      <c r="E228" s="29">
        <f t="shared" si="193"/>
        <v>7.3256039999999994E-3</v>
      </c>
      <c r="F228" s="29">
        <f t="shared" si="193"/>
        <v>0</v>
      </c>
      <c r="G228" s="29">
        <f t="shared" si="193"/>
        <v>1.7398439999999999E-3</v>
      </c>
      <c r="H228" s="29">
        <f t="shared" si="193"/>
        <v>5.5857599999999995E-3</v>
      </c>
      <c r="I228" s="29">
        <f t="shared" si="194"/>
        <v>0</v>
      </c>
      <c r="J228" s="29">
        <f t="shared" si="192"/>
        <v>7.3256039999999994E-3</v>
      </c>
      <c r="K228" s="29">
        <v>0</v>
      </c>
      <c r="L228" s="29">
        <v>1.7398439999999999E-3</v>
      </c>
      <c r="M228" s="29">
        <v>5.5857599999999995E-3</v>
      </c>
      <c r="N228" s="29">
        <v>0</v>
      </c>
      <c r="O228" s="29">
        <v>0</v>
      </c>
      <c r="P228" s="29">
        <v>0</v>
      </c>
      <c r="Q228" s="29">
        <v>0</v>
      </c>
      <c r="R228" s="29">
        <v>0</v>
      </c>
      <c r="S228" s="29">
        <v>0</v>
      </c>
      <c r="T228" s="30">
        <f t="shared" si="200"/>
        <v>0</v>
      </c>
      <c r="U228" s="30">
        <v>0</v>
      </c>
      <c r="V228" s="30">
        <v>0</v>
      </c>
      <c r="W228" s="30">
        <v>0</v>
      </c>
      <c r="X228" s="30">
        <v>0</v>
      </c>
      <c r="Y228" s="30">
        <f t="shared" si="201"/>
        <v>0</v>
      </c>
      <c r="Z228" s="30">
        <v>0</v>
      </c>
      <c r="AA228" s="30">
        <v>0</v>
      </c>
      <c r="AB228" s="30">
        <v>0</v>
      </c>
      <c r="AC228" s="34">
        <v>0</v>
      </c>
      <c r="AD228" s="36">
        <v>0</v>
      </c>
      <c r="AE228" s="36">
        <f t="shared" si="195"/>
        <v>6.1046699999999995E-3</v>
      </c>
      <c r="AF228" s="36">
        <f t="shared" si="195"/>
        <v>0</v>
      </c>
      <c r="AG228" s="36">
        <f t="shared" si="195"/>
        <v>1.44987E-3</v>
      </c>
      <c r="AH228" s="36">
        <f t="shared" si="195"/>
        <v>4.6547999999999997E-3</v>
      </c>
      <c r="AI228" s="36">
        <f t="shared" si="196"/>
        <v>0</v>
      </c>
      <c r="AJ228" s="36">
        <v>6.1046699999999995E-3</v>
      </c>
      <c r="AK228" s="36">
        <v>0</v>
      </c>
      <c r="AL228" s="36">
        <v>1.44987E-3</v>
      </c>
      <c r="AM228" s="36">
        <v>4.6547999999999997E-3</v>
      </c>
      <c r="AN228" s="36">
        <v>0</v>
      </c>
      <c r="AO228" s="34">
        <v>0</v>
      </c>
      <c r="AP228" s="34">
        <v>0</v>
      </c>
      <c r="AQ228" s="34">
        <v>0</v>
      </c>
      <c r="AR228" s="34">
        <v>0</v>
      </c>
      <c r="AS228" s="34">
        <v>0</v>
      </c>
      <c r="AT228" s="34">
        <f t="shared" si="202"/>
        <v>0</v>
      </c>
      <c r="AU228" s="34">
        <v>0</v>
      </c>
      <c r="AV228" s="34">
        <v>0</v>
      </c>
      <c r="AW228" s="34">
        <v>0</v>
      </c>
      <c r="AX228" s="34">
        <v>0</v>
      </c>
      <c r="AY228" s="34">
        <f t="shared" si="203"/>
        <v>0</v>
      </c>
      <c r="AZ228" s="34">
        <v>0</v>
      </c>
      <c r="BA228" s="34">
        <v>0</v>
      </c>
      <c r="BB228" s="34">
        <v>0</v>
      </c>
      <c r="BC228" s="34">
        <v>0</v>
      </c>
    </row>
    <row r="229" spans="1:55" s="55" customFormat="1" ht="21.75" customHeight="1" x14ac:dyDescent="0.25">
      <c r="A229" s="109" t="s">
        <v>56</v>
      </c>
      <c r="B229" s="89" t="s">
        <v>391</v>
      </c>
      <c r="C229" s="90" t="s">
        <v>392</v>
      </c>
      <c r="D229" s="88">
        <v>0</v>
      </c>
      <c r="E229" s="29">
        <f t="shared" si="193"/>
        <v>6.5547000000000001E-3</v>
      </c>
      <c r="F229" s="29">
        <f t="shared" si="193"/>
        <v>0</v>
      </c>
      <c r="G229" s="29">
        <f t="shared" si="193"/>
        <v>8.8012799999999988E-4</v>
      </c>
      <c r="H229" s="29">
        <f t="shared" si="193"/>
        <v>5.6745720000000001E-3</v>
      </c>
      <c r="I229" s="29">
        <f t="shared" si="194"/>
        <v>0</v>
      </c>
      <c r="J229" s="29">
        <f t="shared" si="192"/>
        <v>6.5547000000000001E-3</v>
      </c>
      <c r="K229" s="29">
        <v>0</v>
      </c>
      <c r="L229" s="29">
        <v>8.8012799999999988E-4</v>
      </c>
      <c r="M229" s="29">
        <v>5.6745720000000001E-3</v>
      </c>
      <c r="N229" s="29">
        <v>0</v>
      </c>
      <c r="O229" s="29">
        <v>0</v>
      </c>
      <c r="P229" s="29">
        <v>0</v>
      </c>
      <c r="Q229" s="29">
        <v>0</v>
      </c>
      <c r="R229" s="29">
        <v>0</v>
      </c>
      <c r="S229" s="29">
        <v>0</v>
      </c>
      <c r="T229" s="30">
        <f t="shared" si="200"/>
        <v>0</v>
      </c>
      <c r="U229" s="30">
        <v>0</v>
      </c>
      <c r="V229" s="30">
        <v>0</v>
      </c>
      <c r="W229" s="30">
        <v>0</v>
      </c>
      <c r="X229" s="30">
        <v>0</v>
      </c>
      <c r="Y229" s="30">
        <f t="shared" si="201"/>
        <v>0</v>
      </c>
      <c r="Z229" s="30">
        <v>0</v>
      </c>
      <c r="AA229" s="30">
        <v>0</v>
      </c>
      <c r="AB229" s="30">
        <v>0</v>
      </c>
      <c r="AC229" s="34">
        <v>0</v>
      </c>
      <c r="AD229" s="36">
        <v>0</v>
      </c>
      <c r="AE229" s="36">
        <f t="shared" si="195"/>
        <v>5.4622500000000001E-3</v>
      </c>
      <c r="AF229" s="36">
        <f t="shared" si="195"/>
        <v>0</v>
      </c>
      <c r="AG229" s="36">
        <f t="shared" si="195"/>
        <v>7.3344000000000003E-4</v>
      </c>
      <c r="AH229" s="36">
        <f t="shared" si="195"/>
        <v>4.72881E-3</v>
      </c>
      <c r="AI229" s="36">
        <f t="shared" si="196"/>
        <v>0</v>
      </c>
      <c r="AJ229" s="36">
        <v>5.4622500000000001E-3</v>
      </c>
      <c r="AK229" s="36">
        <v>0</v>
      </c>
      <c r="AL229" s="36">
        <v>7.3344000000000003E-4</v>
      </c>
      <c r="AM229" s="36">
        <v>4.72881E-3</v>
      </c>
      <c r="AN229" s="36">
        <v>0</v>
      </c>
      <c r="AO229" s="34">
        <v>0</v>
      </c>
      <c r="AP229" s="34">
        <v>0</v>
      </c>
      <c r="AQ229" s="34">
        <v>0</v>
      </c>
      <c r="AR229" s="34">
        <v>0</v>
      </c>
      <c r="AS229" s="34">
        <v>0</v>
      </c>
      <c r="AT229" s="34">
        <f t="shared" si="202"/>
        <v>0</v>
      </c>
      <c r="AU229" s="34">
        <v>0</v>
      </c>
      <c r="AV229" s="34">
        <v>0</v>
      </c>
      <c r="AW229" s="34">
        <v>0</v>
      </c>
      <c r="AX229" s="34">
        <v>0</v>
      </c>
      <c r="AY229" s="34">
        <f t="shared" si="203"/>
        <v>0</v>
      </c>
      <c r="AZ229" s="34">
        <v>0</v>
      </c>
      <c r="BA229" s="34">
        <v>0</v>
      </c>
      <c r="BB229" s="34">
        <v>0</v>
      </c>
      <c r="BC229" s="34">
        <v>0</v>
      </c>
    </row>
    <row r="230" spans="1:55" s="55" customFormat="1" ht="21.75" customHeight="1" x14ac:dyDescent="0.25">
      <c r="A230" s="109" t="s">
        <v>56</v>
      </c>
      <c r="B230" s="89" t="s">
        <v>480</v>
      </c>
      <c r="C230" s="90" t="s">
        <v>481</v>
      </c>
      <c r="D230" s="88">
        <v>0</v>
      </c>
      <c r="E230" s="29">
        <f t="shared" si="193"/>
        <v>2.1827711999999999E-2</v>
      </c>
      <c r="F230" s="29">
        <f t="shared" si="193"/>
        <v>0</v>
      </c>
      <c r="G230" s="29">
        <f t="shared" si="193"/>
        <v>8.5760519999999989E-3</v>
      </c>
      <c r="H230" s="29">
        <f t="shared" si="193"/>
        <v>1.3251659999999998E-2</v>
      </c>
      <c r="I230" s="29">
        <f t="shared" si="194"/>
        <v>0</v>
      </c>
      <c r="J230" s="29">
        <f t="shared" si="192"/>
        <v>0</v>
      </c>
      <c r="K230" s="29">
        <v>0</v>
      </c>
      <c r="L230" s="29">
        <v>0</v>
      </c>
      <c r="M230" s="29">
        <v>0</v>
      </c>
      <c r="N230" s="29">
        <v>0</v>
      </c>
      <c r="O230" s="29">
        <v>2.1827711999999999E-2</v>
      </c>
      <c r="P230" s="29">
        <v>0</v>
      </c>
      <c r="Q230" s="29">
        <v>8.5760519999999989E-3</v>
      </c>
      <c r="R230" s="29">
        <v>1.3251659999999998E-2</v>
      </c>
      <c r="S230" s="29">
        <v>0</v>
      </c>
      <c r="T230" s="30">
        <f t="shared" si="200"/>
        <v>0</v>
      </c>
      <c r="U230" s="30">
        <v>0</v>
      </c>
      <c r="V230" s="30">
        <v>0</v>
      </c>
      <c r="W230" s="30">
        <v>0</v>
      </c>
      <c r="X230" s="30">
        <v>0</v>
      </c>
      <c r="Y230" s="30">
        <f t="shared" si="201"/>
        <v>0</v>
      </c>
      <c r="Z230" s="30">
        <v>0</v>
      </c>
      <c r="AA230" s="30">
        <v>0</v>
      </c>
      <c r="AB230" s="30">
        <v>0</v>
      </c>
      <c r="AC230" s="34">
        <v>0</v>
      </c>
      <c r="AD230" s="36">
        <v>0</v>
      </c>
      <c r="AE230" s="36">
        <f t="shared" si="195"/>
        <v>1.8189759999999999E-2</v>
      </c>
      <c r="AF230" s="36">
        <f t="shared" si="195"/>
        <v>0</v>
      </c>
      <c r="AG230" s="36">
        <f t="shared" si="195"/>
        <v>7.1467099999999997E-3</v>
      </c>
      <c r="AH230" s="36">
        <f t="shared" si="195"/>
        <v>1.1043049999999999E-2</v>
      </c>
      <c r="AI230" s="36">
        <f t="shared" si="196"/>
        <v>0</v>
      </c>
      <c r="AJ230" s="36">
        <v>0</v>
      </c>
      <c r="AK230" s="36">
        <v>0</v>
      </c>
      <c r="AL230" s="36">
        <v>0</v>
      </c>
      <c r="AM230" s="36">
        <v>0</v>
      </c>
      <c r="AN230" s="36">
        <v>0</v>
      </c>
      <c r="AO230" s="34">
        <v>1.8189759999999999E-2</v>
      </c>
      <c r="AP230" s="34">
        <v>0</v>
      </c>
      <c r="AQ230" s="34">
        <v>7.1467099999999997E-3</v>
      </c>
      <c r="AR230" s="34">
        <v>1.1043049999999999E-2</v>
      </c>
      <c r="AS230" s="34">
        <v>0</v>
      </c>
      <c r="AT230" s="34">
        <f t="shared" si="202"/>
        <v>0</v>
      </c>
      <c r="AU230" s="34">
        <v>0</v>
      </c>
      <c r="AV230" s="34">
        <v>0</v>
      </c>
      <c r="AW230" s="34">
        <v>0</v>
      </c>
      <c r="AX230" s="34">
        <v>0</v>
      </c>
      <c r="AY230" s="34">
        <f t="shared" si="203"/>
        <v>0</v>
      </c>
      <c r="AZ230" s="34">
        <v>0</v>
      </c>
      <c r="BA230" s="34">
        <v>0</v>
      </c>
      <c r="BB230" s="34">
        <v>0</v>
      </c>
      <c r="BC230" s="34">
        <v>0</v>
      </c>
    </row>
    <row r="231" spans="1:55" s="55" customFormat="1" ht="21.75" customHeight="1" x14ac:dyDescent="0.25">
      <c r="A231" s="109" t="s">
        <v>56</v>
      </c>
      <c r="B231" s="89" t="s">
        <v>482</v>
      </c>
      <c r="C231" s="90" t="s">
        <v>483</v>
      </c>
      <c r="D231" s="88">
        <v>0</v>
      </c>
      <c r="E231" s="29">
        <f t="shared" si="193"/>
        <v>7.3566959999999994E-3</v>
      </c>
      <c r="F231" s="29">
        <f t="shared" si="193"/>
        <v>0</v>
      </c>
      <c r="G231" s="29">
        <f t="shared" si="193"/>
        <v>1.493688E-3</v>
      </c>
      <c r="H231" s="29">
        <f t="shared" si="193"/>
        <v>5.8630079999999994E-3</v>
      </c>
      <c r="I231" s="29">
        <f t="shared" si="194"/>
        <v>0</v>
      </c>
      <c r="J231" s="29">
        <f t="shared" si="192"/>
        <v>0</v>
      </c>
      <c r="K231" s="29">
        <v>0</v>
      </c>
      <c r="L231" s="29">
        <v>0</v>
      </c>
      <c r="M231" s="29">
        <v>0</v>
      </c>
      <c r="N231" s="29">
        <v>0</v>
      </c>
      <c r="O231" s="29">
        <v>7.3566959999999994E-3</v>
      </c>
      <c r="P231" s="29">
        <v>0</v>
      </c>
      <c r="Q231" s="29">
        <v>1.493688E-3</v>
      </c>
      <c r="R231" s="29">
        <v>5.8630079999999994E-3</v>
      </c>
      <c r="S231" s="29">
        <v>0</v>
      </c>
      <c r="T231" s="30">
        <f t="shared" si="200"/>
        <v>0</v>
      </c>
      <c r="U231" s="30">
        <v>0</v>
      </c>
      <c r="V231" s="30">
        <v>0</v>
      </c>
      <c r="W231" s="30">
        <v>0</v>
      </c>
      <c r="X231" s="30">
        <v>0</v>
      </c>
      <c r="Y231" s="30">
        <f t="shared" si="201"/>
        <v>0</v>
      </c>
      <c r="Z231" s="30">
        <v>0</v>
      </c>
      <c r="AA231" s="30">
        <v>0</v>
      </c>
      <c r="AB231" s="30">
        <v>0</v>
      </c>
      <c r="AC231" s="34">
        <v>0</v>
      </c>
      <c r="AD231" s="36">
        <v>0</v>
      </c>
      <c r="AE231" s="36">
        <f t="shared" si="195"/>
        <v>6.1305800000000001E-3</v>
      </c>
      <c r="AF231" s="36">
        <f t="shared" si="195"/>
        <v>0</v>
      </c>
      <c r="AG231" s="36">
        <f t="shared" si="195"/>
        <v>1.24474E-3</v>
      </c>
      <c r="AH231" s="36">
        <f t="shared" si="195"/>
        <v>4.8858399999999998E-3</v>
      </c>
      <c r="AI231" s="36">
        <f t="shared" si="196"/>
        <v>0</v>
      </c>
      <c r="AJ231" s="36">
        <v>0</v>
      </c>
      <c r="AK231" s="36">
        <v>0</v>
      </c>
      <c r="AL231" s="36">
        <v>0</v>
      </c>
      <c r="AM231" s="36">
        <v>0</v>
      </c>
      <c r="AN231" s="36">
        <v>0</v>
      </c>
      <c r="AO231" s="34">
        <v>6.1305800000000001E-3</v>
      </c>
      <c r="AP231" s="34">
        <v>0</v>
      </c>
      <c r="AQ231" s="34">
        <v>1.24474E-3</v>
      </c>
      <c r="AR231" s="34">
        <v>4.8858399999999998E-3</v>
      </c>
      <c r="AS231" s="34">
        <v>0</v>
      </c>
      <c r="AT231" s="34">
        <f t="shared" si="202"/>
        <v>0</v>
      </c>
      <c r="AU231" s="34">
        <v>0</v>
      </c>
      <c r="AV231" s="34">
        <v>0</v>
      </c>
      <c r="AW231" s="34">
        <v>0</v>
      </c>
      <c r="AX231" s="34">
        <v>0</v>
      </c>
      <c r="AY231" s="34">
        <f t="shared" si="203"/>
        <v>0</v>
      </c>
      <c r="AZ231" s="34">
        <v>0</v>
      </c>
      <c r="BA231" s="34">
        <v>0</v>
      </c>
      <c r="BB231" s="34">
        <v>0</v>
      </c>
      <c r="BC231" s="34">
        <v>0</v>
      </c>
    </row>
    <row r="232" spans="1:55" s="55" customFormat="1" ht="21.75" customHeight="1" x14ac:dyDescent="0.25">
      <c r="A232" s="109" t="s">
        <v>56</v>
      </c>
      <c r="B232" s="89" t="s">
        <v>484</v>
      </c>
      <c r="C232" s="90" t="s">
        <v>485</v>
      </c>
      <c r="D232" s="88">
        <v>0</v>
      </c>
      <c r="E232" s="29">
        <f t="shared" si="193"/>
        <v>3.3087360000000005E-3</v>
      </c>
      <c r="F232" s="29">
        <f t="shared" si="193"/>
        <v>0</v>
      </c>
      <c r="G232" s="29">
        <f t="shared" si="193"/>
        <v>9.7746000000000009E-4</v>
      </c>
      <c r="H232" s="29">
        <f t="shared" si="193"/>
        <v>2.3312760000000002E-3</v>
      </c>
      <c r="I232" s="29">
        <f t="shared" si="194"/>
        <v>0</v>
      </c>
      <c r="J232" s="29">
        <f t="shared" si="192"/>
        <v>0</v>
      </c>
      <c r="K232" s="29">
        <v>0</v>
      </c>
      <c r="L232" s="29">
        <v>0</v>
      </c>
      <c r="M232" s="29">
        <v>0</v>
      </c>
      <c r="N232" s="29">
        <v>0</v>
      </c>
      <c r="O232" s="29">
        <v>3.3087360000000005E-3</v>
      </c>
      <c r="P232" s="29">
        <v>0</v>
      </c>
      <c r="Q232" s="29">
        <v>9.7746000000000009E-4</v>
      </c>
      <c r="R232" s="29">
        <v>2.3312760000000002E-3</v>
      </c>
      <c r="S232" s="29">
        <v>0</v>
      </c>
      <c r="T232" s="30">
        <f t="shared" si="200"/>
        <v>0</v>
      </c>
      <c r="U232" s="30">
        <v>0</v>
      </c>
      <c r="V232" s="30">
        <v>0</v>
      </c>
      <c r="W232" s="30">
        <v>0</v>
      </c>
      <c r="X232" s="30">
        <v>0</v>
      </c>
      <c r="Y232" s="30">
        <f t="shared" si="201"/>
        <v>0</v>
      </c>
      <c r="Z232" s="30">
        <v>0</v>
      </c>
      <c r="AA232" s="30">
        <v>0</v>
      </c>
      <c r="AB232" s="30">
        <v>0</v>
      </c>
      <c r="AC232" s="34">
        <v>0</v>
      </c>
      <c r="AD232" s="36">
        <v>0</v>
      </c>
      <c r="AE232" s="36">
        <f t="shared" si="195"/>
        <v>2.7572800000000004E-3</v>
      </c>
      <c r="AF232" s="36">
        <f t="shared" si="195"/>
        <v>0</v>
      </c>
      <c r="AG232" s="36">
        <f t="shared" si="195"/>
        <v>8.1455000000000015E-4</v>
      </c>
      <c r="AH232" s="36">
        <f t="shared" si="195"/>
        <v>1.9427300000000002E-3</v>
      </c>
      <c r="AI232" s="36">
        <f t="shared" si="196"/>
        <v>0</v>
      </c>
      <c r="AJ232" s="36">
        <v>0</v>
      </c>
      <c r="AK232" s="36">
        <v>0</v>
      </c>
      <c r="AL232" s="36">
        <v>0</v>
      </c>
      <c r="AM232" s="36">
        <v>0</v>
      </c>
      <c r="AN232" s="36">
        <v>0</v>
      </c>
      <c r="AO232" s="34">
        <v>2.7572800000000004E-3</v>
      </c>
      <c r="AP232" s="34">
        <v>0</v>
      </c>
      <c r="AQ232" s="34">
        <v>8.1455000000000015E-4</v>
      </c>
      <c r="AR232" s="34">
        <v>1.9427300000000002E-3</v>
      </c>
      <c r="AS232" s="34">
        <v>0</v>
      </c>
      <c r="AT232" s="34">
        <f t="shared" si="202"/>
        <v>0</v>
      </c>
      <c r="AU232" s="34">
        <v>0</v>
      </c>
      <c r="AV232" s="34">
        <v>0</v>
      </c>
      <c r="AW232" s="34">
        <v>0</v>
      </c>
      <c r="AX232" s="34">
        <v>0</v>
      </c>
      <c r="AY232" s="34">
        <f t="shared" si="203"/>
        <v>0</v>
      </c>
      <c r="AZ232" s="34">
        <v>0</v>
      </c>
      <c r="BA232" s="34">
        <v>0</v>
      </c>
      <c r="BB232" s="34">
        <v>0</v>
      </c>
      <c r="BC232" s="34">
        <v>0</v>
      </c>
    </row>
    <row r="233" spans="1:55" s="55" customFormat="1" ht="21.75" customHeight="1" x14ac:dyDescent="0.25">
      <c r="A233" s="109" t="s">
        <v>56</v>
      </c>
      <c r="B233" s="89" t="s">
        <v>486</v>
      </c>
      <c r="C233" s="90" t="s">
        <v>487</v>
      </c>
      <c r="D233" s="88">
        <v>0</v>
      </c>
      <c r="E233" s="29">
        <f t="shared" si="193"/>
        <v>6.4709279999999991E-3</v>
      </c>
      <c r="F233" s="29">
        <f t="shared" si="193"/>
        <v>0</v>
      </c>
      <c r="G233" s="29">
        <f t="shared" si="193"/>
        <v>1.9648079999999997E-3</v>
      </c>
      <c r="H233" s="29">
        <f t="shared" si="193"/>
        <v>4.5061199999999997E-3</v>
      </c>
      <c r="I233" s="29">
        <f t="shared" si="194"/>
        <v>0</v>
      </c>
      <c r="J233" s="29">
        <f t="shared" si="192"/>
        <v>0</v>
      </c>
      <c r="K233" s="29">
        <v>0</v>
      </c>
      <c r="L233" s="29">
        <v>0</v>
      </c>
      <c r="M233" s="29">
        <v>0</v>
      </c>
      <c r="N233" s="29">
        <v>0</v>
      </c>
      <c r="O233" s="29">
        <v>6.4709279999999991E-3</v>
      </c>
      <c r="P233" s="29">
        <v>0</v>
      </c>
      <c r="Q233" s="29">
        <v>1.9648079999999997E-3</v>
      </c>
      <c r="R233" s="29">
        <v>4.5061199999999997E-3</v>
      </c>
      <c r="S233" s="29">
        <v>0</v>
      </c>
      <c r="T233" s="30">
        <f t="shared" si="200"/>
        <v>0</v>
      </c>
      <c r="U233" s="30">
        <v>0</v>
      </c>
      <c r="V233" s="30">
        <v>0</v>
      </c>
      <c r="W233" s="30">
        <v>0</v>
      </c>
      <c r="X233" s="30">
        <v>0</v>
      </c>
      <c r="Y233" s="30">
        <f t="shared" si="201"/>
        <v>0</v>
      </c>
      <c r="Z233" s="30">
        <v>0</v>
      </c>
      <c r="AA233" s="30">
        <v>0</v>
      </c>
      <c r="AB233" s="30">
        <v>0</v>
      </c>
      <c r="AC233" s="34">
        <v>0</v>
      </c>
      <c r="AD233" s="36">
        <v>0</v>
      </c>
      <c r="AE233" s="36">
        <f t="shared" si="195"/>
        <v>5.3924400000000001E-3</v>
      </c>
      <c r="AF233" s="36">
        <f t="shared" si="195"/>
        <v>0</v>
      </c>
      <c r="AG233" s="36">
        <f t="shared" si="195"/>
        <v>1.6373399999999999E-3</v>
      </c>
      <c r="AH233" s="36">
        <f t="shared" si="195"/>
        <v>3.7550999999999999E-3</v>
      </c>
      <c r="AI233" s="36">
        <f t="shared" si="196"/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4">
        <v>5.3924400000000001E-3</v>
      </c>
      <c r="AP233" s="34">
        <v>0</v>
      </c>
      <c r="AQ233" s="34">
        <v>1.6373399999999999E-3</v>
      </c>
      <c r="AR233" s="34">
        <v>3.7550999999999999E-3</v>
      </c>
      <c r="AS233" s="34">
        <v>0</v>
      </c>
      <c r="AT233" s="34">
        <f t="shared" si="202"/>
        <v>0</v>
      </c>
      <c r="AU233" s="34">
        <v>0</v>
      </c>
      <c r="AV233" s="34">
        <v>0</v>
      </c>
      <c r="AW233" s="34">
        <v>0</v>
      </c>
      <c r="AX233" s="34">
        <v>0</v>
      </c>
      <c r="AY233" s="34">
        <f t="shared" si="203"/>
        <v>0</v>
      </c>
      <c r="AZ233" s="34">
        <v>0</v>
      </c>
      <c r="BA233" s="34">
        <v>0</v>
      </c>
      <c r="BB233" s="34">
        <v>0</v>
      </c>
      <c r="BC233" s="34">
        <v>0</v>
      </c>
    </row>
    <row r="234" spans="1:55" s="55" customFormat="1" ht="21.75" customHeight="1" x14ac:dyDescent="0.25">
      <c r="A234" s="109" t="s">
        <v>56</v>
      </c>
      <c r="B234" s="89" t="s">
        <v>488</v>
      </c>
      <c r="C234" s="90" t="s">
        <v>489</v>
      </c>
      <c r="D234" s="88">
        <v>0</v>
      </c>
      <c r="E234" s="29">
        <f t="shared" si="193"/>
        <v>7.4840280000000002E-3</v>
      </c>
      <c r="F234" s="29">
        <f t="shared" si="193"/>
        <v>0</v>
      </c>
      <c r="G234" s="29">
        <f t="shared" si="193"/>
        <v>3.032688E-3</v>
      </c>
      <c r="H234" s="29">
        <f t="shared" si="193"/>
        <v>4.4513399999999998E-3</v>
      </c>
      <c r="I234" s="29">
        <f t="shared" si="194"/>
        <v>0</v>
      </c>
      <c r="J234" s="29">
        <f t="shared" si="192"/>
        <v>0</v>
      </c>
      <c r="K234" s="29">
        <v>0</v>
      </c>
      <c r="L234" s="29">
        <v>0</v>
      </c>
      <c r="M234" s="29">
        <v>0</v>
      </c>
      <c r="N234" s="29">
        <v>0</v>
      </c>
      <c r="O234" s="29">
        <v>7.4840280000000002E-3</v>
      </c>
      <c r="P234" s="29">
        <v>0</v>
      </c>
      <c r="Q234" s="29">
        <v>3.032688E-3</v>
      </c>
      <c r="R234" s="29">
        <v>4.4513399999999998E-3</v>
      </c>
      <c r="S234" s="29">
        <v>0</v>
      </c>
      <c r="T234" s="30">
        <f t="shared" si="200"/>
        <v>0</v>
      </c>
      <c r="U234" s="30">
        <v>0</v>
      </c>
      <c r="V234" s="30">
        <v>0</v>
      </c>
      <c r="W234" s="30">
        <v>0</v>
      </c>
      <c r="X234" s="30">
        <v>0</v>
      </c>
      <c r="Y234" s="30">
        <f t="shared" si="201"/>
        <v>0</v>
      </c>
      <c r="Z234" s="30">
        <v>0</v>
      </c>
      <c r="AA234" s="30">
        <v>0</v>
      </c>
      <c r="AB234" s="30">
        <v>0</v>
      </c>
      <c r="AC234" s="34">
        <v>0</v>
      </c>
      <c r="AD234" s="36">
        <v>0</v>
      </c>
      <c r="AE234" s="36">
        <f t="shared" si="195"/>
        <v>6.2366899999999996E-3</v>
      </c>
      <c r="AF234" s="36">
        <f t="shared" si="195"/>
        <v>0</v>
      </c>
      <c r="AG234" s="36">
        <f t="shared" si="195"/>
        <v>2.52724E-3</v>
      </c>
      <c r="AH234" s="36">
        <f t="shared" si="195"/>
        <v>3.70945E-3</v>
      </c>
      <c r="AI234" s="36">
        <f t="shared" si="196"/>
        <v>0</v>
      </c>
      <c r="AJ234" s="36">
        <v>0</v>
      </c>
      <c r="AK234" s="36">
        <v>0</v>
      </c>
      <c r="AL234" s="36">
        <v>0</v>
      </c>
      <c r="AM234" s="36">
        <v>0</v>
      </c>
      <c r="AN234" s="36">
        <v>0</v>
      </c>
      <c r="AO234" s="34">
        <v>6.2366899999999996E-3</v>
      </c>
      <c r="AP234" s="34">
        <v>0</v>
      </c>
      <c r="AQ234" s="34">
        <v>2.52724E-3</v>
      </c>
      <c r="AR234" s="34">
        <v>3.70945E-3</v>
      </c>
      <c r="AS234" s="34">
        <v>0</v>
      </c>
      <c r="AT234" s="34">
        <f t="shared" si="202"/>
        <v>0</v>
      </c>
      <c r="AU234" s="34">
        <v>0</v>
      </c>
      <c r="AV234" s="34">
        <v>0</v>
      </c>
      <c r="AW234" s="34">
        <v>0</v>
      </c>
      <c r="AX234" s="34">
        <v>0</v>
      </c>
      <c r="AY234" s="34">
        <f t="shared" si="203"/>
        <v>0</v>
      </c>
      <c r="AZ234" s="34">
        <v>0</v>
      </c>
      <c r="BA234" s="34">
        <v>0</v>
      </c>
      <c r="BB234" s="34">
        <v>0</v>
      </c>
      <c r="BC234" s="34">
        <v>0</v>
      </c>
    </row>
    <row r="235" spans="1:55" s="55" customFormat="1" ht="21.75" customHeight="1" x14ac:dyDescent="0.25">
      <c r="A235" s="109" t="s">
        <v>56</v>
      </c>
      <c r="B235" s="89" t="s">
        <v>635</v>
      </c>
      <c r="C235" s="90" t="s">
        <v>636</v>
      </c>
      <c r="D235" s="88">
        <v>0</v>
      </c>
      <c r="E235" s="29">
        <f t="shared" si="193"/>
        <v>7.6643399999999995E-3</v>
      </c>
      <c r="F235" s="29">
        <f t="shared" si="193"/>
        <v>0</v>
      </c>
      <c r="G235" s="29">
        <f t="shared" si="193"/>
        <v>2.9725680000000001E-3</v>
      </c>
      <c r="H235" s="29">
        <f t="shared" si="193"/>
        <v>4.6917719999999994E-3</v>
      </c>
      <c r="I235" s="29">
        <f t="shared" si="194"/>
        <v>0</v>
      </c>
      <c r="J235" s="29">
        <f t="shared" si="192"/>
        <v>0</v>
      </c>
      <c r="K235" s="29">
        <v>0</v>
      </c>
      <c r="L235" s="29">
        <v>0</v>
      </c>
      <c r="M235" s="29">
        <v>0</v>
      </c>
      <c r="N235" s="29">
        <v>0</v>
      </c>
      <c r="O235" s="29">
        <f>P235+Q235+R235</f>
        <v>0</v>
      </c>
      <c r="P235" s="29">
        <v>0</v>
      </c>
      <c r="Q235" s="29">
        <v>0</v>
      </c>
      <c r="R235" s="29">
        <v>0</v>
      </c>
      <c r="S235" s="29">
        <v>0</v>
      </c>
      <c r="T235" s="30">
        <f t="shared" si="200"/>
        <v>7.6643399999999995E-3</v>
      </c>
      <c r="U235" s="30">
        <v>0</v>
      </c>
      <c r="V235" s="30">
        <v>2.9725680000000001E-3</v>
      </c>
      <c r="W235" s="30">
        <v>4.6917719999999994E-3</v>
      </c>
      <c r="X235" s="30">
        <v>0</v>
      </c>
      <c r="Y235" s="30">
        <f t="shared" si="201"/>
        <v>0</v>
      </c>
      <c r="Z235" s="30">
        <v>0</v>
      </c>
      <c r="AA235" s="30">
        <v>0</v>
      </c>
      <c r="AB235" s="30">
        <v>0</v>
      </c>
      <c r="AC235" s="34">
        <v>0</v>
      </c>
      <c r="AD235" s="36">
        <v>0</v>
      </c>
      <c r="AE235" s="36">
        <f t="shared" si="195"/>
        <v>6.3869499999999997E-3</v>
      </c>
      <c r="AF235" s="36">
        <f t="shared" si="195"/>
        <v>0</v>
      </c>
      <c r="AG235" s="36">
        <f t="shared" si="195"/>
        <v>2.4771400000000001E-3</v>
      </c>
      <c r="AH235" s="36">
        <f t="shared" si="195"/>
        <v>3.9098099999999997E-3</v>
      </c>
      <c r="AI235" s="36">
        <f t="shared" si="196"/>
        <v>0</v>
      </c>
      <c r="AJ235" s="36">
        <v>0</v>
      </c>
      <c r="AK235" s="36">
        <v>0</v>
      </c>
      <c r="AL235" s="36">
        <v>0</v>
      </c>
      <c r="AM235" s="36">
        <v>0</v>
      </c>
      <c r="AN235" s="36">
        <v>0</v>
      </c>
      <c r="AO235" s="36">
        <v>0</v>
      </c>
      <c r="AP235" s="36">
        <v>0</v>
      </c>
      <c r="AQ235" s="36">
        <v>0</v>
      </c>
      <c r="AR235" s="36">
        <v>0</v>
      </c>
      <c r="AS235" s="36">
        <v>0</v>
      </c>
      <c r="AT235" s="34">
        <f t="shared" si="202"/>
        <v>6.3869499999999997E-3</v>
      </c>
      <c r="AU235" s="34">
        <v>0</v>
      </c>
      <c r="AV235" s="34">
        <v>2.4771400000000001E-3</v>
      </c>
      <c r="AW235" s="34">
        <v>3.9098099999999997E-3</v>
      </c>
      <c r="AX235" s="34">
        <v>0</v>
      </c>
      <c r="AY235" s="34">
        <f t="shared" si="203"/>
        <v>0</v>
      </c>
      <c r="AZ235" s="34">
        <v>0</v>
      </c>
      <c r="BA235" s="34">
        <v>0</v>
      </c>
      <c r="BB235" s="34">
        <v>0</v>
      </c>
      <c r="BC235" s="34">
        <v>0</v>
      </c>
    </row>
    <row r="236" spans="1:55" s="55" customFormat="1" ht="21.75" customHeight="1" x14ac:dyDescent="0.25">
      <c r="A236" s="109" t="s">
        <v>56</v>
      </c>
      <c r="B236" s="89" t="s">
        <v>637</v>
      </c>
      <c r="C236" s="90" t="s">
        <v>638</v>
      </c>
      <c r="D236" s="88">
        <v>0</v>
      </c>
      <c r="E236" s="29">
        <f t="shared" si="193"/>
        <v>2.5552679999999998E-2</v>
      </c>
      <c r="F236" s="29">
        <f t="shared" si="193"/>
        <v>0</v>
      </c>
      <c r="G236" s="29">
        <f t="shared" si="193"/>
        <v>1.4937648E-2</v>
      </c>
      <c r="H236" s="29">
        <f t="shared" si="193"/>
        <v>1.0615031999999998E-2</v>
      </c>
      <c r="I236" s="29">
        <f t="shared" si="194"/>
        <v>0</v>
      </c>
      <c r="J236" s="29">
        <f t="shared" si="192"/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30">
        <f t="shared" si="200"/>
        <v>2.0712011999999998E-2</v>
      </c>
      <c r="U236" s="30">
        <v>0</v>
      </c>
      <c r="V236" s="30">
        <v>1.2757823999999999E-2</v>
      </c>
      <c r="W236" s="30">
        <v>7.9541879999999992E-3</v>
      </c>
      <c r="X236" s="30">
        <v>0</v>
      </c>
      <c r="Y236" s="30">
        <f t="shared" si="201"/>
        <v>4.8406679999999994E-3</v>
      </c>
      <c r="Z236" s="30">
        <v>0</v>
      </c>
      <c r="AA236" s="30">
        <v>2.1798239999999999E-3</v>
      </c>
      <c r="AB236" s="30">
        <v>2.6608439999999994E-3</v>
      </c>
      <c r="AC236" s="34">
        <v>0</v>
      </c>
      <c r="AD236" s="36">
        <v>0</v>
      </c>
      <c r="AE236" s="36">
        <f t="shared" si="195"/>
        <v>2.1293899999999998E-2</v>
      </c>
      <c r="AF236" s="36">
        <f t="shared" si="195"/>
        <v>0</v>
      </c>
      <c r="AG236" s="36">
        <f t="shared" si="195"/>
        <v>1.244804E-2</v>
      </c>
      <c r="AH236" s="36">
        <f t="shared" si="195"/>
        <v>8.8458600000000005E-3</v>
      </c>
      <c r="AI236" s="36">
        <f t="shared" si="196"/>
        <v>0</v>
      </c>
      <c r="AJ236" s="36">
        <v>0</v>
      </c>
      <c r="AK236" s="36">
        <v>0</v>
      </c>
      <c r="AL236" s="36">
        <v>0</v>
      </c>
      <c r="AM236" s="36">
        <v>0</v>
      </c>
      <c r="AN236" s="36">
        <v>0</v>
      </c>
      <c r="AO236" s="34">
        <v>0</v>
      </c>
      <c r="AP236" s="34">
        <v>0</v>
      </c>
      <c r="AQ236" s="34">
        <v>0</v>
      </c>
      <c r="AR236" s="34">
        <v>0</v>
      </c>
      <c r="AS236" s="34">
        <v>0</v>
      </c>
      <c r="AT236" s="34">
        <f t="shared" si="202"/>
        <v>1.7260009999999999E-2</v>
      </c>
      <c r="AU236" s="34">
        <v>0</v>
      </c>
      <c r="AV236" s="34">
        <v>1.063152E-2</v>
      </c>
      <c r="AW236" s="34">
        <v>6.6284899999999999E-3</v>
      </c>
      <c r="AX236" s="34">
        <v>0</v>
      </c>
      <c r="AY236" s="34">
        <f t="shared" si="203"/>
        <v>4.03389E-3</v>
      </c>
      <c r="AZ236" s="34">
        <v>0</v>
      </c>
      <c r="BA236" s="34">
        <v>1.8165199999999999E-3</v>
      </c>
      <c r="BB236" s="34">
        <v>2.2173699999999998E-3</v>
      </c>
      <c r="BC236" s="34">
        <v>0</v>
      </c>
    </row>
    <row r="237" spans="1:55" s="55" customFormat="1" ht="21.75" customHeight="1" x14ac:dyDescent="0.25">
      <c r="A237" s="109" t="s">
        <v>56</v>
      </c>
      <c r="B237" s="89" t="s">
        <v>639</v>
      </c>
      <c r="C237" s="90" t="s">
        <v>640</v>
      </c>
      <c r="D237" s="88">
        <v>0</v>
      </c>
      <c r="E237" s="29">
        <f t="shared" si="193"/>
        <v>6.853764E-3</v>
      </c>
      <c r="F237" s="29">
        <f t="shared" si="193"/>
        <v>0</v>
      </c>
      <c r="G237" s="29">
        <f t="shared" si="193"/>
        <v>2.197212E-3</v>
      </c>
      <c r="H237" s="29">
        <f t="shared" si="193"/>
        <v>4.6565519999999996E-3</v>
      </c>
      <c r="I237" s="29">
        <f t="shared" si="194"/>
        <v>0</v>
      </c>
      <c r="J237" s="29">
        <f t="shared" si="192"/>
        <v>0</v>
      </c>
      <c r="K237" s="29">
        <v>0</v>
      </c>
      <c r="L237" s="29">
        <v>0</v>
      </c>
      <c r="M237" s="29">
        <v>0</v>
      </c>
      <c r="N237" s="29">
        <v>0</v>
      </c>
      <c r="O237" s="29">
        <v>0</v>
      </c>
      <c r="P237" s="29">
        <v>0</v>
      </c>
      <c r="Q237" s="29">
        <v>0</v>
      </c>
      <c r="R237" s="29">
        <v>0</v>
      </c>
      <c r="S237" s="29">
        <v>0</v>
      </c>
      <c r="T237" s="30">
        <f t="shared" si="200"/>
        <v>6.853764E-3</v>
      </c>
      <c r="U237" s="30">
        <v>0</v>
      </c>
      <c r="V237" s="30">
        <v>2.197212E-3</v>
      </c>
      <c r="W237" s="30">
        <v>4.6565519999999996E-3</v>
      </c>
      <c r="X237" s="30">
        <v>0</v>
      </c>
      <c r="Y237" s="30">
        <f t="shared" si="201"/>
        <v>0</v>
      </c>
      <c r="Z237" s="30">
        <v>0</v>
      </c>
      <c r="AA237" s="30">
        <v>0</v>
      </c>
      <c r="AB237" s="30">
        <v>0</v>
      </c>
      <c r="AC237" s="34">
        <v>0</v>
      </c>
      <c r="AD237" s="36">
        <v>0</v>
      </c>
      <c r="AE237" s="36">
        <f t="shared" si="195"/>
        <v>5.7114699999999997E-3</v>
      </c>
      <c r="AF237" s="36">
        <f t="shared" si="195"/>
        <v>0</v>
      </c>
      <c r="AG237" s="36">
        <f t="shared" si="195"/>
        <v>1.8310100000000001E-3</v>
      </c>
      <c r="AH237" s="36">
        <f t="shared" si="195"/>
        <v>3.8804599999999996E-3</v>
      </c>
      <c r="AI237" s="36">
        <f t="shared" si="196"/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4">
        <v>0</v>
      </c>
      <c r="AP237" s="34">
        <v>0</v>
      </c>
      <c r="AQ237" s="34">
        <v>0</v>
      </c>
      <c r="AR237" s="34">
        <v>0</v>
      </c>
      <c r="AS237" s="34">
        <v>0</v>
      </c>
      <c r="AT237" s="34">
        <f t="shared" si="202"/>
        <v>5.7114699999999997E-3</v>
      </c>
      <c r="AU237" s="34">
        <v>0</v>
      </c>
      <c r="AV237" s="34">
        <v>1.8310100000000001E-3</v>
      </c>
      <c r="AW237" s="34">
        <v>3.8804599999999996E-3</v>
      </c>
      <c r="AX237" s="34">
        <v>0</v>
      </c>
      <c r="AY237" s="34">
        <f t="shared" si="203"/>
        <v>0</v>
      </c>
      <c r="AZ237" s="34">
        <v>0</v>
      </c>
      <c r="BA237" s="34">
        <v>0</v>
      </c>
      <c r="BB237" s="34">
        <v>0</v>
      </c>
      <c r="BC237" s="34">
        <v>0</v>
      </c>
    </row>
    <row r="238" spans="1:55" s="55" customFormat="1" ht="21.75" customHeight="1" x14ac:dyDescent="0.25">
      <c r="A238" s="110" t="s">
        <v>56</v>
      </c>
      <c r="B238" s="96" t="s">
        <v>734</v>
      </c>
      <c r="C238" s="99" t="s">
        <v>735</v>
      </c>
      <c r="D238" s="88">
        <v>0</v>
      </c>
      <c r="E238" s="29">
        <f t="shared" si="193"/>
        <v>5.7404880000000002E-3</v>
      </c>
      <c r="F238" s="29">
        <f t="shared" si="193"/>
        <v>0</v>
      </c>
      <c r="G238" s="29">
        <f t="shared" si="193"/>
        <v>1.41048E-3</v>
      </c>
      <c r="H238" s="29">
        <f t="shared" si="193"/>
        <v>4.3300080000000006E-3</v>
      </c>
      <c r="I238" s="29">
        <f t="shared" si="194"/>
        <v>0</v>
      </c>
      <c r="J238" s="29">
        <f t="shared" si="192"/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0</v>
      </c>
      <c r="P238" s="29">
        <v>0</v>
      </c>
      <c r="Q238" s="29">
        <v>0</v>
      </c>
      <c r="R238" s="29">
        <v>0</v>
      </c>
      <c r="S238" s="29">
        <v>0</v>
      </c>
      <c r="T238" s="30">
        <v>0</v>
      </c>
      <c r="U238" s="30">
        <v>0</v>
      </c>
      <c r="V238" s="30">
        <v>0</v>
      </c>
      <c r="W238" s="30">
        <v>0</v>
      </c>
      <c r="X238" s="30">
        <v>0</v>
      </c>
      <c r="Y238" s="30">
        <f t="shared" si="201"/>
        <v>5.7404880000000002E-3</v>
      </c>
      <c r="Z238" s="30">
        <v>0</v>
      </c>
      <c r="AA238" s="30">
        <v>1.41048E-3</v>
      </c>
      <c r="AB238" s="30">
        <v>4.3300080000000006E-3</v>
      </c>
      <c r="AC238" s="34">
        <v>0</v>
      </c>
      <c r="AD238" s="36">
        <v>0</v>
      </c>
      <c r="AE238" s="36">
        <f t="shared" si="195"/>
        <v>4.7837399999999999E-3</v>
      </c>
      <c r="AF238" s="36">
        <f t="shared" si="195"/>
        <v>0</v>
      </c>
      <c r="AG238" s="36">
        <f t="shared" si="195"/>
        <v>1.1754000000000001E-3</v>
      </c>
      <c r="AH238" s="36">
        <f t="shared" si="195"/>
        <v>3.6083400000000002E-3</v>
      </c>
      <c r="AI238" s="36">
        <f t="shared" si="196"/>
        <v>0</v>
      </c>
      <c r="AJ238" s="36">
        <v>0</v>
      </c>
      <c r="AK238" s="36">
        <v>0</v>
      </c>
      <c r="AL238" s="36">
        <v>0</v>
      </c>
      <c r="AM238" s="36">
        <v>0</v>
      </c>
      <c r="AN238" s="36">
        <v>0</v>
      </c>
      <c r="AO238" s="34">
        <v>0</v>
      </c>
      <c r="AP238" s="34">
        <v>0</v>
      </c>
      <c r="AQ238" s="34">
        <v>0</v>
      </c>
      <c r="AR238" s="34">
        <v>0</v>
      </c>
      <c r="AS238" s="34">
        <v>0</v>
      </c>
      <c r="AT238" s="34">
        <v>0</v>
      </c>
      <c r="AU238" s="34">
        <v>0</v>
      </c>
      <c r="AV238" s="34">
        <v>0</v>
      </c>
      <c r="AW238" s="34">
        <v>0</v>
      </c>
      <c r="AX238" s="34">
        <v>0</v>
      </c>
      <c r="AY238" s="34">
        <f t="shared" si="203"/>
        <v>4.7837399999999999E-3</v>
      </c>
      <c r="AZ238" s="34">
        <v>0</v>
      </c>
      <c r="BA238" s="34">
        <v>1.1754000000000001E-3</v>
      </c>
      <c r="BB238" s="34">
        <v>3.6083400000000002E-3</v>
      </c>
      <c r="BC238" s="34">
        <v>0</v>
      </c>
    </row>
    <row r="239" spans="1:55" s="55" customFormat="1" ht="21.75" customHeight="1" x14ac:dyDescent="0.25">
      <c r="A239" s="110" t="s">
        <v>56</v>
      </c>
      <c r="B239" s="96" t="s">
        <v>736</v>
      </c>
      <c r="C239" s="99" t="s">
        <v>737</v>
      </c>
      <c r="D239" s="88">
        <v>0</v>
      </c>
      <c r="E239" s="29">
        <f t="shared" si="193"/>
        <v>4.2835319999999996E-3</v>
      </c>
      <c r="F239" s="29">
        <f t="shared" si="193"/>
        <v>0</v>
      </c>
      <c r="G239" s="29">
        <f t="shared" si="193"/>
        <v>1.41048E-3</v>
      </c>
      <c r="H239" s="29">
        <f t="shared" si="193"/>
        <v>2.8730520000000001E-3</v>
      </c>
      <c r="I239" s="29">
        <f t="shared" si="194"/>
        <v>0</v>
      </c>
      <c r="J239" s="29">
        <f t="shared" si="192"/>
        <v>0</v>
      </c>
      <c r="K239" s="29">
        <v>0</v>
      </c>
      <c r="L239" s="29">
        <v>0</v>
      </c>
      <c r="M239" s="29">
        <v>0</v>
      </c>
      <c r="N239" s="29">
        <v>0</v>
      </c>
      <c r="O239" s="29">
        <v>0</v>
      </c>
      <c r="P239" s="29">
        <v>0</v>
      </c>
      <c r="Q239" s="29">
        <v>0</v>
      </c>
      <c r="R239" s="29">
        <v>0</v>
      </c>
      <c r="S239" s="29">
        <v>0</v>
      </c>
      <c r="T239" s="30">
        <v>0</v>
      </c>
      <c r="U239" s="30">
        <v>0</v>
      </c>
      <c r="V239" s="30">
        <v>0</v>
      </c>
      <c r="W239" s="30">
        <v>0</v>
      </c>
      <c r="X239" s="30">
        <v>0</v>
      </c>
      <c r="Y239" s="30">
        <f t="shared" si="201"/>
        <v>4.2835319999999996E-3</v>
      </c>
      <c r="Z239" s="30">
        <v>0</v>
      </c>
      <c r="AA239" s="30">
        <v>1.41048E-3</v>
      </c>
      <c r="AB239" s="30">
        <v>2.8730520000000001E-3</v>
      </c>
      <c r="AC239" s="34">
        <v>0</v>
      </c>
      <c r="AD239" s="36">
        <v>0</v>
      </c>
      <c r="AE239" s="36">
        <f t="shared" si="195"/>
        <v>3.5696100000000004E-3</v>
      </c>
      <c r="AF239" s="36">
        <f t="shared" si="195"/>
        <v>0</v>
      </c>
      <c r="AG239" s="36">
        <f t="shared" si="195"/>
        <v>1.1754000000000001E-3</v>
      </c>
      <c r="AH239" s="36">
        <f t="shared" si="195"/>
        <v>2.3942100000000003E-3</v>
      </c>
      <c r="AI239" s="36">
        <f t="shared" si="196"/>
        <v>0</v>
      </c>
      <c r="AJ239" s="36">
        <v>0</v>
      </c>
      <c r="AK239" s="36">
        <v>0</v>
      </c>
      <c r="AL239" s="36">
        <v>0</v>
      </c>
      <c r="AM239" s="36">
        <v>0</v>
      </c>
      <c r="AN239" s="36">
        <v>0</v>
      </c>
      <c r="AO239" s="34">
        <v>0</v>
      </c>
      <c r="AP239" s="34">
        <v>0</v>
      </c>
      <c r="AQ239" s="34">
        <v>0</v>
      </c>
      <c r="AR239" s="34">
        <v>0</v>
      </c>
      <c r="AS239" s="34">
        <v>0</v>
      </c>
      <c r="AT239" s="34">
        <v>0</v>
      </c>
      <c r="AU239" s="34">
        <v>0</v>
      </c>
      <c r="AV239" s="34">
        <v>0</v>
      </c>
      <c r="AW239" s="34">
        <v>0</v>
      </c>
      <c r="AX239" s="34">
        <v>0</v>
      </c>
      <c r="AY239" s="34">
        <f t="shared" si="203"/>
        <v>3.5696100000000004E-3</v>
      </c>
      <c r="AZ239" s="34">
        <v>0</v>
      </c>
      <c r="BA239" s="34">
        <v>1.1754000000000001E-3</v>
      </c>
      <c r="BB239" s="34">
        <v>2.3942100000000003E-3</v>
      </c>
      <c r="BC239" s="34">
        <v>0</v>
      </c>
    </row>
    <row r="240" spans="1:55" s="55" customFormat="1" ht="21.75" customHeight="1" x14ac:dyDescent="0.25">
      <c r="A240" s="110" t="s">
        <v>56</v>
      </c>
      <c r="B240" s="96" t="s">
        <v>738</v>
      </c>
      <c r="C240" s="99" t="s">
        <v>739</v>
      </c>
      <c r="D240" s="88">
        <v>0</v>
      </c>
      <c r="E240" s="29">
        <f t="shared" si="193"/>
        <v>3.6694320000000002E-3</v>
      </c>
      <c r="F240" s="29">
        <f t="shared" si="193"/>
        <v>0</v>
      </c>
      <c r="G240" s="29">
        <f t="shared" si="193"/>
        <v>1.0124040000000002E-3</v>
      </c>
      <c r="H240" s="29">
        <f t="shared" si="193"/>
        <v>2.6570280000000001E-3</v>
      </c>
      <c r="I240" s="29">
        <f t="shared" si="194"/>
        <v>0</v>
      </c>
      <c r="J240" s="29">
        <f t="shared" si="192"/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30">
        <v>0</v>
      </c>
      <c r="U240" s="30">
        <v>0</v>
      </c>
      <c r="V240" s="30">
        <v>0</v>
      </c>
      <c r="W240" s="30">
        <v>0</v>
      </c>
      <c r="X240" s="30">
        <v>0</v>
      </c>
      <c r="Y240" s="30">
        <f t="shared" si="201"/>
        <v>3.6694320000000002E-3</v>
      </c>
      <c r="Z240" s="30">
        <v>0</v>
      </c>
      <c r="AA240" s="30">
        <v>1.0124040000000002E-3</v>
      </c>
      <c r="AB240" s="30">
        <v>2.6570280000000001E-3</v>
      </c>
      <c r="AC240" s="34">
        <v>0</v>
      </c>
      <c r="AD240" s="36">
        <v>0</v>
      </c>
      <c r="AE240" s="36">
        <f t="shared" si="195"/>
        <v>3.0578599999999999E-3</v>
      </c>
      <c r="AF240" s="36">
        <f t="shared" si="195"/>
        <v>0</v>
      </c>
      <c r="AG240" s="36">
        <f t="shared" si="195"/>
        <v>8.4367000000000003E-4</v>
      </c>
      <c r="AH240" s="36">
        <f t="shared" si="195"/>
        <v>2.21419E-3</v>
      </c>
      <c r="AI240" s="36">
        <f t="shared" si="196"/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4">
        <v>0</v>
      </c>
      <c r="AP240" s="34">
        <v>0</v>
      </c>
      <c r="AQ240" s="34">
        <v>0</v>
      </c>
      <c r="AR240" s="34">
        <v>0</v>
      </c>
      <c r="AS240" s="34">
        <v>0</v>
      </c>
      <c r="AT240" s="34">
        <v>0</v>
      </c>
      <c r="AU240" s="34">
        <v>0</v>
      </c>
      <c r="AV240" s="34">
        <v>0</v>
      </c>
      <c r="AW240" s="34">
        <v>0</v>
      </c>
      <c r="AX240" s="34">
        <v>0</v>
      </c>
      <c r="AY240" s="34">
        <f t="shared" si="203"/>
        <v>3.0578599999999999E-3</v>
      </c>
      <c r="AZ240" s="34">
        <v>0</v>
      </c>
      <c r="BA240" s="34">
        <v>8.4367000000000003E-4</v>
      </c>
      <c r="BB240" s="34">
        <v>2.21419E-3</v>
      </c>
      <c r="BC240" s="34">
        <v>0</v>
      </c>
    </row>
    <row r="241" spans="1:55" s="55" customFormat="1" ht="21.75" customHeight="1" x14ac:dyDescent="0.25">
      <c r="A241" s="110" t="s">
        <v>56</v>
      </c>
      <c r="B241" s="96" t="s">
        <v>740</v>
      </c>
      <c r="C241" s="99" t="s">
        <v>741</v>
      </c>
      <c r="D241" s="88">
        <v>0</v>
      </c>
      <c r="E241" s="29">
        <f t="shared" si="193"/>
        <v>4.2872039999999993E-3</v>
      </c>
      <c r="F241" s="29">
        <f t="shared" si="193"/>
        <v>0</v>
      </c>
      <c r="G241" s="29">
        <f t="shared" si="193"/>
        <v>1.3901160000000001E-3</v>
      </c>
      <c r="H241" s="29">
        <f t="shared" si="193"/>
        <v>2.8970879999999995E-3</v>
      </c>
      <c r="I241" s="29">
        <f t="shared" si="194"/>
        <v>0</v>
      </c>
      <c r="J241" s="29">
        <f t="shared" si="192"/>
        <v>0</v>
      </c>
      <c r="K241" s="29">
        <v>0</v>
      </c>
      <c r="L241" s="29">
        <v>0</v>
      </c>
      <c r="M241" s="29">
        <v>0</v>
      </c>
      <c r="N241" s="29">
        <v>0</v>
      </c>
      <c r="O241" s="29">
        <v>0</v>
      </c>
      <c r="P241" s="29">
        <v>0</v>
      </c>
      <c r="Q241" s="29">
        <v>0</v>
      </c>
      <c r="R241" s="29">
        <v>0</v>
      </c>
      <c r="S241" s="29">
        <v>0</v>
      </c>
      <c r="T241" s="30">
        <v>0</v>
      </c>
      <c r="U241" s="30">
        <v>0</v>
      </c>
      <c r="V241" s="30">
        <v>0</v>
      </c>
      <c r="W241" s="30">
        <v>0</v>
      </c>
      <c r="X241" s="30">
        <v>0</v>
      </c>
      <c r="Y241" s="30">
        <f t="shared" si="201"/>
        <v>4.2872039999999993E-3</v>
      </c>
      <c r="Z241" s="30">
        <v>0</v>
      </c>
      <c r="AA241" s="30">
        <v>1.3901160000000001E-3</v>
      </c>
      <c r="AB241" s="30">
        <v>2.8970879999999995E-3</v>
      </c>
      <c r="AC241" s="34">
        <v>0</v>
      </c>
      <c r="AD241" s="36">
        <v>0</v>
      </c>
      <c r="AE241" s="36">
        <f t="shared" si="195"/>
        <v>3.57267E-3</v>
      </c>
      <c r="AF241" s="36">
        <f t="shared" si="195"/>
        <v>0</v>
      </c>
      <c r="AG241" s="36">
        <f t="shared" si="195"/>
        <v>1.15843E-3</v>
      </c>
      <c r="AH241" s="36">
        <f t="shared" si="195"/>
        <v>2.4142399999999998E-3</v>
      </c>
      <c r="AI241" s="36">
        <f t="shared" si="196"/>
        <v>0</v>
      </c>
      <c r="AJ241" s="36">
        <v>0</v>
      </c>
      <c r="AK241" s="36">
        <v>0</v>
      </c>
      <c r="AL241" s="36">
        <v>0</v>
      </c>
      <c r="AM241" s="36">
        <v>0</v>
      </c>
      <c r="AN241" s="36">
        <v>0</v>
      </c>
      <c r="AO241" s="34">
        <v>0</v>
      </c>
      <c r="AP241" s="34">
        <v>0</v>
      </c>
      <c r="AQ241" s="34">
        <v>0</v>
      </c>
      <c r="AR241" s="34">
        <v>0</v>
      </c>
      <c r="AS241" s="34">
        <v>0</v>
      </c>
      <c r="AT241" s="34">
        <v>0</v>
      </c>
      <c r="AU241" s="34">
        <v>0</v>
      </c>
      <c r="AV241" s="34">
        <v>0</v>
      </c>
      <c r="AW241" s="34">
        <v>0</v>
      </c>
      <c r="AX241" s="34">
        <v>0</v>
      </c>
      <c r="AY241" s="34">
        <f t="shared" si="203"/>
        <v>3.57267E-3</v>
      </c>
      <c r="AZ241" s="34">
        <v>0</v>
      </c>
      <c r="BA241" s="34">
        <v>1.15843E-3</v>
      </c>
      <c r="BB241" s="34">
        <v>2.4142399999999998E-3</v>
      </c>
      <c r="BC241" s="34">
        <v>0</v>
      </c>
    </row>
    <row r="242" spans="1:55" s="55" customFormat="1" ht="21.75" customHeight="1" x14ac:dyDescent="0.25">
      <c r="A242" s="110" t="s">
        <v>56</v>
      </c>
      <c r="B242" s="96" t="s">
        <v>742</v>
      </c>
      <c r="C242" s="99" t="s">
        <v>743</v>
      </c>
      <c r="D242" s="88">
        <v>0</v>
      </c>
      <c r="E242" s="29">
        <f t="shared" si="193"/>
        <v>1.2704448E-2</v>
      </c>
      <c r="F242" s="29">
        <f t="shared" si="193"/>
        <v>0</v>
      </c>
      <c r="G242" s="29">
        <f t="shared" si="193"/>
        <v>3.9175679999999997E-3</v>
      </c>
      <c r="H242" s="29">
        <f t="shared" si="193"/>
        <v>8.7868800000000004E-3</v>
      </c>
      <c r="I242" s="29">
        <f t="shared" si="194"/>
        <v>0</v>
      </c>
      <c r="J242" s="29">
        <f t="shared" si="192"/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  <c r="P242" s="29">
        <v>0</v>
      </c>
      <c r="Q242" s="29">
        <v>0</v>
      </c>
      <c r="R242" s="29">
        <v>0</v>
      </c>
      <c r="S242" s="29">
        <v>0</v>
      </c>
      <c r="T242" s="30">
        <v>0</v>
      </c>
      <c r="U242" s="30">
        <v>0</v>
      </c>
      <c r="V242" s="30">
        <v>0</v>
      </c>
      <c r="W242" s="30">
        <v>0</v>
      </c>
      <c r="X242" s="30">
        <v>0</v>
      </c>
      <c r="Y242" s="30">
        <f t="shared" si="201"/>
        <v>1.2704448E-2</v>
      </c>
      <c r="Z242" s="30">
        <v>0</v>
      </c>
      <c r="AA242" s="30">
        <v>3.9175679999999997E-3</v>
      </c>
      <c r="AB242" s="30">
        <v>8.7868800000000004E-3</v>
      </c>
      <c r="AC242" s="34">
        <v>0</v>
      </c>
      <c r="AD242" s="36">
        <v>0</v>
      </c>
      <c r="AE242" s="36">
        <f t="shared" si="195"/>
        <v>1.0587039999999999E-2</v>
      </c>
      <c r="AF242" s="36">
        <f t="shared" si="195"/>
        <v>0</v>
      </c>
      <c r="AG242" s="36">
        <f t="shared" si="195"/>
        <v>3.2646400000000001E-3</v>
      </c>
      <c r="AH242" s="36">
        <f t="shared" si="195"/>
        <v>7.3223999999999997E-3</v>
      </c>
      <c r="AI242" s="36">
        <f t="shared" si="196"/>
        <v>0</v>
      </c>
      <c r="AJ242" s="36">
        <v>0</v>
      </c>
      <c r="AK242" s="36">
        <v>0</v>
      </c>
      <c r="AL242" s="36">
        <v>0</v>
      </c>
      <c r="AM242" s="36">
        <v>0</v>
      </c>
      <c r="AN242" s="36">
        <v>0</v>
      </c>
      <c r="AO242" s="34">
        <v>0</v>
      </c>
      <c r="AP242" s="34">
        <v>0</v>
      </c>
      <c r="AQ242" s="34">
        <v>0</v>
      </c>
      <c r="AR242" s="34">
        <v>0</v>
      </c>
      <c r="AS242" s="34">
        <v>0</v>
      </c>
      <c r="AT242" s="34">
        <v>0</v>
      </c>
      <c r="AU242" s="34">
        <v>0</v>
      </c>
      <c r="AV242" s="34">
        <v>0</v>
      </c>
      <c r="AW242" s="34">
        <v>0</v>
      </c>
      <c r="AX242" s="34">
        <v>0</v>
      </c>
      <c r="AY242" s="34">
        <f t="shared" si="203"/>
        <v>1.0587039999999999E-2</v>
      </c>
      <c r="AZ242" s="34">
        <v>0</v>
      </c>
      <c r="BA242" s="34">
        <v>3.2646400000000001E-3</v>
      </c>
      <c r="BB242" s="34">
        <v>7.3223999999999997E-3</v>
      </c>
      <c r="BC242" s="34">
        <v>0</v>
      </c>
    </row>
    <row r="243" spans="1:55" s="55" customFormat="1" ht="21.75" customHeight="1" x14ac:dyDescent="0.25">
      <c r="A243" s="110" t="s">
        <v>56</v>
      </c>
      <c r="B243" s="96" t="s">
        <v>744</v>
      </c>
      <c r="C243" s="99" t="s">
        <v>745</v>
      </c>
      <c r="D243" s="88">
        <v>0</v>
      </c>
      <c r="E243" s="29">
        <f t="shared" si="193"/>
        <v>7.9204799999999988E-3</v>
      </c>
      <c r="F243" s="29">
        <f t="shared" si="193"/>
        <v>0</v>
      </c>
      <c r="G243" s="29">
        <f t="shared" si="193"/>
        <v>3.046764E-3</v>
      </c>
      <c r="H243" s="29">
        <f t="shared" si="193"/>
        <v>4.8737159999999993E-3</v>
      </c>
      <c r="I243" s="29">
        <f t="shared" si="194"/>
        <v>0</v>
      </c>
      <c r="J243" s="29">
        <f t="shared" si="192"/>
        <v>0</v>
      </c>
      <c r="K243" s="29">
        <v>0</v>
      </c>
      <c r="L243" s="29">
        <v>0</v>
      </c>
      <c r="M243" s="29">
        <v>0</v>
      </c>
      <c r="N243" s="29">
        <v>0</v>
      </c>
      <c r="O243" s="29">
        <v>0</v>
      </c>
      <c r="P243" s="29">
        <v>0</v>
      </c>
      <c r="Q243" s="29">
        <v>0</v>
      </c>
      <c r="R243" s="29">
        <v>0</v>
      </c>
      <c r="S243" s="29">
        <v>0</v>
      </c>
      <c r="T243" s="30">
        <v>0</v>
      </c>
      <c r="U243" s="30">
        <v>0</v>
      </c>
      <c r="V243" s="30">
        <v>0</v>
      </c>
      <c r="W243" s="30">
        <v>0</v>
      </c>
      <c r="X243" s="30">
        <v>0</v>
      </c>
      <c r="Y243" s="30">
        <f t="shared" si="201"/>
        <v>7.9204799999999988E-3</v>
      </c>
      <c r="Z243" s="30">
        <v>0</v>
      </c>
      <c r="AA243" s="30">
        <v>3.046764E-3</v>
      </c>
      <c r="AB243" s="30">
        <v>4.8737159999999993E-3</v>
      </c>
      <c r="AC243" s="34">
        <v>0</v>
      </c>
      <c r="AD243" s="36">
        <v>0</v>
      </c>
      <c r="AE243" s="36">
        <f t="shared" si="195"/>
        <v>6.6003999999999993E-3</v>
      </c>
      <c r="AF243" s="36">
        <f t="shared" si="195"/>
        <v>0</v>
      </c>
      <c r="AG243" s="36">
        <f t="shared" si="195"/>
        <v>2.5389699999999998E-3</v>
      </c>
      <c r="AH243" s="36">
        <f t="shared" si="195"/>
        <v>4.0614299999999996E-3</v>
      </c>
      <c r="AI243" s="36">
        <f t="shared" si="196"/>
        <v>0</v>
      </c>
      <c r="AJ243" s="36">
        <v>0</v>
      </c>
      <c r="AK243" s="36">
        <v>0</v>
      </c>
      <c r="AL243" s="36">
        <v>0</v>
      </c>
      <c r="AM243" s="36">
        <v>0</v>
      </c>
      <c r="AN243" s="36">
        <v>0</v>
      </c>
      <c r="AO243" s="34">
        <v>0</v>
      </c>
      <c r="AP243" s="34">
        <v>0</v>
      </c>
      <c r="AQ243" s="34">
        <v>0</v>
      </c>
      <c r="AR243" s="34">
        <v>0</v>
      </c>
      <c r="AS243" s="34">
        <v>0</v>
      </c>
      <c r="AT243" s="34">
        <v>0</v>
      </c>
      <c r="AU243" s="34">
        <v>0</v>
      </c>
      <c r="AV243" s="34">
        <v>0</v>
      </c>
      <c r="AW243" s="34">
        <v>0</v>
      </c>
      <c r="AX243" s="34">
        <v>0</v>
      </c>
      <c r="AY243" s="34">
        <f t="shared" si="203"/>
        <v>6.6003999999999993E-3</v>
      </c>
      <c r="AZ243" s="34">
        <v>0</v>
      </c>
      <c r="BA243" s="34">
        <v>2.5389699999999998E-3</v>
      </c>
      <c r="BB243" s="34">
        <v>4.0614299999999996E-3</v>
      </c>
      <c r="BC243" s="34">
        <v>0</v>
      </c>
    </row>
    <row r="244" spans="1:55" s="55" customFormat="1" ht="21.75" customHeight="1" x14ac:dyDescent="0.25">
      <c r="A244" s="110" t="s">
        <v>56</v>
      </c>
      <c r="B244" s="96" t="s">
        <v>746</v>
      </c>
      <c r="C244" s="99" t="s">
        <v>747</v>
      </c>
      <c r="D244" s="88">
        <v>0</v>
      </c>
      <c r="E244" s="29">
        <f t="shared" si="193"/>
        <v>7.6874051999999998E-2</v>
      </c>
      <c r="F244" s="29">
        <f t="shared" si="193"/>
        <v>0</v>
      </c>
      <c r="G244" s="29">
        <f t="shared" si="193"/>
        <v>1.6514892E-2</v>
      </c>
      <c r="H244" s="29">
        <f t="shared" si="193"/>
        <v>6.0359160000000002E-2</v>
      </c>
      <c r="I244" s="29">
        <f t="shared" si="194"/>
        <v>0</v>
      </c>
      <c r="J244" s="29">
        <f t="shared" si="192"/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30">
        <v>0</v>
      </c>
      <c r="U244" s="30">
        <v>0</v>
      </c>
      <c r="V244" s="30">
        <v>0</v>
      </c>
      <c r="W244" s="30">
        <v>0</v>
      </c>
      <c r="X244" s="30">
        <v>0</v>
      </c>
      <c r="Y244" s="30">
        <f t="shared" si="201"/>
        <v>7.6874051999999998E-2</v>
      </c>
      <c r="Z244" s="30">
        <v>0</v>
      </c>
      <c r="AA244" s="30">
        <v>1.6514892E-2</v>
      </c>
      <c r="AB244" s="30">
        <v>6.0359160000000002E-2</v>
      </c>
      <c r="AC244" s="34">
        <v>0</v>
      </c>
      <c r="AD244" s="36">
        <v>0</v>
      </c>
      <c r="AE244" s="36">
        <f t="shared" si="195"/>
        <v>6.4061710000000008E-2</v>
      </c>
      <c r="AF244" s="36">
        <f t="shared" si="195"/>
        <v>0</v>
      </c>
      <c r="AG244" s="36">
        <f t="shared" si="195"/>
        <v>1.3762409999999999E-2</v>
      </c>
      <c r="AH244" s="36">
        <f t="shared" si="195"/>
        <v>5.0299300000000005E-2</v>
      </c>
      <c r="AI244" s="36">
        <f t="shared" si="196"/>
        <v>0</v>
      </c>
      <c r="AJ244" s="36">
        <v>0</v>
      </c>
      <c r="AK244" s="36">
        <v>0</v>
      </c>
      <c r="AL244" s="36">
        <v>0</v>
      </c>
      <c r="AM244" s="36">
        <v>0</v>
      </c>
      <c r="AN244" s="36">
        <v>0</v>
      </c>
      <c r="AO244" s="34">
        <v>0</v>
      </c>
      <c r="AP244" s="34">
        <v>0</v>
      </c>
      <c r="AQ244" s="34">
        <v>0</v>
      </c>
      <c r="AR244" s="34">
        <v>0</v>
      </c>
      <c r="AS244" s="34">
        <v>0</v>
      </c>
      <c r="AT244" s="34">
        <v>0</v>
      </c>
      <c r="AU244" s="34">
        <v>0</v>
      </c>
      <c r="AV244" s="34">
        <v>0</v>
      </c>
      <c r="AW244" s="34">
        <v>0</v>
      </c>
      <c r="AX244" s="34">
        <v>0</v>
      </c>
      <c r="AY244" s="34">
        <f t="shared" si="203"/>
        <v>6.4061710000000008E-2</v>
      </c>
      <c r="AZ244" s="34">
        <v>0</v>
      </c>
      <c r="BA244" s="34">
        <v>1.3762409999999999E-2</v>
      </c>
      <c r="BB244" s="34">
        <v>5.0299300000000005E-2</v>
      </c>
      <c r="BC244" s="34">
        <v>0</v>
      </c>
    </row>
    <row r="245" spans="1:55" s="55" customFormat="1" ht="21.75" customHeight="1" x14ac:dyDescent="0.25">
      <c r="A245" s="110" t="s">
        <v>56</v>
      </c>
      <c r="B245" s="96" t="s">
        <v>748</v>
      </c>
      <c r="C245" s="99" t="s">
        <v>749</v>
      </c>
      <c r="D245" s="88">
        <v>0</v>
      </c>
      <c r="E245" s="29">
        <f t="shared" si="193"/>
        <v>7.8613799999999994E-3</v>
      </c>
      <c r="F245" s="29">
        <f t="shared" si="193"/>
        <v>0</v>
      </c>
      <c r="G245" s="29">
        <f t="shared" si="193"/>
        <v>3.4903320000000001E-3</v>
      </c>
      <c r="H245" s="29">
        <f t="shared" si="193"/>
        <v>4.3710479999999998E-3</v>
      </c>
      <c r="I245" s="29">
        <f t="shared" si="194"/>
        <v>0</v>
      </c>
      <c r="J245" s="29">
        <f t="shared" si="192"/>
        <v>0</v>
      </c>
      <c r="K245" s="29">
        <v>0</v>
      </c>
      <c r="L245" s="29">
        <v>0</v>
      </c>
      <c r="M245" s="29">
        <v>0</v>
      </c>
      <c r="N245" s="29">
        <v>0</v>
      </c>
      <c r="O245" s="29">
        <v>0</v>
      </c>
      <c r="P245" s="29">
        <v>0</v>
      </c>
      <c r="Q245" s="29">
        <v>0</v>
      </c>
      <c r="R245" s="29">
        <v>0</v>
      </c>
      <c r="S245" s="29">
        <v>0</v>
      </c>
      <c r="T245" s="30">
        <v>0</v>
      </c>
      <c r="U245" s="30">
        <v>0</v>
      </c>
      <c r="V245" s="30">
        <v>0</v>
      </c>
      <c r="W245" s="30">
        <v>0</v>
      </c>
      <c r="X245" s="30">
        <v>0</v>
      </c>
      <c r="Y245" s="30">
        <f t="shared" si="201"/>
        <v>7.8613799999999994E-3</v>
      </c>
      <c r="Z245" s="30">
        <v>0</v>
      </c>
      <c r="AA245" s="30">
        <v>3.4903320000000001E-3</v>
      </c>
      <c r="AB245" s="30">
        <v>4.3710479999999998E-3</v>
      </c>
      <c r="AC245" s="34">
        <v>0</v>
      </c>
      <c r="AD245" s="36">
        <v>0</v>
      </c>
      <c r="AE245" s="36">
        <f t="shared" si="195"/>
        <v>6.5511500000000004E-3</v>
      </c>
      <c r="AF245" s="36">
        <f t="shared" si="195"/>
        <v>0</v>
      </c>
      <c r="AG245" s="36">
        <f t="shared" si="195"/>
        <v>2.9086099999999998E-3</v>
      </c>
      <c r="AH245" s="36">
        <f t="shared" si="195"/>
        <v>3.6425400000000001E-3</v>
      </c>
      <c r="AI245" s="36">
        <f t="shared" si="196"/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4">
        <v>0</v>
      </c>
      <c r="AP245" s="34">
        <v>0</v>
      </c>
      <c r="AQ245" s="34">
        <v>0</v>
      </c>
      <c r="AR245" s="34">
        <v>0</v>
      </c>
      <c r="AS245" s="34">
        <v>0</v>
      </c>
      <c r="AT245" s="34">
        <v>0</v>
      </c>
      <c r="AU245" s="34">
        <v>0</v>
      </c>
      <c r="AV245" s="34">
        <v>0</v>
      </c>
      <c r="AW245" s="34">
        <v>0</v>
      </c>
      <c r="AX245" s="34">
        <v>0</v>
      </c>
      <c r="AY245" s="34">
        <f t="shared" si="203"/>
        <v>6.5511500000000004E-3</v>
      </c>
      <c r="AZ245" s="34">
        <v>0</v>
      </c>
      <c r="BA245" s="34">
        <v>2.9086099999999998E-3</v>
      </c>
      <c r="BB245" s="34">
        <v>3.6425400000000001E-3</v>
      </c>
      <c r="BC245" s="34">
        <v>0</v>
      </c>
    </row>
    <row r="246" spans="1:55" s="55" customFormat="1" ht="21.75" customHeight="1" x14ac:dyDescent="0.25">
      <c r="A246" s="110" t="s">
        <v>56</v>
      </c>
      <c r="B246" s="96" t="s">
        <v>750</v>
      </c>
      <c r="C246" s="99" t="s">
        <v>751</v>
      </c>
      <c r="D246" s="88">
        <v>0</v>
      </c>
      <c r="E246" s="29">
        <f t="shared" si="193"/>
        <v>0.126543564</v>
      </c>
      <c r="F246" s="29">
        <f t="shared" si="193"/>
        <v>0</v>
      </c>
      <c r="G246" s="29">
        <f t="shared" si="193"/>
        <v>5.3065499999999995E-2</v>
      </c>
      <c r="H246" s="29">
        <f t="shared" si="193"/>
        <v>7.347806400000001E-2</v>
      </c>
      <c r="I246" s="29">
        <f t="shared" si="194"/>
        <v>0</v>
      </c>
      <c r="J246" s="29">
        <f t="shared" si="192"/>
        <v>0</v>
      </c>
      <c r="K246" s="29">
        <v>0</v>
      </c>
      <c r="L246" s="29">
        <v>0</v>
      </c>
      <c r="M246" s="29">
        <v>0</v>
      </c>
      <c r="N246" s="29">
        <v>0</v>
      </c>
      <c r="O246" s="29">
        <v>0</v>
      </c>
      <c r="P246" s="29">
        <v>0</v>
      </c>
      <c r="Q246" s="29">
        <v>0</v>
      </c>
      <c r="R246" s="29">
        <v>0</v>
      </c>
      <c r="S246" s="29">
        <v>0</v>
      </c>
      <c r="T246" s="30">
        <v>0</v>
      </c>
      <c r="U246" s="30">
        <v>0</v>
      </c>
      <c r="V246" s="30">
        <v>0</v>
      </c>
      <c r="W246" s="30">
        <v>0</v>
      </c>
      <c r="X246" s="30">
        <v>0</v>
      </c>
      <c r="Y246" s="30">
        <f t="shared" si="201"/>
        <v>0.126543564</v>
      </c>
      <c r="Z246" s="30">
        <v>0</v>
      </c>
      <c r="AA246" s="30">
        <v>5.3065499999999995E-2</v>
      </c>
      <c r="AB246" s="30">
        <v>7.347806400000001E-2</v>
      </c>
      <c r="AC246" s="34">
        <v>0</v>
      </c>
      <c r="AD246" s="36">
        <v>0</v>
      </c>
      <c r="AE246" s="36">
        <f t="shared" si="195"/>
        <v>0.10545297000000001</v>
      </c>
      <c r="AF246" s="36">
        <f t="shared" si="195"/>
        <v>0</v>
      </c>
      <c r="AG246" s="36">
        <f t="shared" si="195"/>
        <v>4.4221249999999997E-2</v>
      </c>
      <c r="AH246" s="36">
        <f t="shared" si="195"/>
        <v>6.1231720000000003E-2</v>
      </c>
      <c r="AI246" s="36">
        <f t="shared" si="196"/>
        <v>0</v>
      </c>
      <c r="AJ246" s="36">
        <v>0</v>
      </c>
      <c r="AK246" s="36">
        <v>0</v>
      </c>
      <c r="AL246" s="36">
        <v>0</v>
      </c>
      <c r="AM246" s="36">
        <v>0</v>
      </c>
      <c r="AN246" s="36">
        <v>0</v>
      </c>
      <c r="AO246" s="34">
        <v>0</v>
      </c>
      <c r="AP246" s="34">
        <v>0</v>
      </c>
      <c r="AQ246" s="34">
        <v>0</v>
      </c>
      <c r="AR246" s="34">
        <v>0</v>
      </c>
      <c r="AS246" s="34">
        <v>0</v>
      </c>
      <c r="AT246" s="34">
        <v>0</v>
      </c>
      <c r="AU246" s="34">
        <v>0</v>
      </c>
      <c r="AV246" s="34">
        <v>0</v>
      </c>
      <c r="AW246" s="34">
        <v>0</v>
      </c>
      <c r="AX246" s="34">
        <v>0</v>
      </c>
      <c r="AY246" s="34">
        <f t="shared" si="203"/>
        <v>0.10545297000000001</v>
      </c>
      <c r="AZ246" s="34">
        <v>0</v>
      </c>
      <c r="BA246" s="34">
        <v>4.4221249999999997E-2</v>
      </c>
      <c r="BB246" s="34">
        <v>6.1231720000000003E-2</v>
      </c>
      <c r="BC246" s="34">
        <v>0</v>
      </c>
    </row>
    <row r="247" spans="1:55" s="55" customFormat="1" ht="21.75" customHeight="1" x14ac:dyDescent="0.25">
      <c r="A247" s="110" t="s">
        <v>56</v>
      </c>
      <c r="B247" s="96" t="s">
        <v>752</v>
      </c>
      <c r="C247" s="99" t="s">
        <v>753</v>
      </c>
      <c r="D247" s="88">
        <v>0</v>
      </c>
      <c r="E247" s="29">
        <f t="shared" si="193"/>
        <v>4.9534199999999994E-2</v>
      </c>
      <c r="F247" s="29">
        <f t="shared" si="193"/>
        <v>0</v>
      </c>
      <c r="G247" s="29">
        <f t="shared" si="193"/>
        <v>9.7139279999999984E-3</v>
      </c>
      <c r="H247" s="29">
        <f t="shared" si="193"/>
        <v>3.9820271999999997E-2</v>
      </c>
      <c r="I247" s="29">
        <f t="shared" si="194"/>
        <v>0</v>
      </c>
      <c r="J247" s="29">
        <f t="shared" si="192"/>
        <v>0</v>
      </c>
      <c r="K247" s="29">
        <v>0</v>
      </c>
      <c r="L247" s="29">
        <v>0</v>
      </c>
      <c r="M247" s="29">
        <v>0</v>
      </c>
      <c r="N247" s="29">
        <v>0</v>
      </c>
      <c r="O247" s="29">
        <v>0</v>
      </c>
      <c r="P247" s="29">
        <v>0</v>
      </c>
      <c r="Q247" s="29">
        <v>0</v>
      </c>
      <c r="R247" s="29">
        <v>0</v>
      </c>
      <c r="S247" s="29">
        <v>0</v>
      </c>
      <c r="T247" s="30">
        <v>0</v>
      </c>
      <c r="U247" s="30">
        <v>0</v>
      </c>
      <c r="V247" s="30">
        <v>0</v>
      </c>
      <c r="W247" s="30">
        <v>0</v>
      </c>
      <c r="X247" s="30">
        <v>0</v>
      </c>
      <c r="Y247" s="30">
        <f t="shared" si="201"/>
        <v>4.9534199999999994E-2</v>
      </c>
      <c r="Z247" s="30">
        <v>0</v>
      </c>
      <c r="AA247" s="30">
        <v>9.7139279999999984E-3</v>
      </c>
      <c r="AB247" s="30">
        <v>3.9820271999999997E-2</v>
      </c>
      <c r="AC247" s="34">
        <v>0</v>
      </c>
      <c r="AD247" s="36">
        <v>0</v>
      </c>
      <c r="AE247" s="36">
        <f t="shared" si="195"/>
        <v>4.1278500000000003E-2</v>
      </c>
      <c r="AF247" s="36">
        <f t="shared" si="195"/>
        <v>0</v>
      </c>
      <c r="AG247" s="36">
        <f t="shared" si="195"/>
        <v>8.0949400000000001E-3</v>
      </c>
      <c r="AH247" s="36">
        <f t="shared" si="195"/>
        <v>3.3183560000000001E-2</v>
      </c>
      <c r="AI247" s="36">
        <f t="shared" si="196"/>
        <v>0</v>
      </c>
      <c r="AJ247" s="36">
        <v>0</v>
      </c>
      <c r="AK247" s="36">
        <v>0</v>
      </c>
      <c r="AL247" s="36">
        <v>0</v>
      </c>
      <c r="AM247" s="36">
        <v>0</v>
      </c>
      <c r="AN247" s="36">
        <v>0</v>
      </c>
      <c r="AO247" s="34">
        <v>0</v>
      </c>
      <c r="AP247" s="34">
        <v>0</v>
      </c>
      <c r="AQ247" s="34">
        <v>0</v>
      </c>
      <c r="AR247" s="34">
        <v>0</v>
      </c>
      <c r="AS247" s="34">
        <v>0</v>
      </c>
      <c r="AT247" s="34">
        <v>0</v>
      </c>
      <c r="AU247" s="34">
        <v>0</v>
      </c>
      <c r="AV247" s="34">
        <v>0</v>
      </c>
      <c r="AW247" s="34">
        <v>0</v>
      </c>
      <c r="AX247" s="34">
        <v>0</v>
      </c>
      <c r="AY247" s="34">
        <f t="shared" si="203"/>
        <v>4.1278500000000003E-2</v>
      </c>
      <c r="AZ247" s="34">
        <v>0</v>
      </c>
      <c r="BA247" s="34">
        <v>8.0949400000000001E-3</v>
      </c>
      <c r="BB247" s="34">
        <v>3.3183560000000001E-2</v>
      </c>
      <c r="BC247" s="34">
        <v>0</v>
      </c>
    </row>
    <row r="248" spans="1:55" s="55" customFormat="1" ht="21.75" customHeight="1" x14ac:dyDescent="0.25">
      <c r="A248" s="110" t="s">
        <v>56</v>
      </c>
      <c r="B248" s="96" t="s">
        <v>754</v>
      </c>
      <c r="C248" s="99" t="s">
        <v>755</v>
      </c>
      <c r="D248" s="88">
        <v>0</v>
      </c>
      <c r="E248" s="29">
        <f t="shared" si="193"/>
        <v>4.7899956E-2</v>
      </c>
      <c r="F248" s="29">
        <f t="shared" si="193"/>
        <v>0</v>
      </c>
      <c r="G248" s="29">
        <f t="shared" si="193"/>
        <v>7.4107079999999994E-3</v>
      </c>
      <c r="H248" s="29">
        <f t="shared" si="193"/>
        <v>4.0489247999999999E-2</v>
      </c>
      <c r="I248" s="29">
        <f t="shared" si="194"/>
        <v>0</v>
      </c>
      <c r="J248" s="29">
        <f t="shared" si="192"/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0</v>
      </c>
      <c r="P248" s="29">
        <v>0</v>
      </c>
      <c r="Q248" s="29">
        <v>0</v>
      </c>
      <c r="R248" s="29">
        <v>0</v>
      </c>
      <c r="S248" s="29">
        <v>0</v>
      </c>
      <c r="T248" s="30">
        <v>0</v>
      </c>
      <c r="U248" s="30">
        <v>0</v>
      </c>
      <c r="V248" s="30">
        <v>0</v>
      </c>
      <c r="W248" s="30">
        <v>0</v>
      </c>
      <c r="X248" s="30">
        <v>0</v>
      </c>
      <c r="Y248" s="30">
        <f t="shared" si="201"/>
        <v>4.7899956E-2</v>
      </c>
      <c r="Z248" s="30">
        <v>0</v>
      </c>
      <c r="AA248" s="30">
        <v>7.4107079999999994E-3</v>
      </c>
      <c r="AB248" s="30">
        <v>4.0489247999999999E-2</v>
      </c>
      <c r="AC248" s="34">
        <v>0</v>
      </c>
      <c r="AD248" s="36">
        <v>0</v>
      </c>
      <c r="AE248" s="36">
        <f t="shared" si="195"/>
        <v>3.9916630000000002E-2</v>
      </c>
      <c r="AF248" s="36">
        <f t="shared" si="195"/>
        <v>0</v>
      </c>
      <c r="AG248" s="36">
        <f t="shared" si="195"/>
        <v>6.1755899999999999E-3</v>
      </c>
      <c r="AH248" s="36">
        <f t="shared" si="195"/>
        <v>3.374104E-2</v>
      </c>
      <c r="AI248" s="36">
        <f t="shared" si="196"/>
        <v>0</v>
      </c>
      <c r="AJ248" s="36">
        <v>0</v>
      </c>
      <c r="AK248" s="36">
        <v>0</v>
      </c>
      <c r="AL248" s="36">
        <v>0</v>
      </c>
      <c r="AM248" s="36">
        <v>0</v>
      </c>
      <c r="AN248" s="36">
        <v>0</v>
      </c>
      <c r="AO248" s="34">
        <v>0</v>
      </c>
      <c r="AP248" s="34">
        <v>0</v>
      </c>
      <c r="AQ248" s="34">
        <v>0</v>
      </c>
      <c r="AR248" s="34">
        <v>0</v>
      </c>
      <c r="AS248" s="34">
        <v>0</v>
      </c>
      <c r="AT248" s="34">
        <v>0</v>
      </c>
      <c r="AU248" s="34">
        <v>0</v>
      </c>
      <c r="AV248" s="34">
        <v>0</v>
      </c>
      <c r="AW248" s="34">
        <v>0</v>
      </c>
      <c r="AX248" s="34">
        <v>0</v>
      </c>
      <c r="AY248" s="34">
        <f t="shared" si="203"/>
        <v>3.9916630000000002E-2</v>
      </c>
      <c r="AZ248" s="34">
        <v>0</v>
      </c>
      <c r="BA248" s="34">
        <v>6.1755899999999999E-3</v>
      </c>
      <c r="BB248" s="34">
        <v>3.374104E-2</v>
      </c>
      <c r="BC248" s="34">
        <v>0</v>
      </c>
    </row>
    <row r="249" spans="1:55" s="55" customFormat="1" ht="21.75" customHeight="1" x14ac:dyDescent="0.25">
      <c r="A249" s="110" t="s">
        <v>56</v>
      </c>
      <c r="B249" s="96" t="s">
        <v>756</v>
      </c>
      <c r="C249" s="99" t="s">
        <v>757</v>
      </c>
      <c r="D249" s="88">
        <v>0</v>
      </c>
      <c r="E249" s="29">
        <f t="shared" si="193"/>
        <v>8.7233231999999994E-2</v>
      </c>
      <c r="F249" s="29">
        <f t="shared" si="193"/>
        <v>0</v>
      </c>
      <c r="G249" s="29">
        <f t="shared" si="193"/>
        <v>3.8844587999999992E-2</v>
      </c>
      <c r="H249" s="29">
        <f t="shared" si="193"/>
        <v>4.8388644000000001E-2</v>
      </c>
      <c r="I249" s="29">
        <f t="shared" si="194"/>
        <v>0</v>
      </c>
      <c r="J249" s="29">
        <f t="shared" si="192"/>
        <v>0</v>
      </c>
      <c r="K249" s="29">
        <v>0</v>
      </c>
      <c r="L249" s="29">
        <v>0</v>
      </c>
      <c r="M249" s="29">
        <v>0</v>
      </c>
      <c r="N249" s="29">
        <v>0</v>
      </c>
      <c r="O249" s="29">
        <v>0</v>
      </c>
      <c r="P249" s="29">
        <v>0</v>
      </c>
      <c r="Q249" s="29">
        <v>0</v>
      </c>
      <c r="R249" s="29">
        <v>0</v>
      </c>
      <c r="S249" s="29">
        <v>0</v>
      </c>
      <c r="T249" s="30">
        <v>0</v>
      </c>
      <c r="U249" s="30">
        <v>0</v>
      </c>
      <c r="V249" s="30">
        <v>0</v>
      </c>
      <c r="W249" s="30">
        <v>0</v>
      </c>
      <c r="X249" s="30">
        <v>0</v>
      </c>
      <c r="Y249" s="30">
        <f t="shared" si="201"/>
        <v>8.7233231999999994E-2</v>
      </c>
      <c r="Z249" s="30">
        <v>0</v>
      </c>
      <c r="AA249" s="30">
        <v>3.8844587999999992E-2</v>
      </c>
      <c r="AB249" s="30">
        <v>4.8388644000000001E-2</v>
      </c>
      <c r="AC249" s="34">
        <v>0</v>
      </c>
      <c r="AD249" s="36">
        <v>0</v>
      </c>
      <c r="AE249" s="36">
        <f t="shared" si="195"/>
        <v>7.2694359999999986E-2</v>
      </c>
      <c r="AF249" s="36">
        <f t="shared" si="195"/>
        <v>0</v>
      </c>
      <c r="AG249" s="36">
        <f t="shared" si="195"/>
        <v>3.2370489999999995E-2</v>
      </c>
      <c r="AH249" s="36">
        <f t="shared" si="195"/>
        <v>4.0323869999999998E-2</v>
      </c>
      <c r="AI249" s="36">
        <f t="shared" si="196"/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4">
        <v>0</v>
      </c>
      <c r="AP249" s="34">
        <v>0</v>
      </c>
      <c r="AQ249" s="34">
        <v>0</v>
      </c>
      <c r="AR249" s="34">
        <v>0</v>
      </c>
      <c r="AS249" s="34">
        <v>0</v>
      </c>
      <c r="AT249" s="34">
        <v>0</v>
      </c>
      <c r="AU249" s="34">
        <v>0</v>
      </c>
      <c r="AV249" s="34">
        <v>0</v>
      </c>
      <c r="AW249" s="34">
        <v>0</v>
      </c>
      <c r="AX249" s="34">
        <v>0</v>
      </c>
      <c r="AY249" s="34">
        <f t="shared" si="203"/>
        <v>7.2694359999999986E-2</v>
      </c>
      <c r="AZ249" s="34">
        <v>0</v>
      </c>
      <c r="BA249" s="34">
        <v>3.2370489999999995E-2</v>
      </c>
      <c r="BB249" s="34">
        <v>4.0323869999999998E-2</v>
      </c>
      <c r="BC249" s="34">
        <v>0</v>
      </c>
    </row>
    <row r="250" spans="1:55" s="55" customFormat="1" ht="21.75" customHeight="1" x14ac:dyDescent="0.25">
      <c r="A250" s="110" t="s">
        <v>56</v>
      </c>
      <c r="B250" s="96" t="s">
        <v>758</v>
      </c>
      <c r="C250" s="99" t="s">
        <v>759</v>
      </c>
      <c r="D250" s="88">
        <v>0</v>
      </c>
      <c r="E250" s="29">
        <f t="shared" si="193"/>
        <v>1.20813E-2</v>
      </c>
      <c r="F250" s="29">
        <f t="shared" si="193"/>
        <v>0</v>
      </c>
      <c r="G250" s="29">
        <f t="shared" si="193"/>
        <v>3.3542519999999998E-3</v>
      </c>
      <c r="H250" s="29">
        <f t="shared" si="193"/>
        <v>8.7270479999999994E-3</v>
      </c>
      <c r="I250" s="29">
        <f t="shared" si="194"/>
        <v>0</v>
      </c>
      <c r="J250" s="29">
        <f t="shared" si="192"/>
        <v>0</v>
      </c>
      <c r="K250" s="29">
        <v>0</v>
      </c>
      <c r="L250" s="29">
        <v>0</v>
      </c>
      <c r="M250" s="29">
        <v>0</v>
      </c>
      <c r="N250" s="29">
        <v>0</v>
      </c>
      <c r="O250" s="29">
        <v>0</v>
      </c>
      <c r="P250" s="29">
        <v>0</v>
      </c>
      <c r="Q250" s="29">
        <v>0</v>
      </c>
      <c r="R250" s="29">
        <v>0</v>
      </c>
      <c r="S250" s="29">
        <v>0</v>
      </c>
      <c r="T250" s="30">
        <v>0</v>
      </c>
      <c r="U250" s="30">
        <v>0</v>
      </c>
      <c r="V250" s="30">
        <v>0</v>
      </c>
      <c r="W250" s="30">
        <v>0</v>
      </c>
      <c r="X250" s="30">
        <v>0</v>
      </c>
      <c r="Y250" s="30">
        <f t="shared" si="201"/>
        <v>1.20813E-2</v>
      </c>
      <c r="Z250" s="30">
        <v>0</v>
      </c>
      <c r="AA250" s="30">
        <v>3.3542519999999998E-3</v>
      </c>
      <c r="AB250" s="30">
        <v>8.7270479999999994E-3</v>
      </c>
      <c r="AC250" s="34">
        <v>0</v>
      </c>
      <c r="AD250" s="36">
        <v>0</v>
      </c>
      <c r="AE250" s="36">
        <f t="shared" si="195"/>
        <v>1.006775E-2</v>
      </c>
      <c r="AF250" s="36">
        <f t="shared" si="195"/>
        <v>0</v>
      </c>
      <c r="AG250" s="36">
        <f t="shared" si="195"/>
        <v>2.7952099999999998E-3</v>
      </c>
      <c r="AH250" s="36">
        <f t="shared" si="195"/>
        <v>7.2725400000000001E-3</v>
      </c>
      <c r="AI250" s="36">
        <f t="shared" si="196"/>
        <v>0</v>
      </c>
      <c r="AJ250" s="36">
        <v>0</v>
      </c>
      <c r="AK250" s="36">
        <v>0</v>
      </c>
      <c r="AL250" s="36">
        <v>0</v>
      </c>
      <c r="AM250" s="36">
        <v>0</v>
      </c>
      <c r="AN250" s="36">
        <v>0</v>
      </c>
      <c r="AO250" s="34">
        <v>0</v>
      </c>
      <c r="AP250" s="34">
        <v>0</v>
      </c>
      <c r="AQ250" s="34">
        <v>0</v>
      </c>
      <c r="AR250" s="34">
        <v>0</v>
      </c>
      <c r="AS250" s="34">
        <v>0</v>
      </c>
      <c r="AT250" s="34">
        <v>0</v>
      </c>
      <c r="AU250" s="34">
        <v>0</v>
      </c>
      <c r="AV250" s="34">
        <v>0</v>
      </c>
      <c r="AW250" s="34">
        <v>0</v>
      </c>
      <c r="AX250" s="34">
        <v>0</v>
      </c>
      <c r="AY250" s="34">
        <f t="shared" si="203"/>
        <v>1.006775E-2</v>
      </c>
      <c r="AZ250" s="34">
        <v>0</v>
      </c>
      <c r="BA250" s="34">
        <v>2.7952099999999998E-3</v>
      </c>
      <c r="BB250" s="34">
        <v>7.2725400000000001E-3</v>
      </c>
      <c r="BC250" s="34">
        <v>0</v>
      </c>
    </row>
    <row r="251" spans="1:55" s="55" customFormat="1" ht="21.75" customHeight="1" x14ac:dyDescent="0.25">
      <c r="A251" s="110" t="s">
        <v>56</v>
      </c>
      <c r="B251" s="96" t="s">
        <v>760</v>
      </c>
      <c r="C251" s="99" t="s">
        <v>761</v>
      </c>
      <c r="D251" s="88">
        <v>0</v>
      </c>
      <c r="E251" s="29">
        <f t="shared" si="193"/>
        <v>3.7918919999999998E-3</v>
      </c>
      <c r="F251" s="29">
        <f t="shared" si="193"/>
        <v>0</v>
      </c>
      <c r="G251" s="29">
        <f t="shared" si="193"/>
        <v>1.134864E-3</v>
      </c>
      <c r="H251" s="29">
        <f t="shared" si="193"/>
        <v>2.6570280000000001E-3</v>
      </c>
      <c r="I251" s="29">
        <f t="shared" si="194"/>
        <v>0</v>
      </c>
      <c r="J251" s="29">
        <f t="shared" si="192"/>
        <v>0</v>
      </c>
      <c r="K251" s="29">
        <v>0</v>
      </c>
      <c r="L251" s="29">
        <v>0</v>
      </c>
      <c r="M251" s="29">
        <v>0</v>
      </c>
      <c r="N251" s="29">
        <v>0</v>
      </c>
      <c r="O251" s="29">
        <v>0</v>
      </c>
      <c r="P251" s="29">
        <v>0</v>
      </c>
      <c r="Q251" s="29">
        <v>0</v>
      </c>
      <c r="R251" s="29">
        <v>0</v>
      </c>
      <c r="S251" s="29">
        <v>0</v>
      </c>
      <c r="T251" s="30">
        <v>0</v>
      </c>
      <c r="U251" s="30">
        <v>0</v>
      </c>
      <c r="V251" s="30">
        <v>0</v>
      </c>
      <c r="W251" s="30">
        <v>0</v>
      </c>
      <c r="X251" s="30">
        <v>0</v>
      </c>
      <c r="Y251" s="30">
        <f t="shared" si="201"/>
        <v>3.7918919999999998E-3</v>
      </c>
      <c r="Z251" s="30">
        <v>0</v>
      </c>
      <c r="AA251" s="30">
        <v>1.134864E-3</v>
      </c>
      <c r="AB251" s="30">
        <v>2.6570280000000001E-3</v>
      </c>
      <c r="AC251" s="34">
        <v>0</v>
      </c>
      <c r="AD251" s="36">
        <v>0</v>
      </c>
      <c r="AE251" s="36">
        <f t="shared" si="195"/>
        <v>3.1599100000000001E-3</v>
      </c>
      <c r="AF251" s="36">
        <f t="shared" si="195"/>
        <v>0</v>
      </c>
      <c r="AG251" s="36">
        <f t="shared" si="195"/>
        <v>9.4572000000000005E-4</v>
      </c>
      <c r="AH251" s="36">
        <f t="shared" si="195"/>
        <v>2.21419E-3</v>
      </c>
      <c r="AI251" s="36">
        <f t="shared" si="196"/>
        <v>0</v>
      </c>
      <c r="AJ251" s="36">
        <v>0</v>
      </c>
      <c r="AK251" s="36">
        <v>0</v>
      </c>
      <c r="AL251" s="36">
        <v>0</v>
      </c>
      <c r="AM251" s="36">
        <v>0</v>
      </c>
      <c r="AN251" s="36">
        <v>0</v>
      </c>
      <c r="AO251" s="34">
        <v>0</v>
      </c>
      <c r="AP251" s="34">
        <v>0</v>
      </c>
      <c r="AQ251" s="34">
        <v>0</v>
      </c>
      <c r="AR251" s="34">
        <v>0</v>
      </c>
      <c r="AS251" s="34">
        <v>0</v>
      </c>
      <c r="AT251" s="34">
        <v>0</v>
      </c>
      <c r="AU251" s="34">
        <v>0</v>
      </c>
      <c r="AV251" s="34">
        <v>0</v>
      </c>
      <c r="AW251" s="34">
        <v>0</v>
      </c>
      <c r="AX251" s="34">
        <v>0</v>
      </c>
      <c r="AY251" s="34">
        <f t="shared" si="203"/>
        <v>3.1599100000000001E-3</v>
      </c>
      <c r="AZ251" s="34">
        <v>0</v>
      </c>
      <c r="BA251" s="34">
        <v>9.4572000000000005E-4</v>
      </c>
      <c r="BB251" s="34">
        <v>2.21419E-3</v>
      </c>
      <c r="BC251" s="34">
        <v>0</v>
      </c>
    </row>
    <row r="252" spans="1:55" s="55" customFormat="1" ht="21.75" customHeight="1" x14ac:dyDescent="0.25">
      <c r="A252" s="110" t="s">
        <v>56</v>
      </c>
      <c r="B252" s="96" t="s">
        <v>760</v>
      </c>
      <c r="C252" s="99" t="s">
        <v>762</v>
      </c>
      <c r="D252" s="88">
        <v>0</v>
      </c>
      <c r="E252" s="29">
        <f t="shared" si="193"/>
        <v>1.7633928E-2</v>
      </c>
      <c r="F252" s="29">
        <f t="shared" si="193"/>
        <v>0</v>
      </c>
      <c r="G252" s="29">
        <f t="shared" si="193"/>
        <v>1.1259347999999999E-2</v>
      </c>
      <c r="H252" s="29">
        <f t="shared" si="193"/>
        <v>6.3745799999999995E-3</v>
      </c>
      <c r="I252" s="29">
        <f t="shared" si="194"/>
        <v>0</v>
      </c>
      <c r="J252" s="29">
        <f t="shared" si="192"/>
        <v>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0</v>
      </c>
      <c r="Q252" s="29">
        <v>0</v>
      </c>
      <c r="R252" s="29">
        <v>0</v>
      </c>
      <c r="S252" s="29">
        <v>0</v>
      </c>
      <c r="T252" s="30">
        <v>0</v>
      </c>
      <c r="U252" s="30">
        <v>0</v>
      </c>
      <c r="V252" s="30">
        <v>0</v>
      </c>
      <c r="W252" s="30">
        <v>0</v>
      </c>
      <c r="X252" s="30">
        <v>0</v>
      </c>
      <c r="Y252" s="30">
        <f t="shared" si="201"/>
        <v>1.7633928E-2</v>
      </c>
      <c r="Z252" s="30">
        <v>0</v>
      </c>
      <c r="AA252" s="30">
        <v>1.1259347999999999E-2</v>
      </c>
      <c r="AB252" s="30">
        <v>6.3745799999999995E-3</v>
      </c>
      <c r="AC252" s="34">
        <v>0</v>
      </c>
      <c r="AD252" s="36">
        <v>0</v>
      </c>
      <c r="AE252" s="36">
        <f t="shared" si="195"/>
        <v>1.469494E-2</v>
      </c>
      <c r="AF252" s="36">
        <f t="shared" si="195"/>
        <v>0</v>
      </c>
      <c r="AG252" s="36">
        <f t="shared" si="195"/>
        <v>9.3827900000000002E-3</v>
      </c>
      <c r="AH252" s="36">
        <f t="shared" si="195"/>
        <v>5.3121499999999999E-3</v>
      </c>
      <c r="AI252" s="36">
        <f t="shared" si="196"/>
        <v>0</v>
      </c>
      <c r="AJ252" s="36">
        <v>0</v>
      </c>
      <c r="AK252" s="36">
        <v>0</v>
      </c>
      <c r="AL252" s="36">
        <v>0</v>
      </c>
      <c r="AM252" s="36">
        <v>0</v>
      </c>
      <c r="AN252" s="36">
        <v>0</v>
      </c>
      <c r="AO252" s="34">
        <v>0</v>
      </c>
      <c r="AP252" s="34">
        <v>0</v>
      </c>
      <c r="AQ252" s="34">
        <v>0</v>
      </c>
      <c r="AR252" s="34">
        <v>0</v>
      </c>
      <c r="AS252" s="34">
        <v>0</v>
      </c>
      <c r="AT252" s="34">
        <v>0</v>
      </c>
      <c r="AU252" s="34">
        <v>0</v>
      </c>
      <c r="AV252" s="34">
        <v>0</v>
      </c>
      <c r="AW252" s="34">
        <v>0</v>
      </c>
      <c r="AX252" s="34">
        <v>0</v>
      </c>
      <c r="AY252" s="34">
        <f t="shared" si="203"/>
        <v>1.469494E-2</v>
      </c>
      <c r="AZ252" s="34">
        <v>0</v>
      </c>
      <c r="BA252" s="34">
        <v>9.3827900000000002E-3</v>
      </c>
      <c r="BB252" s="34">
        <v>5.3121499999999999E-3</v>
      </c>
      <c r="BC252" s="34">
        <v>0</v>
      </c>
    </row>
    <row r="253" spans="1:55" s="55" customFormat="1" ht="21.75" customHeight="1" x14ac:dyDescent="0.25">
      <c r="A253" s="110" t="s">
        <v>56</v>
      </c>
      <c r="B253" s="96" t="s">
        <v>763</v>
      </c>
      <c r="C253" s="99" t="s">
        <v>764</v>
      </c>
      <c r="D253" s="88">
        <v>0</v>
      </c>
      <c r="E253" s="29">
        <f t="shared" si="193"/>
        <v>5.0536679999999999E-3</v>
      </c>
      <c r="F253" s="29">
        <f t="shared" si="193"/>
        <v>0</v>
      </c>
      <c r="G253" s="29">
        <f t="shared" si="193"/>
        <v>1.6840079999999999E-3</v>
      </c>
      <c r="H253" s="29">
        <f t="shared" si="193"/>
        <v>3.36966E-3</v>
      </c>
      <c r="I253" s="29">
        <f t="shared" si="194"/>
        <v>0</v>
      </c>
      <c r="J253" s="29">
        <f t="shared" si="192"/>
        <v>0</v>
      </c>
      <c r="K253" s="29">
        <v>0</v>
      </c>
      <c r="L253" s="29">
        <v>0</v>
      </c>
      <c r="M253" s="29">
        <v>0</v>
      </c>
      <c r="N253" s="29">
        <v>0</v>
      </c>
      <c r="O253" s="29">
        <v>0</v>
      </c>
      <c r="P253" s="29">
        <v>0</v>
      </c>
      <c r="Q253" s="29">
        <v>0</v>
      </c>
      <c r="R253" s="29">
        <v>0</v>
      </c>
      <c r="S253" s="29">
        <v>0</v>
      </c>
      <c r="T253" s="30">
        <v>0</v>
      </c>
      <c r="U253" s="30">
        <v>0</v>
      </c>
      <c r="V253" s="30">
        <v>0</v>
      </c>
      <c r="W253" s="30">
        <v>0</v>
      </c>
      <c r="X253" s="30">
        <v>0</v>
      </c>
      <c r="Y253" s="30">
        <f t="shared" si="201"/>
        <v>5.0536679999999999E-3</v>
      </c>
      <c r="Z253" s="30">
        <v>0</v>
      </c>
      <c r="AA253" s="30">
        <v>1.6840079999999999E-3</v>
      </c>
      <c r="AB253" s="30">
        <v>3.36966E-3</v>
      </c>
      <c r="AC253" s="34">
        <v>0</v>
      </c>
      <c r="AD253" s="36">
        <v>0</v>
      </c>
      <c r="AE253" s="36">
        <f t="shared" si="195"/>
        <v>4.2113900000000006E-3</v>
      </c>
      <c r="AF253" s="36">
        <f t="shared" si="195"/>
        <v>0</v>
      </c>
      <c r="AG253" s="36">
        <f t="shared" si="195"/>
        <v>1.4033400000000001E-3</v>
      </c>
      <c r="AH253" s="36">
        <f t="shared" si="195"/>
        <v>2.8080500000000003E-3</v>
      </c>
      <c r="AI253" s="36">
        <f t="shared" si="196"/>
        <v>0</v>
      </c>
      <c r="AJ253" s="36">
        <v>0</v>
      </c>
      <c r="AK253" s="36">
        <v>0</v>
      </c>
      <c r="AL253" s="36">
        <v>0</v>
      </c>
      <c r="AM253" s="36">
        <v>0</v>
      </c>
      <c r="AN253" s="36">
        <v>0</v>
      </c>
      <c r="AO253" s="34">
        <v>0</v>
      </c>
      <c r="AP253" s="34">
        <v>0</v>
      </c>
      <c r="AQ253" s="34">
        <v>0</v>
      </c>
      <c r="AR253" s="34">
        <v>0</v>
      </c>
      <c r="AS253" s="34">
        <v>0</v>
      </c>
      <c r="AT253" s="34">
        <v>0</v>
      </c>
      <c r="AU253" s="34">
        <v>0</v>
      </c>
      <c r="AV253" s="34">
        <v>0</v>
      </c>
      <c r="AW253" s="34">
        <v>0</v>
      </c>
      <c r="AX253" s="34">
        <v>0</v>
      </c>
      <c r="AY253" s="34">
        <f t="shared" si="203"/>
        <v>4.2113900000000006E-3</v>
      </c>
      <c r="AZ253" s="34">
        <v>0</v>
      </c>
      <c r="BA253" s="34">
        <v>1.4033400000000001E-3</v>
      </c>
      <c r="BB253" s="34">
        <v>2.8080500000000003E-3</v>
      </c>
      <c r="BC253" s="34">
        <v>0</v>
      </c>
    </row>
    <row r="254" spans="1:55" s="55" customFormat="1" ht="21.75" customHeight="1" x14ac:dyDescent="0.25">
      <c r="A254" s="110" t="s">
        <v>56</v>
      </c>
      <c r="B254" s="96" t="s">
        <v>765</v>
      </c>
      <c r="C254" s="99" t="s">
        <v>766</v>
      </c>
      <c r="D254" s="88">
        <v>0</v>
      </c>
      <c r="E254" s="29">
        <f t="shared" si="193"/>
        <v>5.432124E-3</v>
      </c>
      <c r="F254" s="29">
        <f t="shared" si="193"/>
        <v>0</v>
      </c>
      <c r="G254" s="29">
        <f t="shared" si="193"/>
        <v>3.0569400000000002E-3</v>
      </c>
      <c r="H254" s="29">
        <f t="shared" si="193"/>
        <v>2.3751839999999998E-3</v>
      </c>
      <c r="I254" s="29">
        <f t="shared" si="194"/>
        <v>0</v>
      </c>
      <c r="J254" s="29">
        <f t="shared" si="192"/>
        <v>0</v>
      </c>
      <c r="K254" s="29">
        <v>0</v>
      </c>
      <c r="L254" s="29">
        <v>0</v>
      </c>
      <c r="M254" s="29">
        <v>0</v>
      </c>
      <c r="N254" s="29">
        <v>0</v>
      </c>
      <c r="O254" s="29">
        <v>0</v>
      </c>
      <c r="P254" s="29">
        <v>0</v>
      </c>
      <c r="Q254" s="29">
        <v>0</v>
      </c>
      <c r="R254" s="29">
        <v>0</v>
      </c>
      <c r="S254" s="29">
        <v>0</v>
      </c>
      <c r="T254" s="30">
        <v>0</v>
      </c>
      <c r="U254" s="30">
        <v>0</v>
      </c>
      <c r="V254" s="30">
        <v>0</v>
      </c>
      <c r="W254" s="30">
        <v>0</v>
      </c>
      <c r="X254" s="30">
        <v>0</v>
      </c>
      <c r="Y254" s="30">
        <f t="shared" si="201"/>
        <v>5.432124E-3</v>
      </c>
      <c r="Z254" s="30">
        <v>0</v>
      </c>
      <c r="AA254" s="30">
        <v>3.0569400000000002E-3</v>
      </c>
      <c r="AB254" s="30">
        <v>2.3751839999999998E-3</v>
      </c>
      <c r="AC254" s="34">
        <v>0</v>
      </c>
      <c r="AD254" s="36">
        <v>0</v>
      </c>
      <c r="AE254" s="36">
        <f t="shared" si="195"/>
        <v>4.5267700000000003E-3</v>
      </c>
      <c r="AF254" s="36">
        <f t="shared" si="195"/>
        <v>0</v>
      </c>
      <c r="AG254" s="36">
        <f t="shared" si="195"/>
        <v>2.5474500000000001E-3</v>
      </c>
      <c r="AH254" s="36">
        <f t="shared" si="195"/>
        <v>1.9793200000000001E-3</v>
      </c>
      <c r="AI254" s="36">
        <f t="shared" si="196"/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4">
        <v>0</v>
      </c>
      <c r="AP254" s="34">
        <v>0</v>
      </c>
      <c r="AQ254" s="34">
        <v>0</v>
      </c>
      <c r="AR254" s="34">
        <v>0</v>
      </c>
      <c r="AS254" s="34">
        <v>0</v>
      </c>
      <c r="AT254" s="34">
        <v>0</v>
      </c>
      <c r="AU254" s="34">
        <v>0</v>
      </c>
      <c r="AV254" s="34">
        <v>0</v>
      </c>
      <c r="AW254" s="34">
        <v>0</v>
      </c>
      <c r="AX254" s="34">
        <v>0</v>
      </c>
      <c r="AY254" s="34">
        <f t="shared" si="203"/>
        <v>4.5267700000000003E-3</v>
      </c>
      <c r="AZ254" s="34">
        <v>0</v>
      </c>
      <c r="BA254" s="34">
        <v>2.5474500000000001E-3</v>
      </c>
      <c r="BB254" s="34">
        <v>1.9793200000000001E-3</v>
      </c>
      <c r="BC254" s="34">
        <v>0</v>
      </c>
    </row>
    <row r="255" spans="1:55" s="55" customFormat="1" ht="21.75" customHeight="1" x14ac:dyDescent="0.25">
      <c r="A255" s="110" t="s">
        <v>56</v>
      </c>
      <c r="B255" s="96" t="s">
        <v>767</v>
      </c>
      <c r="C255" s="99" t="s">
        <v>768</v>
      </c>
      <c r="D255" s="88">
        <v>0</v>
      </c>
      <c r="E255" s="29">
        <f t="shared" si="193"/>
        <v>6.6644159999999994E-3</v>
      </c>
      <c r="F255" s="29">
        <f t="shared" si="193"/>
        <v>0</v>
      </c>
      <c r="G255" s="29">
        <f t="shared" si="193"/>
        <v>5.9159879999999996E-3</v>
      </c>
      <c r="H255" s="29">
        <f t="shared" si="193"/>
        <v>7.4842799999999998E-4</v>
      </c>
      <c r="I255" s="29">
        <f t="shared" si="194"/>
        <v>0</v>
      </c>
      <c r="J255" s="29">
        <f t="shared" si="192"/>
        <v>0</v>
      </c>
      <c r="K255" s="29">
        <v>0</v>
      </c>
      <c r="L255" s="29">
        <v>0</v>
      </c>
      <c r="M255" s="29">
        <v>0</v>
      </c>
      <c r="N255" s="29">
        <v>0</v>
      </c>
      <c r="O255" s="29">
        <v>0</v>
      </c>
      <c r="P255" s="29">
        <v>0</v>
      </c>
      <c r="Q255" s="29">
        <v>0</v>
      </c>
      <c r="R255" s="29">
        <v>0</v>
      </c>
      <c r="S255" s="29">
        <v>0</v>
      </c>
      <c r="T255" s="30">
        <v>0</v>
      </c>
      <c r="U255" s="30">
        <v>0</v>
      </c>
      <c r="V255" s="30">
        <v>0</v>
      </c>
      <c r="W255" s="30">
        <v>0</v>
      </c>
      <c r="X255" s="30">
        <v>0</v>
      </c>
      <c r="Y255" s="30">
        <f t="shared" si="201"/>
        <v>6.6644159999999994E-3</v>
      </c>
      <c r="Z255" s="30">
        <v>0</v>
      </c>
      <c r="AA255" s="30">
        <v>5.9159879999999996E-3</v>
      </c>
      <c r="AB255" s="30">
        <v>7.4842799999999998E-4</v>
      </c>
      <c r="AC255" s="34">
        <v>0</v>
      </c>
      <c r="AD255" s="36">
        <v>0</v>
      </c>
      <c r="AE255" s="36">
        <f t="shared" si="195"/>
        <v>4.5462999999999996E-2</v>
      </c>
      <c r="AF255" s="36">
        <f t="shared" si="195"/>
        <v>0</v>
      </c>
      <c r="AG255" s="36">
        <f t="shared" si="195"/>
        <v>4.9299900000000004E-3</v>
      </c>
      <c r="AH255" s="36">
        <f t="shared" si="195"/>
        <v>4.0533009999999994E-2</v>
      </c>
      <c r="AI255" s="36">
        <f t="shared" si="196"/>
        <v>0</v>
      </c>
      <c r="AJ255" s="36">
        <v>0</v>
      </c>
      <c r="AK255" s="36">
        <v>0</v>
      </c>
      <c r="AL255" s="36">
        <v>0</v>
      </c>
      <c r="AM255" s="36">
        <v>0</v>
      </c>
      <c r="AN255" s="36">
        <v>0</v>
      </c>
      <c r="AO255" s="34">
        <v>0</v>
      </c>
      <c r="AP255" s="34">
        <v>0</v>
      </c>
      <c r="AQ255" s="34">
        <v>0</v>
      </c>
      <c r="AR255" s="34">
        <v>0</v>
      </c>
      <c r="AS255" s="34">
        <v>0</v>
      </c>
      <c r="AT255" s="34">
        <v>0</v>
      </c>
      <c r="AU255" s="34">
        <v>0</v>
      </c>
      <c r="AV255" s="34">
        <v>0</v>
      </c>
      <c r="AW255" s="34">
        <v>0</v>
      </c>
      <c r="AX255" s="34">
        <v>0</v>
      </c>
      <c r="AY255" s="34">
        <f t="shared" si="203"/>
        <v>4.5462999999999996E-2</v>
      </c>
      <c r="AZ255" s="34">
        <v>0</v>
      </c>
      <c r="BA255" s="34">
        <v>4.9299900000000004E-3</v>
      </c>
      <c r="BB255" s="34">
        <v>4.0533009999999994E-2</v>
      </c>
      <c r="BC255" s="34">
        <v>0</v>
      </c>
    </row>
    <row r="256" spans="1:55" s="55" customFormat="1" ht="21.75" customHeight="1" x14ac:dyDescent="0.25">
      <c r="A256" s="110" t="s">
        <v>56</v>
      </c>
      <c r="B256" s="96" t="s">
        <v>769</v>
      </c>
      <c r="C256" s="99" t="s">
        <v>770</v>
      </c>
      <c r="D256" s="88">
        <v>0</v>
      </c>
      <c r="E256" s="29">
        <f t="shared" si="193"/>
        <v>7.4315999999999991E-3</v>
      </c>
      <c r="F256" s="29">
        <f t="shared" si="193"/>
        <v>0</v>
      </c>
      <c r="G256" s="29">
        <f t="shared" si="193"/>
        <v>0</v>
      </c>
      <c r="H256" s="29">
        <f t="shared" si="193"/>
        <v>7.4315999999999991E-3</v>
      </c>
      <c r="I256" s="29">
        <f t="shared" si="194"/>
        <v>0</v>
      </c>
      <c r="J256" s="29">
        <f t="shared" si="192"/>
        <v>0</v>
      </c>
      <c r="K256" s="29">
        <v>0</v>
      </c>
      <c r="L256" s="29">
        <v>0</v>
      </c>
      <c r="M256" s="29">
        <v>0</v>
      </c>
      <c r="N256" s="29">
        <v>0</v>
      </c>
      <c r="O256" s="29">
        <v>0</v>
      </c>
      <c r="P256" s="29">
        <v>0</v>
      </c>
      <c r="Q256" s="29">
        <v>0</v>
      </c>
      <c r="R256" s="29">
        <v>0</v>
      </c>
      <c r="S256" s="29">
        <v>0</v>
      </c>
      <c r="T256" s="30">
        <v>0</v>
      </c>
      <c r="U256" s="30">
        <v>0</v>
      </c>
      <c r="V256" s="30">
        <v>0</v>
      </c>
      <c r="W256" s="30">
        <v>0</v>
      </c>
      <c r="X256" s="30">
        <v>0</v>
      </c>
      <c r="Y256" s="30">
        <f t="shared" si="201"/>
        <v>7.4315999999999991E-3</v>
      </c>
      <c r="Z256" s="30">
        <v>0</v>
      </c>
      <c r="AA256" s="30">
        <v>0</v>
      </c>
      <c r="AB256" s="30">
        <v>7.4315999999999991E-3</v>
      </c>
      <c r="AC256" s="34">
        <v>0</v>
      </c>
      <c r="AD256" s="36">
        <v>0</v>
      </c>
      <c r="AE256" s="36">
        <f t="shared" si="195"/>
        <v>6.1929999999999997E-3</v>
      </c>
      <c r="AF256" s="36">
        <f t="shared" si="195"/>
        <v>0</v>
      </c>
      <c r="AG256" s="36">
        <f t="shared" si="195"/>
        <v>0</v>
      </c>
      <c r="AH256" s="36">
        <f t="shared" si="195"/>
        <v>6.1929999999999997E-3</v>
      </c>
      <c r="AI256" s="36">
        <f t="shared" si="196"/>
        <v>0</v>
      </c>
      <c r="AJ256" s="36">
        <v>0</v>
      </c>
      <c r="AK256" s="36">
        <v>0</v>
      </c>
      <c r="AL256" s="36">
        <v>0</v>
      </c>
      <c r="AM256" s="36">
        <v>0</v>
      </c>
      <c r="AN256" s="36">
        <v>0</v>
      </c>
      <c r="AO256" s="34">
        <v>0</v>
      </c>
      <c r="AP256" s="34">
        <v>0</v>
      </c>
      <c r="AQ256" s="34">
        <v>0</v>
      </c>
      <c r="AR256" s="34">
        <v>0</v>
      </c>
      <c r="AS256" s="34">
        <v>0</v>
      </c>
      <c r="AT256" s="34">
        <v>0</v>
      </c>
      <c r="AU256" s="34">
        <v>0</v>
      </c>
      <c r="AV256" s="34">
        <v>0</v>
      </c>
      <c r="AW256" s="34">
        <v>0</v>
      </c>
      <c r="AX256" s="34">
        <v>0</v>
      </c>
      <c r="AY256" s="34">
        <f t="shared" si="203"/>
        <v>6.1929999999999997E-3</v>
      </c>
      <c r="AZ256" s="34">
        <v>0</v>
      </c>
      <c r="BA256" s="34">
        <v>0</v>
      </c>
      <c r="BB256" s="34">
        <v>6.1929999999999997E-3</v>
      </c>
      <c r="BC256" s="34">
        <v>0</v>
      </c>
    </row>
    <row r="257" spans="1:55" s="55" customFormat="1" ht="21.75" customHeight="1" x14ac:dyDescent="0.25">
      <c r="A257" s="110" t="s">
        <v>56</v>
      </c>
      <c r="B257" s="96" t="s">
        <v>771</v>
      </c>
      <c r="C257" s="99" t="s">
        <v>772</v>
      </c>
      <c r="D257" s="88">
        <v>0</v>
      </c>
      <c r="E257" s="29">
        <f t="shared" si="193"/>
        <v>9.0027959999999987E-3</v>
      </c>
      <c r="F257" s="29">
        <f t="shared" si="193"/>
        <v>0</v>
      </c>
      <c r="G257" s="29">
        <f t="shared" si="193"/>
        <v>4.2896279999999993E-3</v>
      </c>
      <c r="H257" s="29">
        <f t="shared" ref="H257:I319" si="204">M257+R257+W257+AB257</f>
        <v>4.7131679999999994E-3</v>
      </c>
      <c r="I257" s="29">
        <f t="shared" si="194"/>
        <v>0</v>
      </c>
      <c r="J257" s="29">
        <f t="shared" ref="J257:J273" si="205">K257+L257+M257+N257</f>
        <v>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0</v>
      </c>
      <c r="Q257" s="29">
        <v>0</v>
      </c>
      <c r="R257" s="29">
        <v>0</v>
      </c>
      <c r="S257" s="29">
        <v>0</v>
      </c>
      <c r="T257" s="30">
        <v>0</v>
      </c>
      <c r="U257" s="30">
        <v>0</v>
      </c>
      <c r="V257" s="30">
        <v>0</v>
      </c>
      <c r="W257" s="30">
        <v>0</v>
      </c>
      <c r="X257" s="30">
        <v>0</v>
      </c>
      <c r="Y257" s="30">
        <f t="shared" si="201"/>
        <v>9.0027959999999987E-3</v>
      </c>
      <c r="Z257" s="30">
        <v>0</v>
      </c>
      <c r="AA257" s="30">
        <v>4.2896279999999993E-3</v>
      </c>
      <c r="AB257" s="30">
        <v>4.7131679999999994E-3</v>
      </c>
      <c r="AC257" s="34">
        <v>0</v>
      </c>
      <c r="AD257" s="36">
        <v>0</v>
      </c>
      <c r="AE257" s="36">
        <f t="shared" si="195"/>
        <v>7.5023199999999998E-3</v>
      </c>
      <c r="AF257" s="36">
        <f t="shared" si="195"/>
        <v>0</v>
      </c>
      <c r="AG257" s="36">
        <f t="shared" si="195"/>
        <v>3.5746799999999998E-3</v>
      </c>
      <c r="AH257" s="36">
        <f t="shared" ref="AH257:AI319" si="206">AM257+AR257+AW257+BB257</f>
        <v>3.9276399999999996E-3</v>
      </c>
      <c r="AI257" s="36">
        <f t="shared" si="196"/>
        <v>0</v>
      </c>
      <c r="AJ257" s="36">
        <v>0</v>
      </c>
      <c r="AK257" s="36">
        <v>0</v>
      </c>
      <c r="AL257" s="36">
        <v>0</v>
      </c>
      <c r="AM257" s="36">
        <v>0</v>
      </c>
      <c r="AN257" s="36">
        <v>0</v>
      </c>
      <c r="AO257" s="34">
        <v>0</v>
      </c>
      <c r="AP257" s="34">
        <v>0</v>
      </c>
      <c r="AQ257" s="34">
        <v>0</v>
      </c>
      <c r="AR257" s="34">
        <v>0</v>
      </c>
      <c r="AS257" s="34">
        <v>0</v>
      </c>
      <c r="AT257" s="34">
        <v>0</v>
      </c>
      <c r="AU257" s="34">
        <v>0</v>
      </c>
      <c r="AV257" s="34">
        <v>0</v>
      </c>
      <c r="AW257" s="34">
        <v>0</v>
      </c>
      <c r="AX257" s="34">
        <v>0</v>
      </c>
      <c r="AY257" s="34">
        <f t="shared" si="203"/>
        <v>7.5023199999999998E-3</v>
      </c>
      <c r="AZ257" s="34">
        <v>0</v>
      </c>
      <c r="BA257" s="34">
        <v>3.5746799999999998E-3</v>
      </c>
      <c r="BB257" s="34">
        <v>3.9276399999999996E-3</v>
      </c>
      <c r="BC257" s="34">
        <v>0</v>
      </c>
    </row>
    <row r="258" spans="1:55" s="55" customFormat="1" ht="21.75" customHeight="1" x14ac:dyDescent="0.25">
      <c r="A258" s="110" t="s">
        <v>56</v>
      </c>
      <c r="B258" s="96" t="s">
        <v>773</v>
      </c>
      <c r="C258" s="99" t="s">
        <v>774</v>
      </c>
      <c r="D258" s="88">
        <v>0</v>
      </c>
      <c r="E258" s="29">
        <f t="shared" ref="E258:I320" si="207">J258+O258+T258+Y258</f>
        <v>5.3407716000000001E-2</v>
      </c>
      <c r="F258" s="29">
        <f t="shared" si="207"/>
        <v>0</v>
      </c>
      <c r="G258" s="29">
        <f t="shared" si="207"/>
        <v>1.1075016E-2</v>
      </c>
      <c r="H258" s="29">
        <f t="shared" si="204"/>
        <v>4.2332700000000001E-2</v>
      </c>
      <c r="I258" s="29">
        <f t="shared" si="204"/>
        <v>0</v>
      </c>
      <c r="J258" s="29">
        <f t="shared" si="205"/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>
        <v>0</v>
      </c>
      <c r="Q258" s="29">
        <v>0</v>
      </c>
      <c r="R258" s="29">
        <v>0</v>
      </c>
      <c r="S258" s="29">
        <v>0</v>
      </c>
      <c r="T258" s="30">
        <v>0</v>
      </c>
      <c r="U258" s="30">
        <v>0</v>
      </c>
      <c r="V258" s="30">
        <v>0</v>
      </c>
      <c r="W258" s="30">
        <v>0</v>
      </c>
      <c r="X258" s="30">
        <v>0</v>
      </c>
      <c r="Y258" s="30">
        <f t="shared" si="201"/>
        <v>5.3407716000000001E-2</v>
      </c>
      <c r="Z258" s="30">
        <v>0</v>
      </c>
      <c r="AA258" s="30">
        <v>1.1075016E-2</v>
      </c>
      <c r="AB258" s="30">
        <v>4.2332700000000001E-2</v>
      </c>
      <c r="AC258" s="34">
        <v>0</v>
      </c>
      <c r="AD258" s="36">
        <v>0</v>
      </c>
      <c r="AE258" s="36">
        <f t="shared" ref="AE258:AI320" si="208">AJ258+AO258+AT258+AY258</f>
        <v>4.450643E-2</v>
      </c>
      <c r="AF258" s="36">
        <f t="shared" si="208"/>
        <v>0</v>
      </c>
      <c r="AG258" s="36">
        <f t="shared" si="208"/>
        <v>9.22918E-3</v>
      </c>
      <c r="AH258" s="36">
        <f t="shared" si="206"/>
        <v>3.5277250000000003E-2</v>
      </c>
      <c r="AI258" s="36">
        <f t="shared" si="206"/>
        <v>0</v>
      </c>
      <c r="AJ258" s="36">
        <v>0</v>
      </c>
      <c r="AK258" s="36">
        <v>0</v>
      </c>
      <c r="AL258" s="36">
        <v>0</v>
      </c>
      <c r="AM258" s="36">
        <v>0</v>
      </c>
      <c r="AN258" s="36">
        <v>0</v>
      </c>
      <c r="AO258" s="34">
        <v>0</v>
      </c>
      <c r="AP258" s="34">
        <v>0</v>
      </c>
      <c r="AQ258" s="34">
        <v>0</v>
      </c>
      <c r="AR258" s="34">
        <v>0</v>
      </c>
      <c r="AS258" s="34">
        <v>0</v>
      </c>
      <c r="AT258" s="34">
        <v>0</v>
      </c>
      <c r="AU258" s="34">
        <v>0</v>
      </c>
      <c r="AV258" s="34">
        <v>0</v>
      </c>
      <c r="AW258" s="34">
        <v>0</v>
      </c>
      <c r="AX258" s="34">
        <v>0</v>
      </c>
      <c r="AY258" s="34">
        <f t="shared" si="203"/>
        <v>4.450643E-2</v>
      </c>
      <c r="AZ258" s="34">
        <v>0</v>
      </c>
      <c r="BA258" s="34">
        <v>9.22918E-3</v>
      </c>
      <c r="BB258" s="34">
        <v>3.5277250000000003E-2</v>
      </c>
      <c r="BC258" s="34">
        <v>0</v>
      </c>
    </row>
    <row r="259" spans="1:55" s="55" customFormat="1" ht="21.75" customHeight="1" x14ac:dyDescent="0.25">
      <c r="A259" s="110" t="s">
        <v>56</v>
      </c>
      <c r="B259" s="96" t="s">
        <v>760</v>
      </c>
      <c r="C259" s="99" t="s">
        <v>775</v>
      </c>
      <c r="D259" s="88">
        <v>0</v>
      </c>
      <c r="E259" s="29">
        <f t="shared" si="207"/>
        <v>6.1702440000000001E-3</v>
      </c>
      <c r="F259" s="29">
        <f t="shared" si="207"/>
        <v>0</v>
      </c>
      <c r="G259" s="29">
        <f t="shared" si="207"/>
        <v>1.6091879999999999E-3</v>
      </c>
      <c r="H259" s="29">
        <f t="shared" si="204"/>
        <v>4.561056E-3</v>
      </c>
      <c r="I259" s="29">
        <f t="shared" si="204"/>
        <v>0</v>
      </c>
      <c r="J259" s="29">
        <f t="shared" si="205"/>
        <v>0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0</v>
      </c>
      <c r="Q259" s="29">
        <v>0</v>
      </c>
      <c r="R259" s="29">
        <v>0</v>
      </c>
      <c r="S259" s="29">
        <v>0</v>
      </c>
      <c r="T259" s="30">
        <v>0</v>
      </c>
      <c r="U259" s="30">
        <v>0</v>
      </c>
      <c r="V259" s="30">
        <v>0</v>
      </c>
      <c r="W259" s="30">
        <v>0</v>
      </c>
      <c r="X259" s="30">
        <v>0</v>
      </c>
      <c r="Y259" s="30">
        <f t="shared" si="201"/>
        <v>6.1702440000000001E-3</v>
      </c>
      <c r="Z259" s="30">
        <v>0</v>
      </c>
      <c r="AA259" s="30">
        <v>1.6091879999999999E-3</v>
      </c>
      <c r="AB259" s="30">
        <v>4.561056E-3</v>
      </c>
      <c r="AC259" s="34">
        <v>0</v>
      </c>
      <c r="AD259" s="36">
        <v>0</v>
      </c>
      <c r="AE259" s="36">
        <f t="shared" si="208"/>
        <v>5.1418699999999998E-3</v>
      </c>
      <c r="AF259" s="36">
        <f t="shared" si="208"/>
        <v>0</v>
      </c>
      <c r="AG259" s="36">
        <f t="shared" si="208"/>
        <v>1.3409899999999998E-3</v>
      </c>
      <c r="AH259" s="36">
        <f t="shared" si="206"/>
        <v>3.80088E-3</v>
      </c>
      <c r="AI259" s="36">
        <f t="shared" si="206"/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4">
        <v>0</v>
      </c>
      <c r="AP259" s="34">
        <v>0</v>
      </c>
      <c r="AQ259" s="34">
        <v>0</v>
      </c>
      <c r="AR259" s="34">
        <v>0</v>
      </c>
      <c r="AS259" s="34">
        <v>0</v>
      </c>
      <c r="AT259" s="34">
        <v>0</v>
      </c>
      <c r="AU259" s="34">
        <v>0</v>
      </c>
      <c r="AV259" s="34">
        <v>0</v>
      </c>
      <c r="AW259" s="34">
        <v>0</v>
      </c>
      <c r="AX259" s="34">
        <v>0</v>
      </c>
      <c r="AY259" s="34">
        <f t="shared" si="203"/>
        <v>5.1418699999999998E-3</v>
      </c>
      <c r="AZ259" s="34">
        <v>0</v>
      </c>
      <c r="BA259" s="34">
        <v>1.3409899999999998E-3</v>
      </c>
      <c r="BB259" s="34">
        <v>3.80088E-3</v>
      </c>
      <c r="BC259" s="34">
        <v>0</v>
      </c>
    </row>
    <row r="260" spans="1:55" s="55" customFormat="1" ht="52.5" customHeight="1" x14ac:dyDescent="0.25">
      <c r="A260" s="109" t="s">
        <v>56</v>
      </c>
      <c r="B260" s="89" t="s">
        <v>233</v>
      </c>
      <c r="C260" s="90" t="s">
        <v>234</v>
      </c>
      <c r="D260" s="88">
        <v>3.1496124120000006</v>
      </c>
      <c r="E260" s="29">
        <f t="shared" si="207"/>
        <v>0</v>
      </c>
      <c r="F260" s="29">
        <f t="shared" si="207"/>
        <v>0</v>
      </c>
      <c r="G260" s="29">
        <f t="shared" si="207"/>
        <v>0</v>
      </c>
      <c r="H260" s="29">
        <f t="shared" si="204"/>
        <v>0</v>
      </c>
      <c r="I260" s="29">
        <f t="shared" si="204"/>
        <v>0</v>
      </c>
      <c r="J260" s="29">
        <f t="shared" si="205"/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30">
        <f t="shared" si="200"/>
        <v>0</v>
      </c>
      <c r="U260" s="30">
        <v>0</v>
      </c>
      <c r="V260" s="30">
        <v>0</v>
      </c>
      <c r="W260" s="30">
        <v>0</v>
      </c>
      <c r="X260" s="30">
        <v>0</v>
      </c>
      <c r="Y260" s="30">
        <f t="shared" si="201"/>
        <v>0</v>
      </c>
      <c r="Z260" s="30">
        <v>0</v>
      </c>
      <c r="AA260" s="30">
        <v>0</v>
      </c>
      <c r="AB260" s="30">
        <v>0</v>
      </c>
      <c r="AC260" s="34">
        <v>0</v>
      </c>
      <c r="AD260" s="36">
        <v>2.6246779999999998</v>
      </c>
      <c r="AE260" s="36">
        <f t="shared" si="208"/>
        <v>0</v>
      </c>
      <c r="AF260" s="36">
        <f t="shared" si="208"/>
        <v>0</v>
      </c>
      <c r="AG260" s="36">
        <f t="shared" si="208"/>
        <v>0</v>
      </c>
      <c r="AH260" s="36">
        <f t="shared" si="206"/>
        <v>0</v>
      </c>
      <c r="AI260" s="36">
        <f t="shared" si="206"/>
        <v>0</v>
      </c>
      <c r="AJ260" s="36">
        <v>0</v>
      </c>
      <c r="AK260" s="36">
        <v>0</v>
      </c>
      <c r="AL260" s="36">
        <v>0</v>
      </c>
      <c r="AM260" s="36">
        <v>0</v>
      </c>
      <c r="AN260" s="36">
        <v>0</v>
      </c>
      <c r="AO260" s="36">
        <v>0</v>
      </c>
      <c r="AP260" s="36">
        <v>0</v>
      </c>
      <c r="AQ260" s="36">
        <v>0</v>
      </c>
      <c r="AR260" s="36">
        <v>0</v>
      </c>
      <c r="AS260" s="36">
        <v>0</v>
      </c>
      <c r="AT260" s="34">
        <f t="shared" si="202"/>
        <v>0</v>
      </c>
      <c r="AU260" s="34">
        <v>0</v>
      </c>
      <c r="AV260" s="34">
        <v>0</v>
      </c>
      <c r="AW260" s="34">
        <v>0</v>
      </c>
      <c r="AX260" s="34">
        <v>0</v>
      </c>
      <c r="AY260" s="34">
        <f t="shared" si="203"/>
        <v>0</v>
      </c>
      <c r="AZ260" s="34">
        <v>0</v>
      </c>
      <c r="BA260" s="34">
        <v>0</v>
      </c>
      <c r="BB260" s="34">
        <v>0</v>
      </c>
      <c r="BC260" s="34">
        <v>0</v>
      </c>
    </row>
    <row r="261" spans="1:55" s="55" customFormat="1" ht="27.75" customHeight="1" x14ac:dyDescent="0.25">
      <c r="A261" s="109" t="s">
        <v>56</v>
      </c>
      <c r="B261" s="89" t="s">
        <v>393</v>
      </c>
      <c r="C261" s="90" t="s">
        <v>394</v>
      </c>
      <c r="D261" s="88">
        <v>0</v>
      </c>
      <c r="E261" s="29">
        <f t="shared" si="207"/>
        <v>5.881194E-2</v>
      </c>
      <c r="F261" s="29">
        <f t="shared" si="207"/>
        <v>0</v>
      </c>
      <c r="G261" s="29">
        <f t="shared" si="207"/>
        <v>1.3801116E-2</v>
      </c>
      <c r="H261" s="29">
        <f t="shared" si="204"/>
        <v>4.5010823999999998E-2</v>
      </c>
      <c r="I261" s="29">
        <f t="shared" si="204"/>
        <v>0</v>
      </c>
      <c r="J261" s="29">
        <f t="shared" si="205"/>
        <v>5.881194E-2</v>
      </c>
      <c r="K261" s="29">
        <v>0</v>
      </c>
      <c r="L261" s="29">
        <v>1.3801116E-2</v>
      </c>
      <c r="M261" s="29">
        <v>4.5010823999999998E-2</v>
      </c>
      <c r="N261" s="29">
        <v>0</v>
      </c>
      <c r="O261" s="29">
        <v>0</v>
      </c>
      <c r="P261" s="29">
        <v>0</v>
      </c>
      <c r="Q261" s="29">
        <v>0</v>
      </c>
      <c r="R261" s="29">
        <v>0</v>
      </c>
      <c r="S261" s="29">
        <v>0</v>
      </c>
      <c r="T261" s="30">
        <f t="shared" si="200"/>
        <v>0</v>
      </c>
      <c r="U261" s="30">
        <v>0</v>
      </c>
      <c r="V261" s="30">
        <v>0</v>
      </c>
      <c r="W261" s="30">
        <v>0</v>
      </c>
      <c r="X261" s="30">
        <v>0</v>
      </c>
      <c r="Y261" s="30">
        <f t="shared" si="201"/>
        <v>0</v>
      </c>
      <c r="Z261" s="30">
        <v>0</v>
      </c>
      <c r="AA261" s="30">
        <v>0</v>
      </c>
      <c r="AB261" s="30">
        <v>0</v>
      </c>
      <c r="AC261" s="34">
        <v>0</v>
      </c>
      <c r="AD261" s="36">
        <v>0</v>
      </c>
      <c r="AE261" s="36">
        <f t="shared" si="208"/>
        <v>4.9009949999999997E-2</v>
      </c>
      <c r="AF261" s="36">
        <f t="shared" si="208"/>
        <v>0</v>
      </c>
      <c r="AG261" s="36">
        <f t="shared" si="208"/>
        <v>1.1500929999999999E-2</v>
      </c>
      <c r="AH261" s="36">
        <f t="shared" si="206"/>
        <v>3.7509019999999997E-2</v>
      </c>
      <c r="AI261" s="36">
        <f t="shared" si="206"/>
        <v>0</v>
      </c>
      <c r="AJ261" s="36">
        <v>4.9009949999999997E-2</v>
      </c>
      <c r="AK261" s="36">
        <v>0</v>
      </c>
      <c r="AL261" s="36">
        <v>1.1500929999999999E-2</v>
      </c>
      <c r="AM261" s="36">
        <v>3.7509019999999997E-2</v>
      </c>
      <c r="AN261" s="36">
        <v>0</v>
      </c>
      <c r="AO261" s="34">
        <v>0</v>
      </c>
      <c r="AP261" s="34">
        <v>0</v>
      </c>
      <c r="AQ261" s="34">
        <v>0</v>
      </c>
      <c r="AR261" s="34">
        <v>0</v>
      </c>
      <c r="AS261" s="34">
        <v>0</v>
      </c>
      <c r="AT261" s="34">
        <f t="shared" si="202"/>
        <v>0</v>
      </c>
      <c r="AU261" s="34">
        <v>0</v>
      </c>
      <c r="AV261" s="34">
        <v>0</v>
      </c>
      <c r="AW261" s="34">
        <v>0</v>
      </c>
      <c r="AX261" s="34">
        <v>0</v>
      </c>
      <c r="AY261" s="34">
        <f t="shared" si="203"/>
        <v>0</v>
      </c>
      <c r="AZ261" s="34">
        <v>0</v>
      </c>
      <c r="BA261" s="34">
        <v>0</v>
      </c>
      <c r="BB261" s="34">
        <v>0</v>
      </c>
      <c r="BC261" s="34">
        <v>0</v>
      </c>
    </row>
    <row r="262" spans="1:55" s="55" customFormat="1" ht="27.75" customHeight="1" x14ac:dyDescent="0.25">
      <c r="A262" s="109" t="s">
        <v>56</v>
      </c>
      <c r="B262" s="89" t="s">
        <v>395</v>
      </c>
      <c r="C262" s="90" t="s">
        <v>396</v>
      </c>
      <c r="D262" s="88">
        <v>0</v>
      </c>
      <c r="E262" s="29">
        <f t="shared" si="207"/>
        <v>5.0392811999999995E-2</v>
      </c>
      <c r="F262" s="29">
        <f t="shared" si="207"/>
        <v>0</v>
      </c>
      <c r="G262" s="29">
        <f t="shared" si="207"/>
        <v>1.3210151999999999E-2</v>
      </c>
      <c r="H262" s="29">
        <f t="shared" si="204"/>
        <v>3.7182659999999999E-2</v>
      </c>
      <c r="I262" s="29">
        <f t="shared" si="204"/>
        <v>0</v>
      </c>
      <c r="J262" s="29">
        <f t="shared" si="205"/>
        <v>5.0392811999999995E-2</v>
      </c>
      <c r="K262" s="29">
        <v>0</v>
      </c>
      <c r="L262" s="29">
        <v>1.3210151999999999E-2</v>
      </c>
      <c r="M262" s="29">
        <v>3.7182659999999999E-2</v>
      </c>
      <c r="N262" s="29">
        <v>0</v>
      </c>
      <c r="O262" s="29">
        <v>0</v>
      </c>
      <c r="P262" s="29">
        <v>0</v>
      </c>
      <c r="Q262" s="29">
        <v>0</v>
      </c>
      <c r="R262" s="29">
        <v>0</v>
      </c>
      <c r="S262" s="29">
        <v>0</v>
      </c>
      <c r="T262" s="30">
        <f t="shared" si="200"/>
        <v>0</v>
      </c>
      <c r="U262" s="30">
        <v>0</v>
      </c>
      <c r="V262" s="30">
        <v>0</v>
      </c>
      <c r="W262" s="30">
        <v>0</v>
      </c>
      <c r="X262" s="30">
        <v>0</v>
      </c>
      <c r="Y262" s="30">
        <f t="shared" si="201"/>
        <v>0</v>
      </c>
      <c r="Z262" s="30">
        <v>0</v>
      </c>
      <c r="AA262" s="30">
        <v>0</v>
      </c>
      <c r="AB262" s="30">
        <v>0</v>
      </c>
      <c r="AC262" s="34">
        <v>0</v>
      </c>
      <c r="AD262" s="36">
        <v>0</v>
      </c>
      <c r="AE262" s="36">
        <f t="shared" si="208"/>
        <v>4.1994009999999998E-2</v>
      </c>
      <c r="AF262" s="36">
        <f t="shared" si="208"/>
        <v>0</v>
      </c>
      <c r="AG262" s="36">
        <f t="shared" si="208"/>
        <v>1.1008459999999999E-2</v>
      </c>
      <c r="AH262" s="36">
        <f t="shared" si="206"/>
        <v>3.0985550000000001E-2</v>
      </c>
      <c r="AI262" s="36">
        <f t="shared" si="206"/>
        <v>0</v>
      </c>
      <c r="AJ262" s="36">
        <v>4.1994009999999998E-2</v>
      </c>
      <c r="AK262" s="36">
        <v>0</v>
      </c>
      <c r="AL262" s="36">
        <v>1.1008459999999999E-2</v>
      </c>
      <c r="AM262" s="36">
        <v>3.0985550000000001E-2</v>
      </c>
      <c r="AN262" s="36">
        <v>0</v>
      </c>
      <c r="AO262" s="34">
        <v>0</v>
      </c>
      <c r="AP262" s="34">
        <v>0</v>
      </c>
      <c r="AQ262" s="34">
        <v>0</v>
      </c>
      <c r="AR262" s="34">
        <v>0</v>
      </c>
      <c r="AS262" s="34">
        <v>0</v>
      </c>
      <c r="AT262" s="34">
        <f t="shared" si="202"/>
        <v>0</v>
      </c>
      <c r="AU262" s="34">
        <v>0</v>
      </c>
      <c r="AV262" s="34">
        <v>0</v>
      </c>
      <c r="AW262" s="34">
        <v>0</v>
      </c>
      <c r="AX262" s="34">
        <v>0</v>
      </c>
      <c r="AY262" s="34">
        <f t="shared" si="203"/>
        <v>0</v>
      </c>
      <c r="AZ262" s="34">
        <v>0</v>
      </c>
      <c r="BA262" s="34">
        <v>0</v>
      </c>
      <c r="BB262" s="34">
        <v>0</v>
      </c>
      <c r="BC262" s="34">
        <v>0</v>
      </c>
    </row>
    <row r="263" spans="1:55" s="55" customFormat="1" ht="27.75" customHeight="1" x14ac:dyDescent="0.25">
      <c r="A263" s="109" t="s">
        <v>56</v>
      </c>
      <c r="B263" s="89" t="s">
        <v>490</v>
      </c>
      <c r="C263" s="90" t="s">
        <v>491</v>
      </c>
      <c r="D263" s="88">
        <v>0</v>
      </c>
      <c r="E263" s="29">
        <f t="shared" si="207"/>
        <v>0.11842691999999999</v>
      </c>
      <c r="F263" s="29">
        <f t="shared" si="207"/>
        <v>0</v>
      </c>
      <c r="G263" s="29">
        <f t="shared" si="207"/>
        <v>1.7674031999999999E-2</v>
      </c>
      <c r="H263" s="29">
        <f t="shared" si="204"/>
        <v>0.100752888</v>
      </c>
      <c r="I263" s="29">
        <f t="shared" si="204"/>
        <v>0</v>
      </c>
      <c r="J263" s="29">
        <f t="shared" si="205"/>
        <v>0.11842691999999999</v>
      </c>
      <c r="K263" s="29">
        <v>0</v>
      </c>
      <c r="L263" s="29">
        <f>14.72836*1.2/1000</f>
        <v>1.7674031999999999E-2</v>
      </c>
      <c r="M263" s="29">
        <f>83.96074*1.2/1000</f>
        <v>0.100752888</v>
      </c>
      <c r="N263" s="29">
        <v>0</v>
      </c>
      <c r="O263" s="29">
        <v>0</v>
      </c>
      <c r="P263" s="29">
        <v>0</v>
      </c>
      <c r="Q263" s="29">
        <v>0</v>
      </c>
      <c r="R263" s="29">
        <v>0</v>
      </c>
      <c r="S263" s="29">
        <v>0</v>
      </c>
      <c r="T263" s="30">
        <f t="shared" si="200"/>
        <v>0</v>
      </c>
      <c r="U263" s="30">
        <v>0</v>
      </c>
      <c r="V263" s="30">
        <v>0</v>
      </c>
      <c r="W263" s="30">
        <v>0</v>
      </c>
      <c r="X263" s="30">
        <v>0</v>
      </c>
      <c r="Y263" s="30">
        <f t="shared" si="201"/>
        <v>0</v>
      </c>
      <c r="Z263" s="30">
        <v>0</v>
      </c>
      <c r="AA263" s="30">
        <v>0</v>
      </c>
      <c r="AB263" s="30">
        <v>0</v>
      </c>
      <c r="AC263" s="34">
        <v>0</v>
      </c>
      <c r="AD263" s="36">
        <v>0</v>
      </c>
      <c r="AE263" s="36">
        <f t="shared" si="208"/>
        <v>9.8689100000000002E-2</v>
      </c>
      <c r="AF263" s="36">
        <f t="shared" si="208"/>
        <v>0</v>
      </c>
      <c r="AG263" s="36">
        <f t="shared" si="208"/>
        <v>1.4728360000000001E-2</v>
      </c>
      <c r="AH263" s="36">
        <f t="shared" si="206"/>
        <v>8.3960740000000006E-2</v>
      </c>
      <c r="AI263" s="36">
        <f t="shared" si="206"/>
        <v>0</v>
      </c>
      <c r="AJ263" s="36">
        <f>AK263+AL263+AM263</f>
        <v>9.8689100000000002E-2</v>
      </c>
      <c r="AK263" s="36">
        <v>0</v>
      </c>
      <c r="AL263" s="36">
        <f>14.72836/1000</f>
        <v>1.4728360000000001E-2</v>
      </c>
      <c r="AM263" s="36">
        <f>83.96074/1000</f>
        <v>8.3960740000000006E-2</v>
      </c>
      <c r="AN263" s="36">
        <v>0</v>
      </c>
      <c r="AO263" s="34">
        <v>0</v>
      </c>
      <c r="AP263" s="34">
        <v>0</v>
      </c>
      <c r="AQ263" s="34">
        <v>0</v>
      </c>
      <c r="AR263" s="34">
        <v>0</v>
      </c>
      <c r="AS263" s="34">
        <v>0</v>
      </c>
      <c r="AT263" s="34">
        <f t="shared" si="202"/>
        <v>0</v>
      </c>
      <c r="AU263" s="34">
        <v>0</v>
      </c>
      <c r="AV263" s="34">
        <v>0</v>
      </c>
      <c r="AW263" s="34">
        <v>0</v>
      </c>
      <c r="AX263" s="34">
        <v>0</v>
      </c>
      <c r="AY263" s="34">
        <f t="shared" si="203"/>
        <v>0</v>
      </c>
      <c r="AZ263" s="34">
        <v>0</v>
      </c>
      <c r="BA263" s="34">
        <v>0</v>
      </c>
      <c r="BB263" s="34">
        <v>0</v>
      </c>
      <c r="BC263" s="34">
        <v>0</v>
      </c>
    </row>
    <row r="264" spans="1:55" s="55" customFormat="1" ht="27.75" customHeight="1" x14ac:dyDescent="0.25">
      <c r="A264" s="109" t="s">
        <v>56</v>
      </c>
      <c r="B264" s="89" t="s">
        <v>641</v>
      </c>
      <c r="C264" s="90" t="s">
        <v>642</v>
      </c>
      <c r="D264" s="88">
        <v>0</v>
      </c>
      <c r="E264" s="29">
        <f t="shared" si="207"/>
        <v>4.8076259999999996E-2</v>
      </c>
      <c r="F264" s="29">
        <f t="shared" si="207"/>
        <v>0</v>
      </c>
      <c r="G264" s="29">
        <f t="shared" si="207"/>
        <v>6.0841319999999999E-3</v>
      </c>
      <c r="H264" s="29">
        <f t="shared" si="204"/>
        <v>4.1992127999999997E-2</v>
      </c>
      <c r="I264" s="29">
        <f t="shared" si="204"/>
        <v>0</v>
      </c>
      <c r="J264" s="29">
        <f t="shared" si="205"/>
        <v>0</v>
      </c>
      <c r="K264" s="103">
        <v>0</v>
      </c>
      <c r="L264" s="103">
        <v>0</v>
      </c>
      <c r="M264" s="103">
        <v>0</v>
      </c>
      <c r="N264" s="103">
        <v>0</v>
      </c>
      <c r="O264" s="103">
        <v>0</v>
      </c>
      <c r="P264" s="103">
        <v>0</v>
      </c>
      <c r="Q264" s="103">
        <v>0</v>
      </c>
      <c r="R264" s="103">
        <v>0</v>
      </c>
      <c r="S264" s="103">
        <v>0</v>
      </c>
      <c r="T264" s="30">
        <f t="shared" si="200"/>
        <v>4.8076259999999996E-2</v>
      </c>
      <c r="U264" s="30">
        <v>0</v>
      </c>
      <c r="V264" s="30">
        <v>6.0841319999999999E-3</v>
      </c>
      <c r="W264" s="30">
        <v>4.1992127999999997E-2</v>
      </c>
      <c r="X264" s="30">
        <v>0</v>
      </c>
      <c r="Y264" s="30">
        <f t="shared" si="201"/>
        <v>0</v>
      </c>
      <c r="Z264" s="30">
        <v>0</v>
      </c>
      <c r="AA264" s="30">
        <v>0</v>
      </c>
      <c r="AB264" s="30">
        <v>0</v>
      </c>
      <c r="AC264" s="34">
        <v>0</v>
      </c>
      <c r="AD264" s="36">
        <v>0</v>
      </c>
      <c r="AE264" s="36">
        <f t="shared" si="208"/>
        <v>4.0063550000000003E-2</v>
      </c>
      <c r="AF264" s="36">
        <f t="shared" si="208"/>
        <v>0</v>
      </c>
      <c r="AG264" s="36">
        <f t="shared" si="208"/>
        <v>5.0701100000000001E-3</v>
      </c>
      <c r="AH264" s="36">
        <f t="shared" si="206"/>
        <v>3.4993440000000001E-2</v>
      </c>
      <c r="AI264" s="36">
        <f t="shared" si="206"/>
        <v>0</v>
      </c>
      <c r="AJ264" s="36">
        <v>0</v>
      </c>
      <c r="AK264" s="36">
        <v>0</v>
      </c>
      <c r="AL264" s="36">
        <v>0</v>
      </c>
      <c r="AM264" s="36">
        <v>0</v>
      </c>
      <c r="AN264" s="36">
        <v>0</v>
      </c>
      <c r="AO264" s="36">
        <v>0</v>
      </c>
      <c r="AP264" s="36">
        <v>0</v>
      </c>
      <c r="AQ264" s="36">
        <v>0</v>
      </c>
      <c r="AR264" s="36">
        <v>0</v>
      </c>
      <c r="AS264" s="36">
        <v>0</v>
      </c>
      <c r="AT264" s="34">
        <f t="shared" si="202"/>
        <v>4.0063550000000003E-2</v>
      </c>
      <c r="AU264" s="34">
        <v>0</v>
      </c>
      <c r="AV264" s="34">
        <v>5.0701100000000001E-3</v>
      </c>
      <c r="AW264" s="34">
        <v>3.4993440000000001E-2</v>
      </c>
      <c r="AX264" s="34">
        <v>0</v>
      </c>
      <c r="AY264" s="34">
        <f t="shared" si="203"/>
        <v>0</v>
      </c>
      <c r="AZ264" s="34">
        <v>0</v>
      </c>
      <c r="BA264" s="34">
        <v>0</v>
      </c>
      <c r="BB264" s="34">
        <v>0</v>
      </c>
      <c r="BC264" s="34">
        <v>0</v>
      </c>
    </row>
    <row r="265" spans="1:55" s="55" customFormat="1" ht="27.75" customHeight="1" x14ac:dyDescent="0.25">
      <c r="A265" s="109" t="s">
        <v>56</v>
      </c>
      <c r="B265" s="89" t="s">
        <v>643</v>
      </c>
      <c r="C265" s="90" t="s">
        <v>644</v>
      </c>
      <c r="D265" s="88">
        <v>0</v>
      </c>
      <c r="E265" s="29">
        <f t="shared" si="207"/>
        <v>2.1853715999999995E-2</v>
      </c>
      <c r="F265" s="29">
        <f t="shared" si="207"/>
        <v>0</v>
      </c>
      <c r="G265" s="29">
        <f t="shared" si="207"/>
        <v>2.9613239999999996E-3</v>
      </c>
      <c r="H265" s="29">
        <f t="shared" si="204"/>
        <v>1.8892391999999997E-2</v>
      </c>
      <c r="I265" s="29">
        <f t="shared" si="204"/>
        <v>0</v>
      </c>
      <c r="J265" s="29">
        <f t="shared" si="205"/>
        <v>0</v>
      </c>
      <c r="K265" s="103">
        <v>0</v>
      </c>
      <c r="L265" s="103">
        <v>0</v>
      </c>
      <c r="M265" s="103">
        <v>0</v>
      </c>
      <c r="N265" s="103">
        <v>0</v>
      </c>
      <c r="O265" s="103">
        <v>0</v>
      </c>
      <c r="P265" s="103">
        <v>0</v>
      </c>
      <c r="Q265" s="103">
        <v>0</v>
      </c>
      <c r="R265" s="103">
        <v>0</v>
      </c>
      <c r="S265" s="103">
        <v>0</v>
      </c>
      <c r="T265" s="30">
        <f t="shared" si="200"/>
        <v>2.1853715999999995E-2</v>
      </c>
      <c r="U265" s="30">
        <v>0</v>
      </c>
      <c r="V265" s="30">
        <v>2.9613239999999996E-3</v>
      </c>
      <c r="W265" s="30">
        <v>1.8892391999999997E-2</v>
      </c>
      <c r="X265" s="30">
        <v>0</v>
      </c>
      <c r="Y265" s="30">
        <f t="shared" si="201"/>
        <v>0</v>
      </c>
      <c r="Z265" s="30">
        <v>0</v>
      </c>
      <c r="AA265" s="30">
        <v>0</v>
      </c>
      <c r="AB265" s="30">
        <v>0</v>
      </c>
      <c r="AC265" s="34">
        <v>0</v>
      </c>
      <c r="AD265" s="36">
        <v>0</v>
      </c>
      <c r="AE265" s="36">
        <f t="shared" si="208"/>
        <v>1.8211430000000001E-2</v>
      </c>
      <c r="AF265" s="36">
        <f t="shared" si="208"/>
        <v>0</v>
      </c>
      <c r="AG265" s="36">
        <f t="shared" si="208"/>
        <v>2.4677699999999998E-3</v>
      </c>
      <c r="AH265" s="36">
        <f t="shared" si="206"/>
        <v>1.574366E-2</v>
      </c>
      <c r="AI265" s="36">
        <f t="shared" si="206"/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4">
        <v>0</v>
      </c>
      <c r="AP265" s="34">
        <v>0</v>
      </c>
      <c r="AQ265" s="34">
        <v>0</v>
      </c>
      <c r="AR265" s="34">
        <v>0</v>
      </c>
      <c r="AS265" s="34">
        <v>0</v>
      </c>
      <c r="AT265" s="34">
        <f t="shared" si="202"/>
        <v>1.8211430000000001E-2</v>
      </c>
      <c r="AU265" s="34">
        <v>0</v>
      </c>
      <c r="AV265" s="34">
        <v>2.4677699999999998E-3</v>
      </c>
      <c r="AW265" s="34">
        <v>1.574366E-2</v>
      </c>
      <c r="AX265" s="34">
        <v>0</v>
      </c>
      <c r="AY265" s="34">
        <f t="shared" si="203"/>
        <v>0</v>
      </c>
      <c r="AZ265" s="34">
        <v>0</v>
      </c>
      <c r="BA265" s="34">
        <v>0</v>
      </c>
      <c r="BB265" s="34">
        <v>0</v>
      </c>
      <c r="BC265" s="34">
        <v>0</v>
      </c>
    </row>
    <row r="266" spans="1:55" s="55" customFormat="1" ht="27.75" customHeight="1" x14ac:dyDescent="0.25">
      <c r="A266" s="109" t="s">
        <v>56</v>
      </c>
      <c r="B266" s="89" t="s">
        <v>645</v>
      </c>
      <c r="C266" s="90" t="s">
        <v>646</v>
      </c>
      <c r="D266" s="88">
        <v>0</v>
      </c>
      <c r="E266" s="29">
        <f t="shared" si="207"/>
        <v>2.3155535999999997E-2</v>
      </c>
      <c r="F266" s="29">
        <f t="shared" si="207"/>
        <v>0</v>
      </c>
      <c r="G266" s="29">
        <f t="shared" si="207"/>
        <v>4.4420040000000003E-3</v>
      </c>
      <c r="H266" s="29">
        <f t="shared" si="204"/>
        <v>1.8713531999999998E-2</v>
      </c>
      <c r="I266" s="29">
        <f t="shared" si="204"/>
        <v>0</v>
      </c>
      <c r="J266" s="29">
        <f t="shared" si="205"/>
        <v>0</v>
      </c>
      <c r="K266" s="103">
        <v>0</v>
      </c>
      <c r="L266" s="103">
        <v>0</v>
      </c>
      <c r="M266" s="103">
        <v>0</v>
      </c>
      <c r="N266" s="103">
        <v>0</v>
      </c>
      <c r="O266" s="103">
        <v>0</v>
      </c>
      <c r="P266" s="103">
        <v>0</v>
      </c>
      <c r="Q266" s="103">
        <v>0</v>
      </c>
      <c r="R266" s="103">
        <v>0</v>
      </c>
      <c r="S266" s="103">
        <v>0</v>
      </c>
      <c r="T266" s="30">
        <f t="shared" si="200"/>
        <v>2.3155535999999997E-2</v>
      </c>
      <c r="U266" s="30">
        <v>0</v>
      </c>
      <c r="V266" s="30">
        <v>4.4420040000000003E-3</v>
      </c>
      <c r="W266" s="30">
        <v>1.8713531999999998E-2</v>
      </c>
      <c r="X266" s="30">
        <v>0</v>
      </c>
      <c r="Y266" s="30">
        <f t="shared" si="201"/>
        <v>0</v>
      </c>
      <c r="Z266" s="30">
        <v>0</v>
      </c>
      <c r="AA266" s="30">
        <v>0</v>
      </c>
      <c r="AB266" s="30">
        <v>0</v>
      </c>
      <c r="AC266" s="34">
        <v>0</v>
      </c>
      <c r="AD266" s="36">
        <v>0</v>
      </c>
      <c r="AE266" s="36">
        <f t="shared" si="208"/>
        <v>1.9296279999999999E-2</v>
      </c>
      <c r="AF266" s="36">
        <f t="shared" si="208"/>
        <v>0</v>
      </c>
      <c r="AG266" s="36">
        <f t="shared" si="208"/>
        <v>3.7016700000000002E-3</v>
      </c>
      <c r="AH266" s="36">
        <f t="shared" si="206"/>
        <v>1.559461E-2</v>
      </c>
      <c r="AI266" s="36">
        <f t="shared" si="206"/>
        <v>0</v>
      </c>
      <c r="AJ266" s="36">
        <v>0</v>
      </c>
      <c r="AK266" s="36">
        <v>0</v>
      </c>
      <c r="AL266" s="36">
        <v>0</v>
      </c>
      <c r="AM266" s="36">
        <v>0</v>
      </c>
      <c r="AN266" s="36">
        <v>0</v>
      </c>
      <c r="AO266" s="34">
        <v>0</v>
      </c>
      <c r="AP266" s="34">
        <v>0</v>
      </c>
      <c r="AQ266" s="34">
        <v>0</v>
      </c>
      <c r="AR266" s="34">
        <v>0</v>
      </c>
      <c r="AS266" s="34">
        <v>0</v>
      </c>
      <c r="AT266" s="34">
        <f t="shared" si="202"/>
        <v>1.9296279999999999E-2</v>
      </c>
      <c r="AU266" s="34">
        <v>0</v>
      </c>
      <c r="AV266" s="34">
        <v>3.7016700000000002E-3</v>
      </c>
      <c r="AW266" s="34">
        <v>1.559461E-2</v>
      </c>
      <c r="AX266" s="34">
        <v>0</v>
      </c>
      <c r="AY266" s="34">
        <f t="shared" si="203"/>
        <v>0</v>
      </c>
      <c r="AZ266" s="34">
        <v>0</v>
      </c>
      <c r="BA266" s="34">
        <v>0</v>
      </c>
      <c r="BB266" s="34">
        <v>0</v>
      </c>
      <c r="BC266" s="34">
        <v>0</v>
      </c>
    </row>
    <row r="267" spans="1:55" s="55" customFormat="1" ht="27.75" customHeight="1" x14ac:dyDescent="0.25">
      <c r="A267" s="109" t="s">
        <v>56</v>
      </c>
      <c r="B267" s="89" t="s">
        <v>647</v>
      </c>
      <c r="C267" s="90" t="s">
        <v>648</v>
      </c>
      <c r="D267" s="88">
        <v>0</v>
      </c>
      <c r="E267" s="29">
        <f t="shared" si="207"/>
        <v>3.0983304E-2</v>
      </c>
      <c r="F267" s="29">
        <f t="shared" si="207"/>
        <v>0</v>
      </c>
      <c r="G267" s="29">
        <f t="shared" si="207"/>
        <v>8.1630599999999998E-3</v>
      </c>
      <c r="H267" s="29">
        <f t="shared" si="204"/>
        <v>2.2820244E-2</v>
      </c>
      <c r="I267" s="29">
        <f t="shared" si="204"/>
        <v>0</v>
      </c>
      <c r="J267" s="29">
        <f t="shared" si="205"/>
        <v>0</v>
      </c>
      <c r="K267" s="103">
        <v>0</v>
      </c>
      <c r="L267" s="103">
        <v>0</v>
      </c>
      <c r="M267" s="103">
        <v>0</v>
      </c>
      <c r="N267" s="103">
        <v>0</v>
      </c>
      <c r="O267" s="103">
        <v>0</v>
      </c>
      <c r="P267" s="103">
        <v>0</v>
      </c>
      <c r="Q267" s="103">
        <v>0</v>
      </c>
      <c r="R267" s="103">
        <v>0</v>
      </c>
      <c r="S267" s="103">
        <v>0</v>
      </c>
      <c r="T267" s="30">
        <f t="shared" si="200"/>
        <v>3.0983304E-2</v>
      </c>
      <c r="U267" s="30">
        <v>0</v>
      </c>
      <c r="V267" s="30">
        <v>8.1630599999999998E-3</v>
      </c>
      <c r="W267" s="30">
        <v>2.2820244E-2</v>
      </c>
      <c r="X267" s="30">
        <v>0</v>
      </c>
      <c r="Y267" s="30">
        <f t="shared" si="201"/>
        <v>0</v>
      </c>
      <c r="Z267" s="30">
        <v>0</v>
      </c>
      <c r="AA267" s="30">
        <v>0</v>
      </c>
      <c r="AB267" s="30">
        <v>0</v>
      </c>
      <c r="AC267" s="34">
        <v>0</v>
      </c>
      <c r="AD267" s="36">
        <v>0</v>
      </c>
      <c r="AE267" s="36">
        <f t="shared" si="208"/>
        <v>2.5819420000000003E-2</v>
      </c>
      <c r="AF267" s="36">
        <f t="shared" si="208"/>
        <v>0</v>
      </c>
      <c r="AG267" s="36">
        <f t="shared" si="208"/>
        <v>6.8025500000000001E-3</v>
      </c>
      <c r="AH267" s="36">
        <f t="shared" si="206"/>
        <v>1.9016870000000002E-2</v>
      </c>
      <c r="AI267" s="36">
        <f t="shared" si="206"/>
        <v>0</v>
      </c>
      <c r="AJ267" s="36">
        <v>0</v>
      </c>
      <c r="AK267" s="36">
        <v>0</v>
      </c>
      <c r="AL267" s="36">
        <v>0</v>
      </c>
      <c r="AM267" s="36">
        <v>0</v>
      </c>
      <c r="AN267" s="36">
        <v>0</v>
      </c>
      <c r="AO267" s="34">
        <v>0</v>
      </c>
      <c r="AP267" s="34">
        <v>0</v>
      </c>
      <c r="AQ267" s="34">
        <v>0</v>
      </c>
      <c r="AR267" s="34">
        <v>0</v>
      </c>
      <c r="AS267" s="34">
        <v>0</v>
      </c>
      <c r="AT267" s="34">
        <f t="shared" si="202"/>
        <v>2.5819420000000003E-2</v>
      </c>
      <c r="AU267" s="34">
        <v>0</v>
      </c>
      <c r="AV267" s="34">
        <v>6.8025500000000001E-3</v>
      </c>
      <c r="AW267" s="34">
        <v>1.9016870000000002E-2</v>
      </c>
      <c r="AX267" s="34">
        <v>0</v>
      </c>
      <c r="AY267" s="34">
        <f t="shared" si="203"/>
        <v>0</v>
      </c>
      <c r="AZ267" s="34">
        <v>0</v>
      </c>
      <c r="BA267" s="34">
        <v>0</v>
      </c>
      <c r="BB267" s="34">
        <v>0</v>
      </c>
      <c r="BC267" s="34">
        <v>0</v>
      </c>
    </row>
    <row r="268" spans="1:55" s="55" customFormat="1" ht="27.75" customHeight="1" x14ac:dyDescent="0.25">
      <c r="A268" s="110" t="s">
        <v>56</v>
      </c>
      <c r="B268" s="96" t="s">
        <v>776</v>
      </c>
      <c r="C268" s="99" t="s">
        <v>777</v>
      </c>
      <c r="D268" s="88">
        <v>0</v>
      </c>
      <c r="E268" s="29">
        <f t="shared" si="207"/>
        <v>4.9337424000000005E-2</v>
      </c>
      <c r="F268" s="29">
        <f t="shared" si="207"/>
        <v>0</v>
      </c>
      <c r="G268" s="29">
        <f t="shared" si="207"/>
        <v>8.1246960000000007E-3</v>
      </c>
      <c r="H268" s="29">
        <f t="shared" si="204"/>
        <v>4.1212728000000004E-2</v>
      </c>
      <c r="I268" s="29">
        <f t="shared" si="204"/>
        <v>0</v>
      </c>
      <c r="J268" s="29">
        <f t="shared" si="205"/>
        <v>0</v>
      </c>
      <c r="K268" s="103">
        <v>0</v>
      </c>
      <c r="L268" s="103">
        <v>0</v>
      </c>
      <c r="M268" s="103">
        <v>0</v>
      </c>
      <c r="N268" s="103">
        <v>0</v>
      </c>
      <c r="O268" s="103">
        <v>0</v>
      </c>
      <c r="P268" s="103">
        <v>0</v>
      </c>
      <c r="Q268" s="103">
        <v>0</v>
      </c>
      <c r="R268" s="103">
        <v>0</v>
      </c>
      <c r="S268" s="103">
        <v>0</v>
      </c>
      <c r="T268" s="30">
        <v>0</v>
      </c>
      <c r="U268" s="30">
        <v>0</v>
      </c>
      <c r="V268" s="30">
        <v>0</v>
      </c>
      <c r="W268" s="30">
        <v>0</v>
      </c>
      <c r="X268" s="30">
        <v>0</v>
      </c>
      <c r="Y268" s="30">
        <f t="shared" si="201"/>
        <v>4.9337424000000005E-2</v>
      </c>
      <c r="Z268" s="30">
        <v>0</v>
      </c>
      <c r="AA268" s="30">
        <v>8.1246960000000007E-3</v>
      </c>
      <c r="AB268" s="30">
        <v>4.1212728000000004E-2</v>
      </c>
      <c r="AC268" s="34">
        <v>0</v>
      </c>
      <c r="AD268" s="36">
        <v>0</v>
      </c>
      <c r="AE268" s="36">
        <f t="shared" si="208"/>
        <v>4.1114520000000002E-2</v>
      </c>
      <c r="AF268" s="36">
        <f t="shared" si="208"/>
        <v>0</v>
      </c>
      <c r="AG268" s="36">
        <f t="shared" si="208"/>
        <v>6.77058E-3</v>
      </c>
      <c r="AH268" s="36">
        <f t="shared" si="206"/>
        <v>3.4343940000000003E-2</v>
      </c>
      <c r="AI268" s="36">
        <f t="shared" si="206"/>
        <v>0</v>
      </c>
      <c r="AJ268" s="36">
        <v>0</v>
      </c>
      <c r="AK268" s="36">
        <v>0</v>
      </c>
      <c r="AL268" s="36">
        <v>0</v>
      </c>
      <c r="AM268" s="36">
        <v>0</v>
      </c>
      <c r="AN268" s="36">
        <v>0</v>
      </c>
      <c r="AO268" s="34">
        <v>0</v>
      </c>
      <c r="AP268" s="34">
        <v>0</v>
      </c>
      <c r="AQ268" s="34">
        <v>0</v>
      </c>
      <c r="AR268" s="34">
        <v>0</v>
      </c>
      <c r="AS268" s="34">
        <v>0</v>
      </c>
      <c r="AT268" s="34">
        <v>0</v>
      </c>
      <c r="AU268" s="34">
        <v>0</v>
      </c>
      <c r="AV268" s="34">
        <v>0</v>
      </c>
      <c r="AW268" s="34">
        <v>0</v>
      </c>
      <c r="AX268" s="34">
        <v>0</v>
      </c>
      <c r="AY268" s="34">
        <f t="shared" si="203"/>
        <v>4.1114520000000002E-2</v>
      </c>
      <c r="AZ268" s="34">
        <v>0</v>
      </c>
      <c r="BA268" s="34">
        <v>6.77058E-3</v>
      </c>
      <c r="BB268" s="34">
        <v>3.4343940000000003E-2</v>
      </c>
      <c r="BC268" s="34">
        <v>0</v>
      </c>
    </row>
    <row r="269" spans="1:55" s="55" customFormat="1" ht="27.75" customHeight="1" x14ac:dyDescent="0.25">
      <c r="A269" s="110" t="s">
        <v>56</v>
      </c>
      <c r="B269" s="96" t="s">
        <v>778</v>
      </c>
      <c r="C269" s="99" t="s">
        <v>779</v>
      </c>
      <c r="D269" s="88">
        <v>0</v>
      </c>
      <c r="E269" s="29">
        <f t="shared" si="207"/>
        <v>2.2102992000000002E-2</v>
      </c>
      <c r="F269" s="29">
        <f t="shared" si="207"/>
        <v>0</v>
      </c>
      <c r="G269" s="29">
        <f t="shared" si="207"/>
        <v>3.9080640000000002E-3</v>
      </c>
      <c r="H269" s="29">
        <f t="shared" si="204"/>
        <v>1.8194928000000003E-2</v>
      </c>
      <c r="I269" s="29">
        <f t="shared" si="204"/>
        <v>0</v>
      </c>
      <c r="J269" s="29">
        <f t="shared" si="205"/>
        <v>0</v>
      </c>
      <c r="K269" s="103">
        <v>0</v>
      </c>
      <c r="L269" s="103">
        <v>0</v>
      </c>
      <c r="M269" s="103">
        <v>0</v>
      </c>
      <c r="N269" s="103">
        <v>0</v>
      </c>
      <c r="O269" s="103">
        <v>0</v>
      </c>
      <c r="P269" s="103">
        <v>0</v>
      </c>
      <c r="Q269" s="103">
        <v>0</v>
      </c>
      <c r="R269" s="103">
        <v>0</v>
      </c>
      <c r="S269" s="103">
        <v>0</v>
      </c>
      <c r="T269" s="30">
        <v>0</v>
      </c>
      <c r="U269" s="30">
        <v>0</v>
      </c>
      <c r="V269" s="30">
        <v>0</v>
      </c>
      <c r="W269" s="30">
        <v>0</v>
      </c>
      <c r="X269" s="30">
        <v>0</v>
      </c>
      <c r="Y269" s="30">
        <f t="shared" si="201"/>
        <v>2.2102992000000002E-2</v>
      </c>
      <c r="Z269" s="30">
        <v>0</v>
      </c>
      <c r="AA269" s="30">
        <v>3.9080640000000002E-3</v>
      </c>
      <c r="AB269" s="30">
        <v>1.8194928000000003E-2</v>
      </c>
      <c r="AC269" s="34">
        <v>0</v>
      </c>
      <c r="AD269" s="36">
        <v>0</v>
      </c>
      <c r="AE269" s="36">
        <f t="shared" si="208"/>
        <v>1.841916E-2</v>
      </c>
      <c r="AF269" s="36">
        <f t="shared" si="208"/>
        <v>0</v>
      </c>
      <c r="AG269" s="36">
        <f t="shared" si="208"/>
        <v>3.2567200000000003E-3</v>
      </c>
      <c r="AH269" s="36">
        <f t="shared" si="206"/>
        <v>1.5162440000000001E-2</v>
      </c>
      <c r="AI269" s="36">
        <f t="shared" si="206"/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4">
        <v>0</v>
      </c>
      <c r="AP269" s="34">
        <v>0</v>
      </c>
      <c r="AQ269" s="34">
        <v>0</v>
      </c>
      <c r="AR269" s="34">
        <v>0</v>
      </c>
      <c r="AS269" s="34">
        <v>0</v>
      </c>
      <c r="AT269" s="34">
        <v>0</v>
      </c>
      <c r="AU269" s="34">
        <v>0</v>
      </c>
      <c r="AV269" s="34">
        <v>0</v>
      </c>
      <c r="AW269" s="34">
        <v>0</v>
      </c>
      <c r="AX269" s="34">
        <v>0</v>
      </c>
      <c r="AY269" s="34">
        <f t="shared" si="203"/>
        <v>1.841916E-2</v>
      </c>
      <c r="AZ269" s="34">
        <v>0</v>
      </c>
      <c r="BA269" s="34">
        <v>3.2567200000000003E-3</v>
      </c>
      <c r="BB269" s="34">
        <v>1.5162440000000001E-2</v>
      </c>
      <c r="BC269" s="34">
        <v>0</v>
      </c>
    </row>
    <row r="270" spans="1:55" s="55" customFormat="1" ht="27.75" customHeight="1" x14ac:dyDescent="0.25">
      <c r="A270" s="110" t="s">
        <v>56</v>
      </c>
      <c r="B270" s="96" t="s">
        <v>780</v>
      </c>
      <c r="C270" s="99" t="s">
        <v>781</v>
      </c>
      <c r="D270" s="88">
        <v>0</v>
      </c>
      <c r="E270" s="29">
        <f t="shared" si="207"/>
        <v>9.5691408000000019E-2</v>
      </c>
      <c r="F270" s="29">
        <f t="shared" si="207"/>
        <v>0</v>
      </c>
      <c r="G270" s="29">
        <f t="shared" si="207"/>
        <v>1.0626935999999998E-2</v>
      </c>
      <c r="H270" s="29">
        <f t="shared" si="204"/>
        <v>8.5064472000000016E-2</v>
      </c>
      <c r="I270" s="29">
        <f t="shared" si="204"/>
        <v>0</v>
      </c>
      <c r="J270" s="29">
        <f t="shared" si="205"/>
        <v>0</v>
      </c>
      <c r="K270" s="103">
        <v>0</v>
      </c>
      <c r="L270" s="103">
        <v>0</v>
      </c>
      <c r="M270" s="103">
        <v>0</v>
      </c>
      <c r="N270" s="103">
        <v>0</v>
      </c>
      <c r="O270" s="103">
        <v>0</v>
      </c>
      <c r="P270" s="103">
        <v>0</v>
      </c>
      <c r="Q270" s="103">
        <v>0</v>
      </c>
      <c r="R270" s="103">
        <v>0</v>
      </c>
      <c r="S270" s="103">
        <v>0</v>
      </c>
      <c r="T270" s="30">
        <v>0</v>
      </c>
      <c r="U270" s="30">
        <v>0</v>
      </c>
      <c r="V270" s="30">
        <v>0</v>
      </c>
      <c r="W270" s="30">
        <v>0</v>
      </c>
      <c r="X270" s="30">
        <v>0</v>
      </c>
      <c r="Y270" s="30">
        <f t="shared" si="201"/>
        <v>9.5691408000000019E-2</v>
      </c>
      <c r="Z270" s="30">
        <v>0</v>
      </c>
      <c r="AA270" s="30">
        <v>1.0626935999999998E-2</v>
      </c>
      <c r="AB270" s="30">
        <v>8.5064472000000016E-2</v>
      </c>
      <c r="AC270" s="34">
        <v>0</v>
      </c>
      <c r="AD270" s="36">
        <v>0</v>
      </c>
      <c r="AE270" s="36">
        <f t="shared" si="208"/>
        <v>7.9742839999999995E-2</v>
      </c>
      <c r="AF270" s="36">
        <f t="shared" si="208"/>
        <v>0</v>
      </c>
      <c r="AG270" s="36">
        <f t="shared" si="208"/>
        <v>8.8557799999999989E-3</v>
      </c>
      <c r="AH270" s="36">
        <f t="shared" si="206"/>
        <v>7.0887060000000002E-2</v>
      </c>
      <c r="AI270" s="36">
        <f t="shared" si="206"/>
        <v>0</v>
      </c>
      <c r="AJ270" s="36">
        <v>0</v>
      </c>
      <c r="AK270" s="36">
        <v>0</v>
      </c>
      <c r="AL270" s="36">
        <v>0</v>
      </c>
      <c r="AM270" s="36">
        <v>0</v>
      </c>
      <c r="AN270" s="36">
        <v>0</v>
      </c>
      <c r="AO270" s="34">
        <v>0</v>
      </c>
      <c r="AP270" s="34">
        <v>0</v>
      </c>
      <c r="AQ270" s="34">
        <v>0</v>
      </c>
      <c r="AR270" s="34">
        <v>0</v>
      </c>
      <c r="AS270" s="34">
        <v>0</v>
      </c>
      <c r="AT270" s="34">
        <v>0</v>
      </c>
      <c r="AU270" s="34">
        <v>0</v>
      </c>
      <c r="AV270" s="34">
        <v>0</v>
      </c>
      <c r="AW270" s="34">
        <v>0</v>
      </c>
      <c r="AX270" s="34">
        <v>0</v>
      </c>
      <c r="AY270" s="34">
        <f t="shared" si="203"/>
        <v>7.9742839999999995E-2</v>
      </c>
      <c r="AZ270" s="34">
        <v>0</v>
      </c>
      <c r="BA270" s="34">
        <v>8.8557799999999989E-3</v>
      </c>
      <c r="BB270" s="34">
        <v>7.0887060000000002E-2</v>
      </c>
      <c r="BC270" s="34">
        <v>0</v>
      </c>
    </row>
    <row r="271" spans="1:55" s="55" customFormat="1" ht="27.75" customHeight="1" x14ac:dyDescent="0.25">
      <c r="A271" s="110" t="s">
        <v>56</v>
      </c>
      <c r="B271" s="96" t="s">
        <v>782</v>
      </c>
      <c r="C271" s="99" t="s">
        <v>783</v>
      </c>
      <c r="D271" s="88">
        <v>0</v>
      </c>
      <c r="E271" s="29">
        <f t="shared" si="207"/>
        <v>1.7702076000000001E-2</v>
      </c>
      <c r="F271" s="29">
        <f t="shared" si="207"/>
        <v>0</v>
      </c>
      <c r="G271" s="29">
        <f t="shared" si="207"/>
        <v>4.7288999999999994E-3</v>
      </c>
      <c r="H271" s="29">
        <f t="shared" si="204"/>
        <v>1.2973176000000001E-2</v>
      </c>
      <c r="I271" s="29">
        <f t="shared" si="204"/>
        <v>0</v>
      </c>
      <c r="J271" s="29">
        <f t="shared" si="205"/>
        <v>0</v>
      </c>
      <c r="K271" s="103">
        <v>0</v>
      </c>
      <c r="L271" s="103">
        <v>0</v>
      </c>
      <c r="M271" s="103">
        <v>0</v>
      </c>
      <c r="N271" s="103">
        <v>0</v>
      </c>
      <c r="O271" s="103">
        <v>0</v>
      </c>
      <c r="P271" s="103">
        <v>0</v>
      </c>
      <c r="Q271" s="103">
        <v>0</v>
      </c>
      <c r="R271" s="103">
        <v>0</v>
      </c>
      <c r="S271" s="103">
        <v>0</v>
      </c>
      <c r="T271" s="30">
        <v>0</v>
      </c>
      <c r="U271" s="30">
        <v>0</v>
      </c>
      <c r="V271" s="30">
        <v>0</v>
      </c>
      <c r="W271" s="30">
        <v>0</v>
      </c>
      <c r="X271" s="30">
        <v>0</v>
      </c>
      <c r="Y271" s="30">
        <f t="shared" si="201"/>
        <v>1.7702076000000001E-2</v>
      </c>
      <c r="Z271" s="30">
        <v>0</v>
      </c>
      <c r="AA271" s="30">
        <v>4.7288999999999994E-3</v>
      </c>
      <c r="AB271" s="30">
        <v>1.2973176000000001E-2</v>
      </c>
      <c r="AC271" s="34">
        <v>0</v>
      </c>
      <c r="AD271" s="36">
        <v>0</v>
      </c>
      <c r="AE271" s="36">
        <f t="shared" si="208"/>
        <v>1.4751730000000001E-2</v>
      </c>
      <c r="AF271" s="36">
        <f t="shared" si="208"/>
        <v>0</v>
      </c>
      <c r="AG271" s="36">
        <f t="shared" si="208"/>
        <v>3.9407499999999998E-3</v>
      </c>
      <c r="AH271" s="36">
        <f t="shared" si="206"/>
        <v>1.0810980000000001E-2</v>
      </c>
      <c r="AI271" s="36">
        <f t="shared" si="206"/>
        <v>0</v>
      </c>
      <c r="AJ271" s="36">
        <v>0</v>
      </c>
      <c r="AK271" s="36">
        <v>0</v>
      </c>
      <c r="AL271" s="36">
        <v>0</v>
      </c>
      <c r="AM271" s="36">
        <v>0</v>
      </c>
      <c r="AN271" s="36">
        <v>0</v>
      </c>
      <c r="AO271" s="34">
        <v>0</v>
      </c>
      <c r="AP271" s="34">
        <v>0</v>
      </c>
      <c r="AQ271" s="34">
        <v>0</v>
      </c>
      <c r="AR271" s="34">
        <v>0</v>
      </c>
      <c r="AS271" s="34">
        <v>0</v>
      </c>
      <c r="AT271" s="34">
        <v>0</v>
      </c>
      <c r="AU271" s="34">
        <v>0</v>
      </c>
      <c r="AV271" s="34">
        <v>0</v>
      </c>
      <c r="AW271" s="34">
        <v>0</v>
      </c>
      <c r="AX271" s="34">
        <v>0</v>
      </c>
      <c r="AY271" s="34">
        <f t="shared" si="203"/>
        <v>1.4751730000000001E-2</v>
      </c>
      <c r="AZ271" s="34">
        <v>0</v>
      </c>
      <c r="BA271" s="34">
        <v>3.9407499999999998E-3</v>
      </c>
      <c r="BB271" s="34">
        <v>1.0810980000000001E-2</v>
      </c>
      <c r="BC271" s="34">
        <v>0</v>
      </c>
    </row>
    <row r="272" spans="1:55" s="55" customFormat="1" ht="27.75" customHeight="1" x14ac:dyDescent="0.25">
      <c r="A272" s="110" t="s">
        <v>56</v>
      </c>
      <c r="B272" s="96" t="s">
        <v>784</v>
      </c>
      <c r="C272" s="99" t="s">
        <v>785</v>
      </c>
      <c r="D272" s="88">
        <v>0</v>
      </c>
      <c r="E272" s="29">
        <f t="shared" si="207"/>
        <v>3.5951051999999997E-2</v>
      </c>
      <c r="F272" s="29">
        <f t="shared" si="207"/>
        <v>0</v>
      </c>
      <c r="G272" s="29">
        <f t="shared" si="207"/>
        <v>1.1006123999999999E-2</v>
      </c>
      <c r="H272" s="29">
        <f t="shared" si="204"/>
        <v>2.4944928000000002E-2</v>
      </c>
      <c r="I272" s="29">
        <f t="shared" si="204"/>
        <v>0</v>
      </c>
      <c r="J272" s="29">
        <f t="shared" si="205"/>
        <v>0</v>
      </c>
      <c r="K272" s="103">
        <v>0</v>
      </c>
      <c r="L272" s="103">
        <v>0</v>
      </c>
      <c r="M272" s="103">
        <v>0</v>
      </c>
      <c r="N272" s="103">
        <v>0</v>
      </c>
      <c r="O272" s="103">
        <v>0</v>
      </c>
      <c r="P272" s="103">
        <v>0</v>
      </c>
      <c r="Q272" s="103">
        <v>0</v>
      </c>
      <c r="R272" s="103">
        <v>0</v>
      </c>
      <c r="S272" s="103">
        <v>0</v>
      </c>
      <c r="T272" s="30">
        <v>0</v>
      </c>
      <c r="U272" s="30">
        <v>0</v>
      </c>
      <c r="V272" s="30">
        <v>0</v>
      </c>
      <c r="W272" s="30">
        <v>0</v>
      </c>
      <c r="X272" s="30">
        <v>0</v>
      </c>
      <c r="Y272" s="30">
        <f t="shared" si="201"/>
        <v>3.5951051999999997E-2</v>
      </c>
      <c r="Z272" s="30">
        <v>0</v>
      </c>
      <c r="AA272" s="30">
        <v>1.1006123999999999E-2</v>
      </c>
      <c r="AB272" s="30">
        <v>2.4944928000000002E-2</v>
      </c>
      <c r="AC272" s="34">
        <v>0</v>
      </c>
      <c r="AD272" s="36">
        <v>0</v>
      </c>
      <c r="AE272" s="36">
        <f t="shared" si="208"/>
        <v>2.995921E-2</v>
      </c>
      <c r="AF272" s="36">
        <f t="shared" si="208"/>
        <v>9.171770000000001E-3</v>
      </c>
      <c r="AG272" s="36">
        <f t="shared" si="208"/>
        <v>2.0787440000000001E-2</v>
      </c>
      <c r="AH272" s="36">
        <f t="shared" si="206"/>
        <v>0</v>
      </c>
      <c r="AI272" s="36">
        <f t="shared" si="206"/>
        <v>0</v>
      </c>
      <c r="AJ272" s="36">
        <v>0</v>
      </c>
      <c r="AK272" s="36">
        <v>0</v>
      </c>
      <c r="AL272" s="36">
        <v>0</v>
      </c>
      <c r="AM272" s="36">
        <v>0</v>
      </c>
      <c r="AN272" s="36">
        <v>0</v>
      </c>
      <c r="AO272" s="34">
        <v>0</v>
      </c>
      <c r="AP272" s="34">
        <v>0</v>
      </c>
      <c r="AQ272" s="34">
        <v>0</v>
      </c>
      <c r="AR272" s="34">
        <v>0</v>
      </c>
      <c r="AS272" s="34">
        <v>0</v>
      </c>
      <c r="AT272" s="34">
        <v>0</v>
      </c>
      <c r="AU272" s="34">
        <v>0</v>
      </c>
      <c r="AV272" s="34">
        <v>0</v>
      </c>
      <c r="AW272" s="34">
        <v>0</v>
      </c>
      <c r="AX272" s="34">
        <v>0</v>
      </c>
      <c r="AY272" s="34">
        <f t="shared" si="203"/>
        <v>2.995921E-2</v>
      </c>
      <c r="AZ272" s="34">
        <v>9.171770000000001E-3</v>
      </c>
      <c r="BA272" s="34">
        <v>2.0787440000000001E-2</v>
      </c>
      <c r="BB272" s="34">
        <v>0</v>
      </c>
      <c r="BC272" s="34">
        <v>0</v>
      </c>
    </row>
    <row r="273" spans="1:55" s="55" customFormat="1" ht="36.75" customHeight="1" x14ac:dyDescent="0.25">
      <c r="A273" s="110" t="s">
        <v>56</v>
      </c>
      <c r="B273" s="96" t="s">
        <v>786</v>
      </c>
      <c r="C273" s="99" t="s">
        <v>787</v>
      </c>
      <c r="D273" s="88">
        <v>0</v>
      </c>
      <c r="E273" s="29">
        <f t="shared" si="207"/>
        <v>0.529264752</v>
      </c>
      <c r="F273" s="29">
        <f t="shared" si="207"/>
        <v>0</v>
      </c>
      <c r="G273" s="29">
        <f t="shared" si="207"/>
        <v>5.3065499999999995E-2</v>
      </c>
      <c r="H273" s="29">
        <f t="shared" si="204"/>
        <v>0.47619925200000002</v>
      </c>
      <c r="I273" s="29">
        <f t="shared" si="204"/>
        <v>0</v>
      </c>
      <c r="J273" s="29">
        <f t="shared" si="205"/>
        <v>0</v>
      </c>
      <c r="K273" s="88">
        <v>0</v>
      </c>
      <c r="L273" s="88">
        <v>0</v>
      </c>
      <c r="M273" s="88">
        <v>0</v>
      </c>
      <c r="N273" s="88">
        <v>0</v>
      </c>
      <c r="O273" s="88">
        <v>0</v>
      </c>
      <c r="P273" s="88">
        <v>0</v>
      </c>
      <c r="Q273" s="88">
        <v>0</v>
      </c>
      <c r="R273" s="88">
        <v>0</v>
      </c>
      <c r="S273" s="88">
        <v>0</v>
      </c>
      <c r="T273" s="88">
        <v>0</v>
      </c>
      <c r="U273" s="88">
        <v>0</v>
      </c>
      <c r="V273" s="88">
        <v>0</v>
      </c>
      <c r="W273" s="88">
        <v>0</v>
      </c>
      <c r="X273" s="88">
        <v>0</v>
      </c>
      <c r="Y273" s="30">
        <f t="shared" si="201"/>
        <v>0.529264752</v>
      </c>
      <c r="Z273" s="30">
        <v>0</v>
      </c>
      <c r="AA273" s="30">
        <v>5.3065499999999995E-2</v>
      </c>
      <c r="AB273" s="30">
        <v>0.47619925200000002</v>
      </c>
      <c r="AC273" s="34">
        <v>0</v>
      </c>
      <c r="AD273" s="36">
        <f>AD275</f>
        <v>90.887803109999993</v>
      </c>
      <c r="AE273" s="36">
        <f t="shared" si="208"/>
        <v>0.44105396000000002</v>
      </c>
      <c r="AF273" s="36">
        <f t="shared" si="208"/>
        <v>0</v>
      </c>
      <c r="AG273" s="36">
        <f t="shared" si="208"/>
        <v>4.4221249999999997E-2</v>
      </c>
      <c r="AH273" s="36">
        <f t="shared" si="206"/>
        <v>0.39683271000000003</v>
      </c>
      <c r="AI273" s="36">
        <f t="shared" si="206"/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4">
        <v>0</v>
      </c>
      <c r="AP273" s="34">
        <v>0</v>
      </c>
      <c r="AQ273" s="34">
        <v>0</v>
      </c>
      <c r="AR273" s="34">
        <v>0</v>
      </c>
      <c r="AS273" s="34">
        <v>0</v>
      </c>
      <c r="AT273" s="34">
        <v>0</v>
      </c>
      <c r="AU273" s="34">
        <v>0</v>
      </c>
      <c r="AV273" s="34">
        <v>0</v>
      </c>
      <c r="AW273" s="34">
        <v>0</v>
      </c>
      <c r="AX273" s="34">
        <v>0</v>
      </c>
      <c r="AY273" s="34">
        <f t="shared" ref="AY273" si="209">AZ273+BA273+BB273+BC273</f>
        <v>0.44105396000000002</v>
      </c>
      <c r="AZ273" s="34">
        <v>0</v>
      </c>
      <c r="BA273" s="34">
        <v>4.4221249999999997E-2</v>
      </c>
      <c r="BB273" s="34">
        <v>0.39683271000000003</v>
      </c>
      <c r="BC273" s="34">
        <v>0</v>
      </c>
    </row>
    <row r="274" spans="1:55" s="55" customFormat="1" ht="36.75" customHeight="1" x14ac:dyDescent="0.25">
      <c r="A274" s="111" t="s">
        <v>895</v>
      </c>
      <c r="B274" s="112" t="s">
        <v>896</v>
      </c>
      <c r="C274" s="113" t="s">
        <v>101</v>
      </c>
      <c r="D274" s="84">
        <v>109.06536373199999</v>
      </c>
      <c r="E274" s="75">
        <f t="shared" si="207"/>
        <v>54.418521096000013</v>
      </c>
      <c r="F274" s="75">
        <f t="shared" si="207"/>
        <v>1.3588350599999999</v>
      </c>
      <c r="G274" s="75">
        <f t="shared" si="207"/>
        <v>26.732479368</v>
      </c>
      <c r="H274" s="75">
        <f t="shared" si="204"/>
        <v>26.327206667999995</v>
      </c>
      <c r="I274" s="75">
        <f t="shared" si="204"/>
        <v>0</v>
      </c>
      <c r="J274" s="84">
        <f>J275</f>
        <v>3.5835318360000006</v>
      </c>
      <c r="K274" s="84">
        <f t="shared" ref="K274:N274" si="210">K275</f>
        <v>0.14994014399999997</v>
      </c>
      <c r="L274" s="84">
        <f t="shared" si="210"/>
        <v>1.7266279079999998</v>
      </c>
      <c r="M274" s="84">
        <f t="shared" si="210"/>
        <v>1.706963784</v>
      </c>
      <c r="N274" s="84">
        <f t="shared" si="210"/>
        <v>0</v>
      </c>
      <c r="O274" s="84">
        <f>O275</f>
        <v>9.109663764000004</v>
      </c>
      <c r="P274" s="84">
        <f t="shared" ref="P274:S274" si="211">P275</f>
        <v>0.36572908799999998</v>
      </c>
      <c r="Q274" s="84">
        <f t="shared" si="211"/>
        <v>3.4708273080000001</v>
      </c>
      <c r="R274" s="84">
        <f t="shared" si="211"/>
        <v>5.273107367999998</v>
      </c>
      <c r="S274" s="84">
        <f t="shared" si="211"/>
        <v>0</v>
      </c>
      <c r="T274" s="120">
        <f>T275</f>
        <v>9.2910593279999993</v>
      </c>
      <c r="U274" s="120">
        <f t="shared" ref="U274:X274" si="212">U275</f>
        <v>0.26204247600000002</v>
      </c>
      <c r="V274" s="120">
        <f t="shared" si="212"/>
        <v>4.1806508159999991</v>
      </c>
      <c r="W274" s="120">
        <f t="shared" si="212"/>
        <v>4.8483660359999998</v>
      </c>
      <c r="X274" s="120">
        <f t="shared" si="212"/>
        <v>0</v>
      </c>
      <c r="Y274" s="118">
        <f>Y275</f>
        <v>32.434266168000008</v>
      </c>
      <c r="Z274" s="118">
        <f t="shared" ref="Z274:AC274" si="213">Z275</f>
        <v>0.58112335199999987</v>
      </c>
      <c r="AA274" s="118">
        <f t="shared" si="213"/>
        <v>17.354373336000002</v>
      </c>
      <c r="AB274" s="118">
        <f t="shared" si="213"/>
        <v>14.498769479999998</v>
      </c>
      <c r="AC274" s="53">
        <f t="shared" si="213"/>
        <v>0</v>
      </c>
      <c r="AD274" s="35">
        <v>90.887803109999993</v>
      </c>
      <c r="AE274" s="35">
        <f t="shared" si="208"/>
        <v>49.123878009999999</v>
      </c>
      <c r="AF274" s="35">
        <f t="shared" si="208"/>
        <v>1.48840335</v>
      </c>
      <c r="AG274" s="35">
        <f t="shared" si="208"/>
        <v>25.70446295</v>
      </c>
      <c r="AH274" s="35">
        <f t="shared" si="206"/>
        <v>21.931011710000007</v>
      </c>
      <c r="AI274" s="35">
        <f t="shared" si="206"/>
        <v>0</v>
      </c>
      <c r="AJ274" s="35">
        <f>AJ275</f>
        <v>6.1870336899999998</v>
      </c>
      <c r="AK274" s="35">
        <f t="shared" ref="AK274:AN274" si="214">AK275</f>
        <v>0.1418452</v>
      </c>
      <c r="AL274" s="35">
        <f t="shared" si="214"/>
        <v>4.77260727</v>
      </c>
      <c r="AM274" s="35">
        <f t="shared" si="214"/>
        <v>1.27258122</v>
      </c>
      <c r="AN274" s="35">
        <f t="shared" si="214"/>
        <v>0</v>
      </c>
      <c r="AO274" s="35">
        <f t="shared" ref="AO274:AX274" si="215">AO275</f>
        <v>7.9566634899999977</v>
      </c>
      <c r="AP274" s="35">
        <f t="shared" si="215"/>
        <v>0.25195591000000001</v>
      </c>
      <c r="AQ274" s="35">
        <f t="shared" si="215"/>
        <v>3.160562839999999</v>
      </c>
      <c r="AR274" s="35">
        <f t="shared" si="215"/>
        <v>4.544144740000001</v>
      </c>
      <c r="AS274" s="35">
        <f t="shared" si="215"/>
        <v>0</v>
      </c>
      <c r="AT274" s="35">
        <f t="shared" si="215"/>
        <v>7.6496058400000004</v>
      </c>
      <c r="AU274" s="35">
        <f t="shared" si="215"/>
        <v>0.16157505999999999</v>
      </c>
      <c r="AV274" s="35">
        <f t="shared" si="215"/>
        <v>3.44772575</v>
      </c>
      <c r="AW274" s="35">
        <f t="shared" si="215"/>
        <v>4.0403050300000007</v>
      </c>
      <c r="AX274" s="35">
        <f t="shared" si="215"/>
        <v>0</v>
      </c>
      <c r="AY274" s="53">
        <f>AY275</f>
        <v>27.330574990000002</v>
      </c>
      <c r="AZ274" s="53">
        <f t="shared" ref="AZ274:BC274" si="216">AZ275</f>
        <v>0.93302717999999996</v>
      </c>
      <c r="BA274" s="53">
        <f t="shared" si="216"/>
        <v>14.323567089999999</v>
      </c>
      <c r="BB274" s="53">
        <f t="shared" si="216"/>
        <v>12.073980720000003</v>
      </c>
      <c r="BC274" s="53">
        <f t="shared" si="216"/>
        <v>0</v>
      </c>
    </row>
    <row r="275" spans="1:55" s="55" customFormat="1" ht="23.25" customHeight="1" x14ac:dyDescent="0.25">
      <c r="A275" s="71" t="s">
        <v>235</v>
      </c>
      <c r="B275" s="78" t="s">
        <v>236</v>
      </c>
      <c r="C275" s="79" t="s">
        <v>101</v>
      </c>
      <c r="D275" s="84">
        <f>SUM(D276:D369)</f>
        <v>109.06536373199999</v>
      </c>
      <c r="E275" s="75">
        <f>SUM(E276:E379)</f>
        <v>54.418521096000013</v>
      </c>
      <c r="F275" s="75">
        <f t="shared" ref="F275:I275" si="217">SUM(F276:F379)</f>
        <v>1.3588350600000005</v>
      </c>
      <c r="G275" s="75">
        <f t="shared" si="217"/>
        <v>26.732479368</v>
      </c>
      <c r="H275" s="75">
        <f t="shared" si="217"/>
        <v>26.327206668000006</v>
      </c>
      <c r="I275" s="75">
        <f t="shared" si="217"/>
        <v>0</v>
      </c>
      <c r="J275" s="75">
        <f t="shared" ref="J275" si="218">SUM(J276:J379)</f>
        <v>3.5835318360000006</v>
      </c>
      <c r="K275" s="75">
        <f t="shared" ref="K275" si="219">SUM(K276:K379)</f>
        <v>0.14994014399999997</v>
      </c>
      <c r="L275" s="75">
        <f t="shared" ref="L275" si="220">SUM(L276:L379)</f>
        <v>1.7266279079999998</v>
      </c>
      <c r="M275" s="75">
        <f t="shared" ref="M275" si="221">SUM(M276:M379)</f>
        <v>1.706963784</v>
      </c>
      <c r="N275" s="75">
        <f t="shared" ref="N275" si="222">SUM(N276:N379)</f>
        <v>0</v>
      </c>
      <c r="O275" s="75">
        <f t="shared" ref="O275" si="223">SUM(O276:O379)</f>
        <v>9.109663764000004</v>
      </c>
      <c r="P275" s="75">
        <f t="shared" ref="P275" si="224">SUM(P276:P379)</f>
        <v>0.36572908799999998</v>
      </c>
      <c r="Q275" s="75">
        <f t="shared" ref="Q275" si="225">SUM(Q276:Q379)</f>
        <v>3.4708273080000001</v>
      </c>
      <c r="R275" s="75">
        <f t="shared" ref="R275" si="226">SUM(R276:R379)</f>
        <v>5.273107367999998</v>
      </c>
      <c r="S275" s="75">
        <f t="shared" ref="S275" si="227">SUM(S276:S379)</f>
        <v>0</v>
      </c>
      <c r="T275" s="75">
        <f t="shared" ref="T275" si="228">SUM(T276:T379)</f>
        <v>9.2910593279999993</v>
      </c>
      <c r="U275" s="75">
        <f t="shared" ref="U275" si="229">SUM(U276:U379)</f>
        <v>0.26204247600000002</v>
      </c>
      <c r="V275" s="75">
        <f t="shared" ref="V275" si="230">SUM(V276:V379)</f>
        <v>4.1806508159999991</v>
      </c>
      <c r="W275" s="75">
        <f t="shared" ref="W275" si="231">SUM(W276:W379)</f>
        <v>4.8483660359999998</v>
      </c>
      <c r="X275" s="75">
        <f t="shared" ref="X275" si="232">SUM(X276:X379)</f>
        <v>0</v>
      </c>
      <c r="Y275" s="75">
        <f t="shared" ref="Y275" si="233">SUM(Y276:Y379)</f>
        <v>32.434266168000008</v>
      </c>
      <c r="Z275" s="75">
        <f t="shared" ref="Z275" si="234">SUM(Z276:Z379)</f>
        <v>0.58112335199999987</v>
      </c>
      <c r="AA275" s="75">
        <f t="shared" ref="AA275" si="235">SUM(AA276:AA379)</f>
        <v>17.354373336000002</v>
      </c>
      <c r="AB275" s="75">
        <f t="shared" ref="AB275" si="236">SUM(AB276:AB379)</f>
        <v>14.498769479999998</v>
      </c>
      <c r="AC275" s="35">
        <f t="shared" ref="AC275" si="237">SUM(AC276:AC379)</f>
        <v>0</v>
      </c>
      <c r="AD275" s="35">
        <f>SUM(AD276:AD366)</f>
        <v>90.887803109999993</v>
      </c>
      <c r="AE275" s="35">
        <f t="shared" si="208"/>
        <v>49.123878009999999</v>
      </c>
      <c r="AF275" s="35">
        <f t="shared" si="208"/>
        <v>1.48840335</v>
      </c>
      <c r="AG275" s="35">
        <f t="shared" si="208"/>
        <v>25.70446295</v>
      </c>
      <c r="AH275" s="35">
        <f t="shared" si="206"/>
        <v>21.931011710000007</v>
      </c>
      <c r="AI275" s="35">
        <f t="shared" si="206"/>
        <v>0</v>
      </c>
      <c r="AJ275" s="35">
        <f t="shared" ref="AJ275:BC275" si="238">SUM(AJ276:AJ379)</f>
        <v>6.1870336899999998</v>
      </c>
      <c r="AK275" s="35">
        <f t="shared" si="238"/>
        <v>0.1418452</v>
      </c>
      <c r="AL275" s="35">
        <f t="shared" si="238"/>
        <v>4.77260727</v>
      </c>
      <c r="AM275" s="35">
        <f t="shared" si="238"/>
        <v>1.27258122</v>
      </c>
      <c r="AN275" s="35">
        <f t="shared" si="238"/>
        <v>0</v>
      </c>
      <c r="AO275" s="35">
        <f t="shared" si="238"/>
        <v>7.9566634899999977</v>
      </c>
      <c r="AP275" s="35">
        <f t="shared" si="238"/>
        <v>0.25195591000000001</v>
      </c>
      <c r="AQ275" s="35">
        <f t="shared" si="238"/>
        <v>3.160562839999999</v>
      </c>
      <c r="AR275" s="35">
        <f t="shared" si="238"/>
        <v>4.544144740000001</v>
      </c>
      <c r="AS275" s="35">
        <f t="shared" si="238"/>
        <v>0</v>
      </c>
      <c r="AT275" s="35">
        <f t="shared" si="238"/>
        <v>7.6496058400000004</v>
      </c>
      <c r="AU275" s="35">
        <f t="shared" si="238"/>
        <v>0.16157505999999999</v>
      </c>
      <c r="AV275" s="35">
        <f t="shared" si="238"/>
        <v>3.44772575</v>
      </c>
      <c r="AW275" s="35">
        <f t="shared" si="238"/>
        <v>4.0403050300000007</v>
      </c>
      <c r="AX275" s="35">
        <f t="shared" si="238"/>
        <v>0</v>
      </c>
      <c r="AY275" s="53">
        <f t="shared" si="238"/>
        <v>27.330574990000002</v>
      </c>
      <c r="AZ275" s="53">
        <f t="shared" si="238"/>
        <v>0.93302717999999996</v>
      </c>
      <c r="BA275" s="53">
        <f t="shared" si="238"/>
        <v>14.323567089999999</v>
      </c>
      <c r="BB275" s="53">
        <f t="shared" si="238"/>
        <v>12.073980720000003</v>
      </c>
      <c r="BC275" s="53">
        <f t="shared" si="238"/>
        <v>0</v>
      </c>
    </row>
    <row r="276" spans="1:55" s="55" customFormat="1" ht="36.75" customHeight="1" x14ac:dyDescent="0.25">
      <c r="A276" s="98" t="s">
        <v>235</v>
      </c>
      <c r="B276" s="96" t="s">
        <v>432</v>
      </c>
      <c r="C276" s="99" t="s">
        <v>433</v>
      </c>
      <c r="D276" s="88">
        <v>0</v>
      </c>
      <c r="E276" s="29">
        <f t="shared" si="207"/>
        <v>0.17718924</v>
      </c>
      <c r="F276" s="29">
        <f t="shared" si="207"/>
        <v>0</v>
      </c>
      <c r="G276" s="29">
        <f t="shared" si="207"/>
        <v>0.10271189999999999</v>
      </c>
      <c r="H276" s="29">
        <f t="shared" si="204"/>
        <v>7.4477340000000003E-2</v>
      </c>
      <c r="I276" s="29">
        <f t="shared" si="204"/>
        <v>0</v>
      </c>
      <c r="J276" s="29">
        <f t="shared" ref="J276:J339" si="239">K276+L276+M276+N276</f>
        <v>0.17718924</v>
      </c>
      <c r="K276" s="29">
        <v>0</v>
      </c>
      <c r="L276" s="29">
        <v>0.10271189999999999</v>
      </c>
      <c r="M276" s="29">
        <v>7.4477340000000003E-2</v>
      </c>
      <c r="N276" s="29">
        <v>0</v>
      </c>
      <c r="O276" s="29">
        <f>P276+Q276+R276+S276</f>
        <v>0</v>
      </c>
      <c r="P276" s="29">
        <v>0</v>
      </c>
      <c r="Q276" s="29">
        <v>0</v>
      </c>
      <c r="R276" s="29">
        <v>0</v>
      </c>
      <c r="S276" s="29">
        <v>0</v>
      </c>
      <c r="T276" s="30">
        <f t="shared" ref="T276:T293" si="240">U276+V276+W276+X276</f>
        <v>0</v>
      </c>
      <c r="U276" s="30">
        <v>0</v>
      </c>
      <c r="V276" s="30">
        <v>0</v>
      </c>
      <c r="W276" s="30">
        <v>0</v>
      </c>
      <c r="X276" s="30">
        <v>0</v>
      </c>
      <c r="Y276" s="30">
        <f t="shared" ref="Y276:Y293" si="241">Z276+AA276+AB276+AC276</f>
        <v>0</v>
      </c>
      <c r="Z276" s="30">
        <v>0</v>
      </c>
      <c r="AA276" s="30">
        <v>0</v>
      </c>
      <c r="AB276" s="30">
        <v>0</v>
      </c>
      <c r="AC276" s="34">
        <v>0</v>
      </c>
      <c r="AD276" s="36">
        <v>0</v>
      </c>
      <c r="AE276" s="36">
        <f t="shared" si="208"/>
        <v>0.1476577</v>
      </c>
      <c r="AF276" s="36">
        <f t="shared" si="208"/>
        <v>0</v>
      </c>
      <c r="AG276" s="36">
        <f t="shared" si="208"/>
        <v>8.5593249999999996E-2</v>
      </c>
      <c r="AH276" s="36">
        <f t="shared" si="206"/>
        <v>6.206445E-2</v>
      </c>
      <c r="AI276" s="36">
        <f t="shared" si="206"/>
        <v>0</v>
      </c>
      <c r="AJ276" s="36">
        <f t="shared" ref="AJ276:AJ305" si="242">AK276+AL276+AM276+AN276</f>
        <v>0.1476577</v>
      </c>
      <c r="AK276" s="36">
        <v>0</v>
      </c>
      <c r="AL276" s="36">
        <v>8.5593249999999996E-2</v>
      </c>
      <c r="AM276" s="36">
        <v>6.206445E-2</v>
      </c>
      <c r="AN276" s="36">
        <v>0</v>
      </c>
      <c r="AO276" s="34">
        <f>AP276+AQ276+AR276+AS276</f>
        <v>0</v>
      </c>
      <c r="AP276" s="34">
        <v>0</v>
      </c>
      <c r="AQ276" s="34">
        <v>0</v>
      </c>
      <c r="AR276" s="34">
        <v>0</v>
      </c>
      <c r="AS276" s="34">
        <v>0</v>
      </c>
      <c r="AT276" s="34">
        <f t="shared" ref="AT276:AT293" si="243">AU276+AV276+AW276+AX276</f>
        <v>0</v>
      </c>
      <c r="AU276" s="34">
        <v>0</v>
      </c>
      <c r="AV276" s="34">
        <v>0</v>
      </c>
      <c r="AW276" s="34">
        <v>0</v>
      </c>
      <c r="AX276" s="34">
        <v>0</v>
      </c>
      <c r="AY276" s="34">
        <f t="shared" ref="AY276:AY293" si="244">AZ276+BA276+BB276+BC276</f>
        <v>0</v>
      </c>
      <c r="AZ276" s="34">
        <v>0</v>
      </c>
      <c r="BA276" s="34">
        <v>0</v>
      </c>
      <c r="BB276" s="34">
        <v>0</v>
      </c>
      <c r="BC276" s="34">
        <v>0</v>
      </c>
    </row>
    <row r="277" spans="1:55" s="55" customFormat="1" ht="36.75" customHeight="1" x14ac:dyDescent="0.25">
      <c r="A277" s="85" t="s">
        <v>235</v>
      </c>
      <c r="B277" s="96" t="s">
        <v>434</v>
      </c>
      <c r="C277" s="108" t="s">
        <v>435</v>
      </c>
      <c r="D277" s="88">
        <v>0</v>
      </c>
      <c r="E277" s="29">
        <f t="shared" si="207"/>
        <v>0.47313257999999997</v>
      </c>
      <c r="F277" s="29">
        <f t="shared" si="207"/>
        <v>0</v>
      </c>
      <c r="G277" s="29">
        <f t="shared" si="207"/>
        <v>0.23547597599999998</v>
      </c>
      <c r="H277" s="29">
        <f t="shared" si="204"/>
        <v>0.23765660399999999</v>
      </c>
      <c r="I277" s="29">
        <f t="shared" si="204"/>
        <v>0</v>
      </c>
      <c r="J277" s="29">
        <f t="shared" si="239"/>
        <v>0.45022481999999997</v>
      </c>
      <c r="K277" s="29">
        <v>0</v>
      </c>
      <c r="L277" s="29">
        <v>0.22002021599999996</v>
      </c>
      <c r="M277" s="29">
        <v>0.23020460399999998</v>
      </c>
      <c r="N277" s="29">
        <v>0</v>
      </c>
      <c r="O277" s="29">
        <f t="shared" ref="O277:O284" si="245">P277+Q277+R277+S277</f>
        <v>2.2907759999999999E-2</v>
      </c>
      <c r="P277" s="29">
        <v>0</v>
      </c>
      <c r="Q277" s="29">
        <v>1.5455759999999999E-2</v>
      </c>
      <c r="R277" s="29">
        <v>7.4520000000000003E-3</v>
      </c>
      <c r="S277" s="29">
        <v>0</v>
      </c>
      <c r="T277" s="30">
        <f t="shared" si="240"/>
        <v>0</v>
      </c>
      <c r="U277" s="30">
        <v>0</v>
      </c>
      <c r="V277" s="30">
        <v>0</v>
      </c>
      <c r="W277" s="30">
        <v>0</v>
      </c>
      <c r="X277" s="30">
        <v>0</v>
      </c>
      <c r="Y277" s="30">
        <f t="shared" si="241"/>
        <v>0</v>
      </c>
      <c r="Z277" s="30">
        <v>0</v>
      </c>
      <c r="AA277" s="30">
        <v>0</v>
      </c>
      <c r="AB277" s="30">
        <v>0</v>
      </c>
      <c r="AC277" s="34">
        <v>0</v>
      </c>
      <c r="AD277" s="36">
        <v>0</v>
      </c>
      <c r="AE277" s="36">
        <f t="shared" si="208"/>
        <v>0.39427714999999997</v>
      </c>
      <c r="AF277" s="36">
        <f t="shared" si="208"/>
        <v>0</v>
      </c>
      <c r="AG277" s="36">
        <f t="shared" si="208"/>
        <v>0.19622998</v>
      </c>
      <c r="AH277" s="36">
        <f t="shared" si="206"/>
        <v>0.19804716999999997</v>
      </c>
      <c r="AI277" s="36">
        <f t="shared" si="206"/>
        <v>0</v>
      </c>
      <c r="AJ277" s="36">
        <f t="shared" si="242"/>
        <v>0.37518734999999998</v>
      </c>
      <c r="AK277" s="36">
        <v>0</v>
      </c>
      <c r="AL277" s="36">
        <v>0.18335018</v>
      </c>
      <c r="AM277" s="36">
        <v>0.19183716999999997</v>
      </c>
      <c r="AN277" s="36">
        <v>0</v>
      </c>
      <c r="AO277" s="34">
        <f t="shared" ref="AO277:AO355" si="246">AP277+AQ277+AR277+AS277</f>
        <v>1.9089800000000001E-2</v>
      </c>
      <c r="AP277" s="34">
        <v>0</v>
      </c>
      <c r="AQ277" s="34">
        <v>1.28798E-2</v>
      </c>
      <c r="AR277" s="34">
        <v>6.2100000000000002E-3</v>
      </c>
      <c r="AS277" s="34">
        <v>0</v>
      </c>
      <c r="AT277" s="34">
        <f t="shared" si="243"/>
        <v>0</v>
      </c>
      <c r="AU277" s="34">
        <v>0</v>
      </c>
      <c r="AV277" s="34">
        <v>0</v>
      </c>
      <c r="AW277" s="34">
        <v>0</v>
      </c>
      <c r="AX277" s="34">
        <v>0</v>
      </c>
      <c r="AY277" s="34">
        <f t="shared" si="244"/>
        <v>0</v>
      </c>
      <c r="AZ277" s="34">
        <v>0</v>
      </c>
      <c r="BA277" s="34">
        <v>0</v>
      </c>
      <c r="BB277" s="34">
        <v>0</v>
      </c>
      <c r="BC277" s="34">
        <v>0</v>
      </c>
    </row>
    <row r="278" spans="1:55" s="55" customFormat="1" ht="36.75" customHeight="1" x14ac:dyDescent="0.25">
      <c r="A278" s="85" t="s">
        <v>235</v>
      </c>
      <c r="B278" s="86" t="s">
        <v>436</v>
      </c>
      <c r="C278" s="87" t="s">
        <v>437</v>
      </c>
      <c r="D278" s="88">
        <v>0</v>
      </c>
      <c r="E278" s="29">
        <f t="shared" si="207"/>
        <v>2.6690676000000003E-2</v>
      </c>
      <c r="F278" s="29">
        <f t="shared" si="207"/>
        <v>0</v>
      </c>
      <c r="G278" s="29">
        <f t="shared" si="207"/>
        <v>2.0013912000000002E-2</v>
      </c>
      <c r="H278" s="29">
        <f t="shared" si="204"/>
        <v>6.676764E-3</v>
      </c>
      <c r="I278" s="29">
        <f t="shared" si="204"/>
        <v>0</v>
      </c>
      <c r="J278" s="29">
        <f t="shared" si="239"/>
        <v>2.6690676000000003E-2</v>
      </c>
      <c r="K278" s="29">
        <v>0</v>
      </c>
      <c r="L278" s="29">
        <v>2.0013912000000002E-2</v>
      </c>
      <c r="M278" s="29">
        <v>6.676764E-3</v>
      </c>
      <c r="N278" s="29">
        <v>0</v>
      </c>
      <c r="O278" s="29">
        <f t="shared" si="245"/>
        <v>0</v>
      </c>
      <c r="P278" s="29">
        <v>0</v>
      </c>
      <c r="Q278" s="29">
        <v>0</v>
      </c>
      <c r="R278" s="29">
        <v>0</v>
      </c>
      <c r="S278" s="29">
        <v>0</v>
      </c>
      <c r="T278" s="30">
        <f t="shared" si="240"/>
        <v>0</v>
      </c>
      <c r="U278" s="30">
        <v>0</v>
      </c>
      <c r="V278" s="30">
        <v>0</v>
      </c>
      <c r="W278" s="30">
        <v>0</v>
      </c>
      <c r="X278" s="30">
        <v>0</v>
      </c>
      <c r="Y278" s="30">
        <f t="shared" si="241"/>
        <v>0</v>
      </c>
      <c r="Z278" s="30">
        <v>0</v>
      </c>
      <c r="AA278" s="30">
        <v>0</v>
      </c>
      <c r="AB278" s="30">
        <v>0</v>
      </c>
      <c r="AC278" s="34">
        <v>0</v>
      </c>
      <c r="AD278" s="36">
        <v>0</v>
      </c>
      <c r="AE278" s="36">
        <f t="shared" si="208"/>
        <v>2.2242230000000002E-2</v>
      </c>
      <c r="AF278" s="36">
        <f t="shared" si="208"/>
        <v>0</v>
      </c>
      <c r="AG278" s="36">
        <f t="shared" si="208"/>
        <v>1.667826E-2</v>
      </c>
      <c r="AH278" s="36">
        <f t="shared" si="206"/>
        <v>5.5639700000000005E-3</v>
      </c>
      <c r="AI278" s="36">
        <f t="shared" si="206"/>
        <v>0</v>
      </c>
      <c r="AJ278" s="36">
        <f t="shared" si="242"/>
        <v>2.2242230000000002E-2</v>
      </c>
      <c r="AK278" s="36">
        <v>0</v>
      </c>
      <c r="AL278" s="36">
        <v>1.667826E-2</v>
      </c>
      <c r="AM278" s="36">
        <v>5.5639700000000005E-3</v>
      </c>
      <c r="AN278" s="36">
        <v>0</v>
      </c>
      <c r="AO278" s="34">
        <f t="shared" si="246"/>
        <v>0</v>
      </c>
      <c r="AP278" s="34">
        <v>0</v>
      </c>
      <c r="AQ278" s="34">
        <v>0</v>
      </c>
      <c r="AR278" s="34">
        <v>0</v>
      </c>
      <c r="AS278" s="34">
        <v>0</v>
      </c>
      <c r="AT278" s="34">
        <f t="shared" si="243"/>
        <v>0</v>
      </c>
      <c r="AU278" s="34">
        <v>0</v>
      </c>
      <c r="AV278" s="34">
        <v>0</v>
      </c>
      <c r="AW278" s="34">
        <v>0</v>
      </c>
      <c r="AX278" s="34">
        <v>0</v>
      </c>
      <c r="AY278" s="34">
        <f t="shared" si="244"/>
        <v>0</v>
      </c>
      <c r="AZ278" s="34">
        <v>0</v>
      </c>
      <c r="BA278" s="34">
        <v>0</v>
      </c>
      <c r="BB278" s="34">
        <v>0</v>
      </c>
      <c r="BC278" s="34">
        <v>0</v>
      </c>
    </row>
    <row r="279" spans="1:55" s="55" customFormat="1" ht="36.75" customHeight="1" x14ac:dyDescent="0.25">
      <c r="A279" s="31" t="s">
        <v>235</v>
      </c>
      <c r="B279" s="89" t="s">
        <v>237</v>
      </c>
      <c r="C279" s="90" t="s">
        <v>238</v>
      </c>
      <c r="D279" s="88">
        <v>0.67417982399999998</v>
      </c>
      <c r="E279" s="29">
        <f t="shared" si="207"/>
        <v>0.223433304</v>
      </c>
      <c r="F279" s="29">
        <f t="shared" si="207"/>
        <v>0</v>
      </c>
      <c r="G279" s="29">
        <f t="shared" si="207"/>
        <v>5.0776740000000001E-2</v>
      </c>
      <c r="H279" s="29">
        <f t="shared" si="204"/>
        <v>0.17265656399999998</v>
      </c>
      <c r="I279" s="29">
        <f t="shared" si="204"/>
        <v>0</v>
      </c>
      <c r="J279" s="29">
        <f t="shared" si="239"/>
        <v>0</v>
      </c>
      <c r="K279" s="29">
        <v>0</v>
      </c>
      <c r="L279" s="29">
        <v>0</v>
      </c>
      <c r="M279" s="29">
        <v>0</v>
      </c>
      <c r="N279" s="29">
        <v>0</v>
      </c>
      <c r="O279" s="29">
        <f t="shared" si="245"/>
        <v>0.16281773999999999</v>
      </c>
      <c r="P279" s="29">
        <v>0</v>
      </c>
      <c r="Q279" s="29">
        <v>4.0247051999999998E-2</v>
      </c>
      <c r="R279" s="29">
        <v>0.12257068799999998</v>
      </c>
      <c r="S279" s="29">
        <v>0</v>
      </c>
      <c r="T279" s="30">
        <f t="shared" si="240"/>
        <v>6.0615563999999997E-2</v>
      </c>
      <c r="U279" s="30">
        <v>0</v>
      </c>
      <c r="V279" s="30">
        <v>1.0529687999999999E-2</v>
      </c>
      <c r="W279" s="30">
        <v>5.0085876000000001E-2</v>
      </c>
      <c r="X279" s="30">
        <v>0</v>
      </c>
      <c r="Y279" s="30">
        <f t="shared" si="241"/>
        <v>0</v>
      </c>
      <c r="Z279" s="30">
        <v>0</v>
      </c>
      <c r="AA279" s="30">
        <v>0</v>
      </c>
      <c r="AB279" s="30">
        <v>0</v>
      </c>
      <c r="AC279" s="34">
        <v>0</v>
      </c>
      <c r="AD279" s="36">
        <v>0.56181652000000004</v>
      </c>
      <c r="AE279" s="36">
        <f t="shared" si="208"/>
        <v>0.20395542</v>
      </c>
      <c r="AF279" s="36">
        <f t="shared" si="208"/>
        <v>1.7760999999999999E-2</v>
      </c>
      <c r="AG279" s="36">
        <f t="shared" si="208"/>
        <v>4.2313950000000003E-2</v>
      </c>
      <c r="AH279" s="36">
        <f t="shared" si="206"/>
        <v>0.14388046999999998</v>
      </c>
      <c r="AI279" s="36">
        <f t="shared" si="206"/>
        <v>0</v>
      </c>
      <c r="AJ279" s="36">
        <f t="shared" si="242"/>
        <v>0</v>
      </c>
      <c r="AK279" s="36">
        <v>0</v>
      </c>
      <c r="AL279" s="36">
        <v>0</v>
      </c>
      <c r="AM279" s="36">
        <v>0</v>
      </c>
      <c r="AN279" s="36">
        <v>0</v>
      </c>
      <c r="AO279" s="34">
        <f t="shared" si="246"/>
        <v>0.15344245000000001</v>
      </c>
      <c r="AP279" s="34">
        <v>1.7760999999999999E-2</v>
      </c>
      <c r="AQ279" s="34">
        <v>3.353921E-2</v>
      </c>
      <c r="AR279" s="34">
        <v>0.10214224</v>
      </c>
      <c r="AS279" s="34">
        <v>0</v>
      </c>
      <c r="AT279" s="34">
        <f t="shared" si="243"/>
        <v>5.0512970000000004E-2</v>
      </c>
      <c r="AU279" s="34">
        <v>0</v>
      </c>
      <c r="AV279" s="34">
        <v>8.7747399999999996E-3</v>
      </c>
      <c r="AW279" s="34">
        <v>4.1738230000000001E-2</v>
      </c>
      <c r="AX279" s="34">
        <v>0</v>
      </c>
      <c r="AY279" s="34">
        <f t="shared" si="244"/>
        <v>0</v>
      </c>
      <c r="AZ279" s="34">
        <v>0</v>
      </c>
      <c r="BA279" s="34">
        <v>0</v>
      </c>
      <c r="BB279" s="34">
        <v>0</v>
      </c>
      <c r="BC279" s="34">
        <v>0</v>
      </c>
    </row>
    <row r="280" spans="1:55" s="55" customFormat="1" ht="36.75" customHeight="1" x14ac:dyDescent="0.25">
      <c r="A280" s="85" t="s">
        <v>235</v>
      </c>
      <c r="B280" s="96" t="s">
        <v>239</v>
      </c>
      <c r="C280" s="97" t="s">
        <v>240</v>
      </c>
      <c r="D280" s="88">
        <v>4.1485422359999991</v>
      </c>
      <c r="E280" s="29">
        <f t="shared" si="207"/>
        <v>2.1070029719999996</v>
      </c>
      <c r="F280" s="29">
        <f t="shared" si="207"/>
        <v>0</v>
      </c>
      <c r="G280" s="29">
        <f t="shared" si="207"/>
        <v>0.70409598000000007</v>
      </c>
      <c r="H280" s="29">
        <f t="shared" si="204"/>
        <v>1.4029069919999997</v>
      </c>
      <c r="I280" s="29">
        <f t="shared" si="204"/>
        <v>0</v>
      </c>
      <c r="J280" s="29">
        <f t="shared" si="239"/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f t="shared" si="245"/>
        <v>0</v>
      </c>
      <c r="P280" s="29">
        <v>0</v>
      </c>
      <c r="Q280" s="29">
        <v>0</v>
      </c>
      <c r="R280" s="29">
        <v>0</v>
      </c>
      <c r="S280" s="29">
        <v>0</v>
      </c>
      <c r="T280" s="30">
        <f t="shared" si="240"/>
        <v>0.15157746</v>
      </c>
      <c r="U280" s="30">
        <v>0</v>
      </c>
      <c r="V280" s="30">
        <v>2.9863727999999999E-2</v>
      </c>
      <c r="W280" s="30">
        <v>0.12171373199999999</v>
      </c>
      <c r="X280" s="30">
        <v>0</v>
      </c>
      <c r="Y280" s="30">
        <f t="shared" si="241"/>
        <v>1.9554255119999997</v>
      </c>
      <c r="Z280" s="30">
        <v>0</v>
      </c>
      <c r="AA280" s="30">
        <v>0.67423225200000003</v>
      </c>
      <c r="AB280" s="30">
        <v>1.2811932599999998</v>
      </c>
      <c r="AC280" s="34">
        <v>0</v>
      </c>
      <c r="AD280" s="36">
        <v>3.4571185299999994</v>
      </c>
      <c r="AE280" s="36">
        <f t="shared" si="208"/>
        <v>1.78505081</v>
      </c>
      <c r="AF280" s="36">
        <f t="shared" si="208"/>
        <v>2.9215000000000001E-2</v>
      </c>
      <c r="AG280" s="36">
        <f t="shared" si="208"/>
        <v>0.58674665000000004</v>
      </c>
      <c r="AH280" s="36">
        <f t="shared" si="206"/>
        <v>1.16908916</v>
      </c>
      <c r="AI280" s="36">
        <f t="shared" si="206"/>
        <v>0</v>
      </c>
      <c r="AJ280" s="36">
        <f t="shared" si="242"/>
        <v>0</v>
      </c>
      <c r="AK280" s="36">
        <v>0</v>
      </c>
      <c r="AL280" s="36">
        <v>0</v>
      </c>
      <c r="AM280" s="36">
        <v>0</v>
      </c>
      <c r="AN280" s="36">
        <v>0</v>
      </c>
      <c r="AO280" s="34">
        <f t="shared" si="246"/>
        <v>0</v>
      </c>
      <c r="AP280" s="34">
        <v>0</v>
      </c>
      <c r="AQ280" s="34">
        <v>0</v>
      </c>
      <c r="AR280" s="34">
        <v>0</v>
      </c>
      <c r="AS280" s="34">
        <v>0</v>
      </c>
      <c r="AT280" s="34">
        <f t="shared" si="243"/>
        <v>0.15552955000000002</v>
      </c>
      <c r="AU280" s="34">
        <v>2.9215000000000001E-2</v>
      </c>
      <c r="AV280" s="34">
        <v>2.4886439999999999E-2</v>
      </c>
      <c r="AW280" s="34">
        <v>0.10142811</v>
      </c>
      <c r="AX280" s="34">
        <v>0</v>
      </c>
      <c r="AY280" s="34">
        <f t="shared" si="244"/>
        <v>1.62952126</v>
      </c>
      <c r="AZ280" s="34">
        <v>0</v>
      </c>
      <c r="BA280" s="34">
        <v>0.56186021000000008</v>
      </c>
      <c r="BB280" s="34">
        <v>1.0676610499999999</v>
      </c>
      <c r="BC280" s="34">
        <v>0</v>
      </c>
    </row>
    <row r="281" spans="1:55" s="55" customFormat="1" ht="36.75" customHeight="1" x14ac:dyDescent="0.25">
      <c r="A281" s="85" t="s">
        <v>235</v>
      </c>
      <c r="B281" s="96" t="s">
        <v>241</v>
      </c>
      <c r="C281" s="97" t="s">
        <v>242</v>
      </c>
      <c r="D281" s="88">
        <v>3.893593536</v>
      </c>
      <c r="E281" s="29">
        <f t="shared" si="207"/>
        <v>2.2936996560000003</v>
      </c>
      <c r="F281" s="29">
        <f t="shared" si="207"/>
        <v>0</v>
      </c>
      <c r="G281" s="29">
        <f t="shared" si="207"/>
        <v>0.98367258000000013</v>
      </c>
      <c r="H281" s="29">
        <f t="shared" si="204"/>
        <v>1.3100270760000001</v>
      </c>
      <c r="I281" s="29">
        <f t="shared" si="204"/>
        <v>0</v>
      </c>
      <c r="J281" s="29">
        <f t="shared" si="239"/>
        <v>0</v>
      </c>
      <c r="K281" s="29">
        <v>0</v>
      </c>
      <c r="L281" s="29">
        <v>0</v>
      </c>
      <c r="M281" s="29">
        <v>0</v>
      </c>
      <c r="N281" s="29">
        <v>0</v>
      </c>
      <c r="O281" s="29">
        <f t="shared" si="245"/>
        <v>1.854061884</v>
      </c>
      <c r="P281" s="29">
        <v>0</v>
      </c>
      <c r="Q281" s="29">
        <v>0.75544891200000019</v>
      </c>
      <c r="R281" s="29">
        <v>1.098612972</v>
      </c>
      <c r="S281" s="29">
        <v>0</v>
      </c>
      <c r="T281" s="30">
        <f t="shared" si="240"/>
        <v>0.32080073999999997</v>
      </c>
      <c r="U281" s="30">
        <v>0</v>
      </c>
      <c r="V281" s="30">
        <v>0.18870404399999999</v>
      </c>
      <c r="W281" s="30">
        <v>0.13209669599999999</v>
      </c>
      <c r="X281" s="30">
        <v>0</v>
      </c>
      <c r="Y281" s="30">
        <f t="shared" si="241"/>
        <v>0.118837032</v>
      </c>
      <c r="Z281" s="30">
        <v>0</v>
      </c>
      <c r="AA281" s="30">
        <v>3.9519624000000003E-2</v>
      </c>
      <c r="AB281" s="30">
        <v>7.9317407999999992E-2</v>
      </c>
      <c r="AC281" s="34">
        <v>0</v>
      </c>
      <c r="AD281" s="36">
        <v>3.2446612800000003</v>
      </c>
      <c r="AE281" s="36">
        <f t="shared" si="208"/>
        <v>1.9410563800000002</v>
      </c>
      <c r="AF281" s="36">
        <f t="shared" si="208"/>
        <v>2.9639999999999996E-2</v>
      </c>
      <c r="AG281" s="36">
        <f t="shared" si="208"/>
        <v>0.81972715000000007</v>
      </c>
      <c r="AH281" s="36">
        <f t="shared" si="206"/>
        <v>1.0916892300000001</v>
      </c>
      <c r="AI281" s="36">
        <f t="shared" si="206"/>
        <v>0</v>
      </c>
      <c r="AJ281" s="36">
        <f t="shared" si="242"/>
        <v>0</v>
      </c>
      <c r="AK281" s="36">
        <v>0</v>
      </c>
      <c r="AL281" s="36">
        <v>0</v>
      </c>
      <c r="AM281" s="36">
        <v>0</v>
      </c>
      <c r="AN281" s="36">
        <v>0</v>
      </c>
      <c r="AO281" s="34">
        <f t="shared" si="246"/>
        <v>1.5746915700000002</v>
      </c>
      <c r="AP281" s="34">
        <v>2.9639999999999996E-2</v>
      </c>
      <c r="AQ281" s="34">
        <v>0.62954076000000014</v>
      </c>
      <c r="AR281" s="34">
        <v>0.91551081000000001</v>
      </c>
      <c r="AS281" s="34">
        <v>0</v>
      </c>
      <c r="AT281" s="34">
        <f t="shared" si="243"/>
        <v>0.26733394999999999</v>
      </c>
      <c r="AU281" s="34">
        <v>0</v>
      </c>
      <c r="AV281" s="34">
        <v>0.15725337</v>
      </c>
      <c r="AW281" s="34">
        <v>0.11008058</v>
      </c>
      <c r="AX281" s="34">
        <v>0</v>
      </c>
      <c r="AY281" s="34">
        <f t="shared" si="244"/>
        <v>9.9030859999999998E-2</v>
      </c>
      <c r="AZ281" s="34">
        <v>0</v>
      </c>
      <c r="BA281" s="34">
        <v>3.293302E-2</v>
      </c>
      <c r="BB281" s="34">
        <v>6.6097839999999991E-2</v>
      </c>
      <c r="BC281" s="34">
        <v>0</v>
      </c>
    </row>
    <row r="282" spans="1:55" s="55" customFormat="1" ht="36.75" customHeight="1" x14ac:dyDescent="0.25">
      <c r="A282" s="85" t="s">
        <v>235</v>
      </c>
      <c r="B282" s="96" t="s">
        <v>243</v>
      </c>
      <c r="C282" s="97" t="s">
        <v>244</v>
      </c>
      <c r="D282" s="88">
        <v>3.3533705279999997</v>
      </c>
      <c r="E282" s="29">
        <f t="shared" si="207"/>
        <v>1.5337834559999999</v>
      </c>
      <c r="F282" s="29">
        <f t="shared" si="207"/>
        <v>3.0599999999999998E-3</v>
      </c>
      <c r="G282" s="29">
        <f t="shared" si="207"/>
        <v>0.71424602399999992</v>
      </c>
      <c r="H282" s="29">
        <f t="shared" si="204"/>
        <v>0.81647743199999989</v>
      </c>
      <c r="I282" s="29">
        <f t="shared" si="204"/>
        <v>0</v>
      </c>
      <c r="J282" s="29">
        <f t="shared" si="239"/>
        <v>0</v>
      </c>
      <c r="K282" s="29">
        <v>0</v>
      </c>
      <c r="L282" s="29">
        <v>0</v>
      </c>
      <c r="M282" s="29">
        <v>0</v>
      </c>
      <c r="N282" s="29">
        <v>0</v>
      </c>
      <c r="O282" s="29">
        <f t="shared" si="245"/>
        <v>0</v>
      </c>
      <c r="P282" s="29">
        <v>0</v>
      </c>
      <c r="Q282" s="29">
        <v>0</v>
      </c>
      <c r="R282" s="29">
        <v>0</v>
      </c>
      <c r="S282" s="29">
        <v>0</v>
      </c>
      <c r="T282" s="30">
        <f t="shared" si="240"/>
        <v>0.64894201200000001</v>
      </c>
      <c r="U282" s="30">
        <v>3.0599999999999998E-3</v>
      </c>
      <c r="V282" s="30">
        <v>0.32882443199999994</v>
      </c>
      <c r="W282" s="30">
        <v>0.31705758000000001</v>
      </c>
      <c r="X282" s="30">
        <v>0</v>
      </c>
      <c r="Y282" s="30">
        <f t="shared" si="241"/>
        <v>0.88484144399999987</v>
      </c>
      <c r="Z282" s="30">
        <v>0</v>
      </c>
      <c r="AA282" s="30">
        <v>0.38542159199999998</v>
      </c>
      <c r="AB282" s="30">
        <v>0.49941985199999994</v>
      </c>
      <c r="AC282" s="34">
        <v>0</v>
      </c>
      <c r="AD282" s="36">
        <v>2.7944754399999998</v>
      </c>
      <c r="AE282" s="36">
        <f t="shared" si="208"/>
        <v>1.2980308799999998</v>
      </c>
      <c r="AF282" s="36">
        <f t="shared" si="208"/>
        <v>2.2428E-2</v>
      </c>
      <c r="AG282" s="36">
        <f t="shared" si="208"/>
        <v>0.59520501999999997</v>
      </c>
      <c r="AH282" s="36">
        <f t="shared" si="206"/>
        <v>0.68039786000000002</v>
      </c>
      <c r="AI282" s="36">
        <f t="shared" si="206"/>
        <v>0</v>
      </c>
      <c r="AJ282" s="36">
        <f t="shared" si="242"/>
        <v>0</v>
      </c>
      <c r="AK282" s="36">
        <v>0</v>
      </c>
      <c r="AL282" s="36">
        <v>0</v>
      </c>
      <c r="AM282" s="36">
        <v>0</v>
      </c>
      <c r="AN282" s="36">
        <v>0</v>
      </c>
      <c r="AO282" s="34">
        <f t="shared" si="246"/>
        <v>0</v>
      </c>
      <c r="AP282" s="34">
        <v>0</v>
      </c>
      <c r="AQ282" s="34">
        <v>0</v>
      </c>
      <c r="AR282" s="34">
        <v>0</v>
      </c>
      <c r="AS282" s="34">
        <v>0</v>
      </c>
      <c r="AT282" s="34">
        <f t="shared" si="243"/>
        <v>0.56066300999999996</v>
      </c>
      <c r="AU282" s="34">
        <v>2.2428E-2</v>
      </c>
      <c r="AV282" s="34">
        <v>0.27402035999999996</v>
      </c>
      <c r="AW282" s="34">
        <v>0.26421465</v>
      </c>
      <c r="AX282" s="34">
        <v>0</v>
      </c>
      <c r="AY282" s="34">
        <f t="shared" si="244"/>
        <v>0.73736786999999993</v>
      </c>
      <c r="AZ282" s="34">
        <v>0</v>
      </c>
      <c r="BA282" s="34">
        <v>0.32118466000000001</v>
      </c>
      <c r="BB282" s="34">
        <v>0.41618320999999997</v>
      </c>
      <c r="BC282" s="34">
        <v>0</v>
      </c>
    </row>
    <row r="283" spans="1:55" s="55" customFormat="1" ht="36.75" customHeight="1" x14ac:dyDescent="0.25">
      <c r="A283" s="85" t="s">
        <v>235</v>
      </c>
      <c r="B283" s="96" t="s">
        <v>245</v>
      </c>
      <c r="C283" s="97" t="s">
        <v>246</v>
      </c>
      <c r="D283" s="88">
        <v>4.9100255879999999</v>
      </c>
      <c r="E283" s="29">
        <f t="shared" si="207"/>
        <v>3.5027785199999997</v>
      </c>
      <c r="F283" s="29">
        <f t="shared" si="207"/>
        <v>0</v>
      </c>
      <c r="G283" s="29">
        <f t="shared" si="207"/>
        <v>1.474425144</v>
      </c>
      <c r="H283" s="29">
        <f t="shared" si="204"/>
        <v>2.0283533760000001</v>
      </c>
      <c r="I283" s="29">
        <f t="shared" si="204"/>
        <v>0</v>
      </c>
      <c r="J283" s="29">
        <f t="shared" si="239"/>
        <v>0</v>
      </c>
      <c r="K283" s="29">
        <v>0</v>
      </c>
      <c r="L283" s="29">
        <v>0</v>
      </c>
      <c r="M283" s="29">
        <v>0</v>
      </c>
      <c r="N283" s="29">
        <v>0</v>
      </c>
      <c r="O283" s="29">
        <f t="shared" si="245"/>
        <v>0</v>
      </c>
      <c r="P283" s="29">
        <v>0</v>
      </c>
      <c r="Q283" s="29">
        <v>0</v>
      </c>
      <c r="R283" s="29">
        <v>0</v>
      </c>
      <c r="S283" s="29">
        <v>0</v>
      </c>
      <c r="T283" s="30">
        <f t="shared" si="240"/>
        <v>1.6508535959999999</v>
      </c>
      <c r="U283" s="30">
        <v>0</v>
      </c>
      <c r="V283" s="30">
        <v>0.7430798999999999</v>
      </c>
      <c r="W283" s="30">
        <v>0.90777369600000002</v>
      </c>
      <c r="X283" s="30">
        <v>0</v>
      </c>
      <c r="Y283" s="30">
        <f t="shared" si="241"/>
        <v>1.851924924</v>
      </c>
      <c r="Z283" s="30">
        <v>0</v>
      </c>
      <c r="AA283" s="30">
        <v>0.73134524400000001</v>
      </c>
      <c r="AB283" s="30">
        <v>1.1205796799999999</v>
      </c>
      <c r="AC283" s="34">
        <v>0</v>
      </c>
      <c r="AD283" s="36">
        <v>4.0916879900000005</v>
      </c>
      <c r="AE283" s="36">
        <f t="shared" si="208"/>
        <v>2.9447051000000002</v>
      </c>
      <c r="AF283" s="36">
        <f t="shared" si="208"/>
        <v>2.5722999999999999E-2</v>
      </c>
      <c r="AG283" s="36">
        <f t="shared" si="208"/>
        <v>1.2286876200000001</v>
      </c>
      <c r="AH283" s="36">
        <f t="shared" si="206"/>
        <v>1.6902944799999999</v>
      </c>
      <c r="AI283" s="36">
        <f t="shared" si="206"/>
        <v>0</v>
      </c>
      <c r="AJ283" s="36">
        <f t="shared" si="242"/>
        <v>0</v>
      </c>
      <c r="AK283" s="36">
        <v>0</v>
      </c>
      <c r="AL283" s="36">
        <v>0</v>
      </c>
      <c r="AM283" s="36">
        <v>0</v>
      </c>
      <c r="AN283" s="36">
        <v>0</v>
      </c>
      <c r="AO283" s="34">
        <f t="shared" si="246"/>
        <v>0</v>
      </c>
      <c r="AP283" s="34">
        <v>0</v>
      </c>
      <c r="AQ283" s="34">
        <v>0</v>
      </c>
      <c r="AR283" s="34">
        <v>0</v>
      </c>
      <c r="AS283" s="34">
        <v>0</v>
      </c>
      <c r="AT283" s="34">
        <f t="shared" si="243"/>
        <v>1.4014343300000001</v>
      </c>
      <c r="AU283" s="34">
        <v>2.5722999999999999E-2</v>
      </c>
      <c r="AV283" s="34">
        <v>0.61923324999999996</v>
      </c>
      <c r="AW283" s="34">
        <v>0.75647808000000005</v>
      </c>
      <c r="AX283" s="34">
        <v>0</v>
      </c>
      <c r="AY283" s="34">
        <f t="shared" si="244"/>
        <v>1.5432707699999999</v>
      </c>
      <c r="AZ283" s="34">
        <v>0</v>
      </c>
      <c r="BA283" s="34">
        <v>0.60945437000000002</v>
      </c>
      <c r="BB283" s="34">
        <v>0.93381639999999988</v>
      </c>
      <c r="BC283" s="34">
        <v>0</v>
      </c>
    </row>
    <row r="284" spans="1:55" s="55" customFormat="1" ht="36.75" customHeight="1" x14ac:dyDescent="0.25">
      <c r="A284" s="85" t="s">
        <v>235</v>
      </c>
      <c r="B284" s="96" t="s">
        <v>247</v>
      </c>
      <c r="C284" s="97" t="s">
        <v>248</v>
      </c>
      <c r="D284" s="88">
        <v>4.1689711679999997</v>
      </c>
      <c r="E284" s="29">
        <f t="shared" si="207"/>
        <v>2.675566296</v>
      </c>
      <c r="F284" s="29">
        <f t="shared" si="207"/>
        <v>1.5221232000000001E-2</v>
      </c>
      <c r="G284" s="29">
        <f t="shared" si="207"/>
        <v>1.0569470159999999</v>
      </c>
      <c r="H284" s="29">
        <f t="shared" si="204"/>
        <v>1.6033980480000001</v>
      </c>
      <c r="I284" s="29">
        <f t="shared" si="204"/>
        <v>0</v>
      </c>
      <c r="J284" s="29">
        <f t="shared" si="239"/>
        <v>3.4612319999999999E-3</v>
      </c>
      <c r="K284" s="29">
        <v>3.4612319999999999E-3</v>
      </c>
      <c r="L284" s="29">
        <v>0</v>
      </c>
      <c r="M284" s="29">
        <v>0</v>
      </c>
      <c r="N284" s="29">
        <v>0</v>
      </c>
      <c r="O284" s="29">
        <f t="shared" si="245"/>
        <v>0.95261775599999998</v>
      </c>
      <c r="P284" s="29">
        <v>0</v>
      </c>
      <c r="Q284" s="29">
        <v>0.33766309199999994</v>
      </c>
      <c r="R284" s="29">
        <v>0.61495466399999998</v>
      </c>
      <c r="S284" s="29">
        <v>0</v>
      </c>
      <c r="T284" s="30">
        <f t="shared" si="240"/>
        <v>1.6147776359999999</v>
      </c>
      <c r="U284" s="30">
        <v>1.1760000000000001E-2</v>
      </c>
      <c r="V284" s="30">
        <v>0.68381369999999997</v>
      </c>
      <c r="W284" s="30">
        <v>0.91920393600000005</v>
      </c>
      <c r="X284" s="30">
        <v>0</v>
      </c>
      <c r="Y284" s="30">
        <f t="shared" si="241"/>
        <v>0.104709672</v>
      </c>
      <c r="Z284" s="30">
        <v>0</v>
      </c>
      <c r="AA284" s="30">
        <v>3.5470224000000002E-2</v>
      </c>
      <c r="AB284" s="30">
        <v>6.9239447999999995E-2</v>
      </c>
      <c r="AC284" s="34">
        <v>0</v>
      </c>
      <c r="AD284" s="36">
        <v>3.4741426399999997</v>
      </c>
      <c r="AE284" s="36">
        <f t="shared" si="208"/>
        <v>2.2571975799999997</v>
      </c>
      <c r="AF284" s="36">
        <f t="shared" si="208"/>
        <v>4.0243359999999999E-2</v>
      </c>
      <c r="AG284" s="36">
        <f t="shared" si="208"/>
        <v>0.88078917999999995</v>
      </c>
      <c r="AH284" s="36">
        <f t="shared" si="206"/>
        <v>1.33616504</v>
      </c>
      <c r="AI284" s="36">
        <f t="shared" si="206"/>
        <v>0</v>
      </c>
      <c r="AJ284" s="36">
        <f t="shared" si="242"/>
        <v>0</v>
      </c>
      <c r="AK284" s="36">
        <v>0</v>
      </c>
      <c r="AL284" s="36">
        <v>0</v>
      </c>
      <c r="AM284" s="36">
        <v>0</v>
      </c>
      <c r="AN284" s="36">
        <v>0</v>
      </c>
      <c r="AO284" s="34">
        <f t="shared" si="246"/>
        <v>0.8242914899999999</v>
      </c>
      <c r="AP284" s="34">
        <v>3.0443359999999999E-2</v>
      </c>
      <c r="AQ284" s="34">
        <v>0.28138590999999996</v>
      </c>
      <c r="AR284" s="34">
        <v>0.51246221999999997</v>
      </c>
      <c r="AS284" s="34">
        <v>0</v>
      </c>
      <c r="AT284" s="34">
        <f t="shared" si="243"/>
        <v>1.34564803</v>
      </c>
      <c r="AU284" s="34">
        <v>9.8000000000000014E-3</v>
      </c>
      <c r="AV284" s="34">
        <v>0.56984475000000001</v>
      </c>
      <c r="AW284" s="34">
        <v>0.76600328000000006</v>
      </c>
      <c r="AX284" s="34">
        <v>0</v>
      </c>
      <c r="AY284" s="34">
        <f t="shared" si="244"/>
        <v>8.7258059999999998E-2</v>
      </c>
      <c r="AZ284" s="34">
        <v>0</v>
      </c>
      <c r="BA284" s="34">
        <v>2.9558520000000001E-2</v>
      </c>
      <c r="BB284" s="34">
        <v>5.7699540000000001E-2</v>
      </c>
      <c r="BC284" s="34">
        <v>0</v>
      </c>
    </row>
    <row r="285" spans="1:55" s="55" customFormat="1" ht="36.75" customHeight="1" x14ac:dyDescent="0.25">
      <c r="A285" s="31" t="s">
        <v>235</v>
      </c>
      <c r="B285" s="89" t="s">
        <v>249</v>
      </c>
      <c r="C285" s="90" t="s">
        <v>250</v>
      </c>
      <c r="D285" s="88">
        <v>9.8400000000000001E-2</v>
      </c>
      <c r="E285" s="29">
        <f t="shared" si="207"/>
        <v>0.32378716800000001</v>
      </c>
      <c r="F285" s="29">
        <f t="shared" si="207"/>
        <v>0</v>
      </c>
      <c r="G285" s="29">
        <f t="shared" si="207"/>
        <v>0.144479148</v>
      </c>
      <c r="H285" s="29">
        <f t="shared" si="204"/>
        <v>0.17930801999999998</v>
      </c>
      <c r="I285" s="29">
        <f t="shared" si="204"/>
        <v>0</v>
      </c>
      <c r="J285" s="29">
        <f t="shared" si="239"/>
        <v>0</v>
      </c>
      <c r="K285" s="29">
        <v>0</v>
      </c>
      <c r="L285" s="29">
        <v>0</v>
      </c>
      <c r="M285" s="29">
        <v>0</v>
      </c>
      <c r="N285" s="29">
        <v>0</v>
      </c>
      <c r="O285" s="153">
        <f>P285+Q285+R285+S285</f>
        <v>0.289082652</v>
      </c>
      <c r="P285" s="150">
        <v>0</v>
      </c>
      <c r="Q285" s="150">
        <v>0.119498124</v>
      </c>
      <c r="R285" s="150">
        <v>0.16958452799999998</v>
      </c>
      <c r="S285" s="150">
        <v>0</v>
      </c>
      <c r="T285" s="30">
        <f t="shared" si="240"/>
        <v>3.4704515999999998E-2</v>
      </c>
      <c r="U285" s="30">
        <v>0</v>
      </c>
      <c r="V285" s="30">
        <v>2.4981023999999998E-2</v>
      </c>
      <c r="W285" s="30">
        <v>9.7234919999999985E-3</v>
      </c>
      <c r="X285" s="30">
        <v>0</v>
      </c>
      <c r="Y285" s="30">
        <f t="shared" si="241"/>
        <v>0</v>
      </c>
      <c r="Z285" s="30">
        <v>0</v>
      </c>
      <c r="AA285" s="30">
        <v>0</v>
      </c>
      <c r="AB285" s="30">
        <v>0</v>
      </c>
      <c r="AC285" s="34">
        <v>0</v>
      </c>
      <c r="AD285" s="36">
        <v>8.2000000000000003E-2</v>
      </c>
      <c r="AE285" s="36">
        <f t="shared" si="208"/>
        <v>0.2888521</v>
      </c>
      <c r="AF285" s="36">
        <f t="shared" si="208"/>
        <v>1.9029460000000002E-2</v>
      </c>
      <c r="AG285" s="36">
        <f t="shared" si="208"/>
        <v>0.12039928999999999</v>
      </c>
      <c r="AH285" s="36">
        <f t="shared" si="206"/>
        <v>0.14942335000000001</v>
      </c>
      <c r="AI285" s="36">
        <f t="shared" si="206"/>
        <v>0</v>
      </c>
      <c r="AJ285" s="36">
        <f t="shared" si="242"/>
        <v>0</v>
      </c>
      <c r="AK285" s="36">
        <v>0</v>
      </c>
      <c r="AL285" s="36">
        <v>0</v>
      </c>
      <c r="AM285" s="36">
        <v>0</v>
      </c>
      <c r="AN285" s="36">
        <v>0</v>
      </c>
      <c r="AO285" s="136">
        <f t="shared" si="246"/>
        <v>0.25993167</v>
      </c>
      <c r="AP285" s="136">
        <f>0.022835352/1.2</f>
        <v>1.9029460000000002E-2</v>
      </c>
      <c r="AQ285" s="136">
        <f>0.119498124/1.2</f>
        <v>9.958177E-2</v>
      </c>
      <c r="AR285" s="136">
        <f>0.169584528/1.2</f>
        <v>0.14132044000000002</v>
      </c>
      <c r="AS285" s="136">
        <v>0</v>
      </c>
      <c r="AT285" s="34">
        <f t="shared" si="243"/>
        <v>2.8920429999999997E-2</v>
      </c>
      <c r="AU285" s="34">
        <v>0</v>
      </c>
      <c r="AV285" s="34">
        <v>2.0817519999999999E-2</v>
      </c>
      <c r="AW285" s="34">
        <v>8.1029099999999996E-3</v>
      </c>
      <c r="AX285" s="34">
        <v>0</v>
      </c>
      <c r="AY285" s="34">
        <f t="shared" si="244"/>
        <v>0</v>
      </c>
      <c r="AZ285" s="34">
        <v>0</v>
      </c>
      <c r="BA285" s="34">
        <v>0</v>
      </c>
      <c r="BB285" s="34">
        <v>0</v>
      </c>
      <c r="BC285" s="34">
        <v>0</v>
      </c>
    </row>
    <row r="286" spans="1:55" s="55" customFormat="1" ht="36.75" customHeight="1" x14ac:dyDescent="0.25">
      <c r="A286" s="31" t="s">
        <v>235</v>
      </c>
      <c r="B286" s="89" t="s">
        <v>251</v>
      </c>
      <c r="C286" s="90" t="s">
        <v>252</v>
      </c>
      <c r="D286" s="88">
        <v>0.11399999999999999</v>
      </c>
      <c r="E286" s="29">
        <f t="shared" si="207"/>
        <v>0</v>
      </c>
      <c r="F286" s="29">
        <f t="shared" si="207"/>
        <v>0</v>
      </c>
      <c r="G286" s="29">
        <f t="shared" si="207"/>
        <v>0</v>
      </c>
      <c r="H286" s="29">
        <f t="shared" si="204"/>
        <v>0</v>
      </c>
      <c r="I286" s="29">
        <f t="shared" si="204"/>
        <v>0</v>
      </c>
      <c r="J286" s="29">
        <f t="shared" si="239"/>
        <v>0</v>
      </c>
      <c r="K286" s="29">
        <v>0</v>
      </c>
      <c r="L286" s="29">
        <v>0</v>
      </c>
      <c r="M286" s="29">
        <v>0</v>
      </c>
      <c r="N286" s="29">
        <v>0</v>
      </c>
      <c r="O286" s="153"/>
      <c r="P286" s="151"/>
      <c r="Q286" s="151"/>
      <c r="R286" s="151"/>
      <c r="S286" s="151"/>
      <c r="T286" s="30">
        <f t="shared" si="240"/>
        <v>0</v>
      </c>
      <c r="U286" s="30">
        <v>0</v>
      </c>
      <c r="V286" s="30">
        <v>0</v>
      </c>
      <c r="W286" s="30">
        <v>0</v>
      </c>
      <c r="X286" s="30">
        <v>0</v>
      </c>
      <c r="Y286" s="30">
        <f t="shared" si="241"/>
        <v>0</v>
      </c>
      <c r="Z286" s="30">
        <v>0</v>
      </c>
      <c r="AA286" s="30">
        <v>0</v>
      </c>
      <c r="AB286" s="30">
        <v>0</v>
      </c>
      <c r="AC286" s="34">
        <v>0</v>
      </c>
      <c r="AD286" s="36">
        <v>9.5000000000000001E-2</v>
      </c>
      <c r="AE286" s="36">
        <f t="shared" si="208"/>
        <v>0</v>
      </c>
      <c r="AF286" s="36">
        <f t="shared" si="208"/>
        <v>0</v>
      </c>
      <c r="AG286" s="36">
        <f t="shared" si="208"/>
        <v>0</v>
      </c>
      <c r="AH286" s="36">
        <f t="shared" si="206"/>
        <v>0</v>
      </c>
      <c r="AI286" s="36">
        <f t="shared" si="206"/>
        <v>0</v>
      </c>
      <c r="AJ286" s="36">
        <f t="shared" si="242"/>
        <v>0</v>
      </c>
      <c r="AK286" s="36">
        <v>0</v>
      </c>
      <c r="AL286" s="36">
        <v>0</v>
      </c>
      <c r="AM286" s="36">
        <v>0</v>
      </c>
      <c r="AN286" s="36">
        <v>0</v>
      </c>
      <c r="AO286" s="137"/>
      <c r="AP286" s="137"/>
      <c r="AQ286" s="137"/>
      <c r="AR286" s="137"/>
      <c r="AS286" s="137">
        <v>0</v>
      </c>
      <c r="AT286" s="34">
        <f t="shared" si="243"/>
        <v>0</v>
      </c>
      <c r="AU286" s="34">
        <v>0</v>
      </c>
      <c r="AV286" s="34">
        <v>0</v>
      </c>
      <c r="AW286" s="34">
        <v>0</v>
      </c>
      <c r="AX286" s="34">
        <v>0</v>
      </c>
      <c r="AY286" s="34">
        <f t="shared" si="244"/>
        <v>0</v>
      </c>
      <c r="AZ286" s="34">
        <v>0</v>
      </c>
      <c r="BA286" s="34">
        <v>0</v>
      </c>
      <c r="BB286" s="34">
        <v>0</v>
      </c>
      <c r="BC286" s="34">
        <v>0</v>
      </c>
    </row>
    <row r="287" spans="1:55" s="55" customFormat="1" ht="36.75" customHeight="1" x14ac:dyDescent="0.25">
      <c r="A287" s="31" t="s">
        <v>235</v>
      </c>
      <c r="B287" s="89" t="s">
        <v>253</v>
      </c>
      <c r="C287" s="90" t="s">
        <v>254</v>
      </c>
      <c r="D287" s="88">
        <v>0.21475447199999997</v>
      </c>
      <c r="E287" s="29">
        <f t="shared" si="207"/>
        <v>0</v>
      </c>
      <c r="F287" s="29">
        <f t="shared" si="207"/>
        <v>0</v>
      </c>
      <c r="G287" s="29">
        <f t="shared" si="207"/>
        <v>0</v>
      </c>
      <c r="H287" s="29">
        <f t="shared" si="204"/>
        <v>0</v>
      </c>
      <c r="I287" s="29">
        <f t="shared" si="204"/>
        <v>0</v>
      </c>
      <c r="J287" s="29">
        <f t="shared" si="239"/>
        <v>0</v>
      </c>
      <c r="K287" s="29">
        <v>0</v>
      </c>
      <c r="L287" s="29">
        <v>0</v>
      </c>
      <c r="M287" s="29">
        <v>0</v>
      </c>
      <c r="N287" s="29">
        <v>0</v>
      </c>
      <c r="O287" s="153"/>
      <c r="P287" s="152"/>
      <c r="Q287" s="152"/>
      <c r="R287" s="152"/>
      <c r="S287" s="152"/>
      <c r="T287" s="30">
        <f t="shared" si="240"/>
        <v>0</v>
      </c>
      <c r="U287" s="30">
        <v>0</v>
      </c>
      <c r="V287" s="30">
        <v>0</v>
      </c>
      <c r="W287" s="30">
        <v>0</v>
      </c>
      <c r="X287" s="30">
        <v>0</v>
      </c>
      <c r="Y287" s="30">
        <f t="shared" si="241"/>
        <v>0</v>
      </c>
      <c r="Z287" s="30">
        <v>0</v>
      </c>
      <c r="AA287" s="30">
        <v>0</v>
      </c>
      <c r="AB287" s="30">
        <v>0</v>
      </c>
      <c r="AC287" s="34">
        <v>0</v>
      </c>
      <c r="AD287" s="36">
        <v>0.17896205999999998</v>
      </c>
      <c r="AE287" s="36">
        <f t="shared" si="208"/>
        <v>0</v>
      </c>
      <c r="AF287" s="36">
        <f t="shared" si="208"/>
        <v>0</v>
      </c>
      <c r="AG287" s="36">
        <f t="shared" si="208"/>
        <v>0</v>
      </c>
      <c r="AH287" s="36">
        <f t="shared" si="206"/>
        <v>0</v>
      </c>
      <c r="AI287" s="36">
        <f t="shared" si="206"/>
        <v>0</v>
      </c>
      <c r="AJ287" s="36">
        <f t="shared" si="242"/>
        <v>0</v>
      </c>
      <c r="AK287" s="36">
        <v>0</v>
      </c>
      <c r="AL287" s="36">
        <v>0</v>
      </c>
      <c r="AM287" s="36">
        <v>0</v>
      </c>
      <c r="AN287" s="36">
        <v>0</v>
      </c>
      <c r="AO287" s="138"/>
      <c r="AP287" s="138"/>
      <c r="AQ287" s="138"/>
      <c r="AR287" s="138"/>
      <c r="AS287" s="138">
        <v>0</v>
      </c>
      <c r="AT287" s="34">
        <f t="shared" si="243"/>
        <v>0</v>
      </c>
      <c r="AU287" s="34">
        <v>0</v>
      </c>
      <c r="AV287" s="34">
        <v>0</v>
      </c>
      <c r="AW287" s="34">
        <v>0</v>
      </c>
      <c r="AX287" s="34">
        <v>0</v>
      </c>
      <c r="AY287" s="34">
        <f t="shared" si="244"/>
        <v>0</v>
      </c>
      <c r="AZ287" s="34">
        <v>0</v>
      </c>
      <c r="BA287" s="34">
        <v>0</v>
      </c>
      <c r="BB287" s="34">
        <v>0</v>
      </c>
      <c r="BC287" s="34">
        <v>0</v>
      </c>
    </row>
    <row r="288" spans="1:55" s="55" customFormat="1" ht="36.75" customHeight="1" x14ac:dyDescent="0.25">
      <c r="A288" s="31" t="s">
        <v>235</v>
      </c>
      <c r="B288" s="89" t="s">
        <v>255</v>
      </c>
      <c r="C288" s="90" t="s">
        <v>256</v>
      </c>
      <c r="D288" s="88">
        <v>0.4768116</v>
      </c>
      <c r="E288" s="29">
        <f t="shared" si="207"/>
        <v>0.29800702800000001</v>
      </c>
      <c r="F288" s="29">
        <f t="shared" si="207"/>
        <v>0</v>
      </c>
      <c r="G288" s="29">
        <f t="shared" si="207"/>
        <v>0.153063228</v>
      </c>
      <c r="H288" s="29">
        <f t="shared" si="204"/>
        <v>0.14494380000000001</v>
      </c>
      <c r="I288" s="29">
        <f t="shared" si="204"/>
        <v>0</v>
      </c>
      <c r="J288" s="29">
        <f t="shared" si="239"/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f>P288+Q288+R288+S288</f>
        <v>0.32193350399999998</v>
      </c>
      <c r="P288" s="29">
        <v>0</v>
      </c>
      <c r="Q288" s="29">
        <v>0.153063228</v>
      </c>
      <c r="R288" s="29">
        <v>0.16887027600000001</v>
      </c>
      <c r="S288" s="29">
        <v>0</v>
      </c>
      <c r="T288" s="30">
        <f t="shared" si="240"/>
        <v>-2.3926475999999999E-2</v>
      </c>
      <c r="U288" s="30">
        <v>0</v>
      </c>
      <c r="V288" s="30">
        <v>0</v>
      </c>
      <c r="W288" s="30">
        <v>-2.3926475999999999E-2</v>
      </c>
      <c r="X288" s="30">
        <v>0</v>
      </c>
      <c r="Y288" s="30">
        <f t="shared" si="241"/>
        <v>0</v>
      </c>
      <c r="Z288" s="30">
        <v>0</v>
      </c>
      <c r="AA288" s="30">
        <v>0</v>
      </c>
      <c r="AB288" s="30">
        <v>0</v>
      </c>
      <c r="AC288" s="34">
        <v>0</v>
      </c>
      <c r="AD288" s="36">
        <v>0.397343</v>
      </c>
      <c r="AE288" s="36">
        <f t="shared" si="208"/>
        <v>0.24833919000000002</v>
      </c>
      <c r="AF288" s="36">
        <f t="shared" si="208"/>
        <v>0</v>
      </c>
      <c r="AG288" s="36">
        <f t="shared" si="208"/>
        <v>0.12755269</v>
      </c>
      <c r="AH288" s="36">
        <f t="shared" si="206"/>
        <v>0.1207865</v>
      </c>
      <c r="AI288" s="36">
        <f t="shared" si="206"/>
        <v>0</v>
      </c>
      <c r="AJ288" s="36">
        <f t="shared" si="242"/>
        <v>0</v>
      </c>
      <c r="AK288" s="36">
        <v>0</v>
      </c>
      <c r="AL288" s="36">
        <v>0</v>
      </c>
      <c r="AM288" s="36">
        <v>0</v>
      </c>
      <c r="AN288" s="36">
        <v>0</v>
      </c>
      <c r="AO288" s="34">
        <f t="shared" si="246"/>
        <v>0.26827792</v>
      </c>
      <c r="AP288" s="34">
        <v>0</v>
      </c>
      <c r="AQ288" s="34">
        <v>0.12755269</v>
      </c>
      <c r="AR288" s="34">
        <v>0.14072523000000001</v>
      </c>
      <c r="AS288" s="34">
        <v>0</v>
      </c>
      <c r="AT288" s="34">
        <f t="shared" si="243"/>
        <v>-1.9938729999999998E-2</v>
      </c>
      <c r="AU288" s="34">
        <v>0</v>
      </c>
      <c r="AV288" s="34">
        <v>0</v>
      </c>
      <c r="AW288" s="34">
        <v>-1.9938729999999998E-2</v>
      </c>
      <c r="AX288" s="34">
        <v>0</v>
      </c>
      <c r="AY288" s="34">
        <f t="shared" si="244"/>
        <v>0</v>
      </c>
      <c r="AZ288" s="34">
        <v>0</v>
      </c>
      <c r="BA288" s="34">
        <v>0</v>
      </c>
      <c r="BB288" s="34">
        <v>0</v>
      </c>
      <c r="BC288" s="34">
        <v>0</v>
      </c>
    </row>
    <row r="289" spans="1:55" s="55" customFormat="1" ht="36.75" customHeight="1" x14ac:dyDescent="0.25">
      <c r="A289" s="31" t="s">
        <v>235</v>
      </c>
      <c r="B289" s="89" t="s">
        <v>257</v>
      </c>
      <c r="C289" s="90" t="s">
        <v>258</v>
      </c>
      <c r="D289" s="88">
        <v>0.30629999999999996</v>
      </c>
      <c r="E289" s="29">
        <f t="shared" si="207"/>
        <v>0.27555015599999999</v>
      </c>
      <c r="F289" s="29">
        <f t="shared" si="207"/>
        <v>0</v>
      </c>
      <c r="G289" s="29">
        <f t="shared" si="207"/>
        <v>0.12377150399999999</v>
      </c>
      <c r="H289" s="29">
        <f t="shared" si="204"/>
        <v>0.15177865199999999</v>
      </c>
      <c r="I289" s="29">
        <f t="shared" si="204"/>
        <v>0</v>
      </c>
      <c r="J289" s="29">
        <f t="shared" si="239"/>
        <v>0</v>
      </c>
      <c r="K289" s="29">
        <v>0</v>
      </c>
      <c r="L289" s="29">
        <v>0</v>
      </c>
      <c r="M289" s="29">
        <v>0</v>
      </c>
      <c r="N289" s="29">
        <v>0</v>
      </c>
      <c r="O289" s="29">
        <f t="shared" ref="O289:O366" si="247">P289+Q289+R289+S289</f>
        <v>0.27555015599999999</v>
      </c>
      <c r="P289" s="29">
        <v>0</v>
      </c>
      <c r="Q289" s="29">
        <v>0.12377150399999999</v>
      </c>
      <c r="R289" s="29">
        <v>0.15177865199999999</v>
      </c>
      <c r="S289" s="29">
        <v>0</v>
      </c>
      <c r="T289" s="30">
        <f t="shared" si="240"/>
        <v>0</v>
      </c>
      <c r="U289" s="30">
        <v>0</v>
      </c>
      <c r="V289" s="30">
        <v>0</v>
      </c>
      <c r="W289" s="30">
        <v>0</v>
      </c>
      <c r="X289" s="30">
        <v>0</v>
      </c>
      <c r="Y289" s="30">
        <f t="shared" si="241"/>
        <v>0</v>
      </c>
      <c r="Z289" s="30">
        <v>0</v>
      </c>
      <c r="AA289" s="30">
        <v>0</v>
      </c>
      <c r="AB289" s="30">
        <v>0</v>
      </c>
      <c r="AC289" s="34">
        <v>0</v>
      </c>
      <c r="AD289" s="36">
        <v>0.25524999999999998</v>
      </c>
      <c r="AE289" s="36">
        <f t="shared" si="208"/>
        <v>0.22962512999999998</v>
      </c>
      <c r="AF289" s="36">
        <f t="shared" si="208"/>
        <v>0</v>
      </c>
      <c r="AG289" s="36">
        <f t="shared" si="208"/>
        <v>0.10314292</v>
      </c>
      <c r="AH289" s="36">
        <f t="shared" si="206"/>
        <v>0.12648220999999998</v>
      </c>
      <c r="AI289" s="36">
        <f t="shared" si="206"/>
        <v>0</v>
      </c>
      <c r="AJ289" s="36">
        <f t="shared" si="242"/>
        <v>0</v>
      </c>
      <c r="AK289" s="36">
        <v>0</v>
      </c>
      <c r="AL289" s="36">
        <v>0</v>
      </c>
      <c r="AM289" s="36">
        <v>0</v>
      </c>
      <c r="AN289" s="36">
        <v>0</v>
      </c>
      <c r="AO289" s="34">
        <f t="shared" si="246"/>
        <v>0.22962512999999998</v>
      </c>
      <c r="AP289" s="34">
        <v>0</v>
      </c>
      <c r="AQ289" s="34">
        <v>0.10314292</v>
      </c>
      <c r="AR289" s="34">
        <v>0.12648220999999998</v>
      </c>
      <c r="AS289" s="34">
        <v>0</v>
      </c>
      <c r="AT289" s="34">
        <f t="shared" si="243"/>
        <v>0</v>
      </c>
      <c r="AU289" s="34">
        <v>0</v>
      </c>
      <c r="AV289" s="34">
        <v>0</v>
      </c>
      <c r="AW289" s="34">
        <v>0</v>
      </c>
      <c r="AX289" s="34">
        <v>0</v>
      </c>
      <c r="AY289" s="34">
        <f t="shared" si="244"/>
        <v>0</v>
      </c>
      <c r="AZ289" s="34">
        <v>0</v>
      </c>
      <c r="BA289" s="34">
        <v>0</v>
      </c>
      <c r="BB289" s="34">
        <v>0</v>
      </c>
      <c r="BC289" s="34">
        <v>0</v>
      </c>
    </row>
    <row r="290" spans="1:55" s="55" customFormat="1" ht="36.75" customHeight="1" x14ac:dyDescent="0.25">
      <c r="A290" s="31" t="s">
        <v>235</v>
      </c>
      <c r="B290" s="89" t="s">
        <v>259</v>
      </c>
      <c r="C290" s="90" t="s">
        <v>260</v>
      </c>
      <c r="D290" s="88">
        <v>0.24690240000000002</v>
      </c>
      <c r="E290" s="29">
        <f t="shared" si="207"/>
        <v>0.30874182</v>
      </c>
      <c r="F290" s="29">
        <f t="shared" si="207"/>
        <v>3.4012319999999997E-3</v>
      </c>
      <c r="G290" s="29">
        <f t="shared" si="207"/>
        <v>0.141626484</v>
      </c>
      <c r="H290" s="29">
        <f t="shared" si="204"/>
        <v>0.163714104</v>
      </c>
      <c r="I290" s="29">
        <f t="shared" si="204"/>
        <v>0</v>
      </c>
      <c r="J290" s="29">
        <f t="shared" si="239"/>
        <v>3.4012319999999997E-3</v>
      </c>
      <c r="K290" s="29">
        <v>3.4012319999999997E-3</v>
      </c>
      <c r="L290" s="29">
        <v>0</v>
      </c>
      <c r="M290" s="29">
        <v>0</v>
      </c>
      <c r="N290" s="29">
        <v>0</v>
      </c>
      <c r="O290" s="29">
        <f t="shared" si="247"/>
        <v>0.32948860800000002</v>
      </c>
      <c r="P290" s="29">
        <v>0</v>
      </c>
      <c r="Q290" s="29">
        <v>0.141626484</v>
      </c>
      <c r="R290" s="29">
        <v>0.18786212399999999</v>
      </c>
      <c r="S290" s="29">
        <v>0</v>
      </c>
      <c r="T290" s="30">
        <f t="shared" si="240"/>
        <v>-2.4148019999999996E-2</v>
      </c>
      <c r="U290" s="30">
        <v>0</v>
      </c>
      <c r="V290" s="30">
        <v>0</v>
      </c>
      <c r="W290" s="30">
        <v>-2.4148019999999996E-2</v>
      </c>
      <c r="X290" s="30">
        <v>0</v>
      </c>
      <c r="Y290" s="30">
        <f t="shared" si="241"/>
        <v>0</v>
      </c>
      <c r="Z290" s="30">
        <v>0</v>
      </c>
      <c r="AA290" s="30">
        <v>0</v>
      </c>
      <c r="AB290" s="30">
        <v>0</v>
      </c>
      <c r="AC290" s="34">
        <v>0</v>
      </c>
      <c r="AD290" s="36">
        <v>0.20575200000000002</v>
      </c>
      <c r="AE290" s="36">
        <f t="shared" si="208"/>
        <v>0.27251485000000003</v>
      </c>
      <c r="AF290" s="36">
        <f t="shared" si="208"/>
        <v>1.8064360000000002E-2</v>
      </c>
      <c r="AG290" s="36">
        <f t="shared" si="208"/>
        <v>0.11802207000000001</v>
      </c>
      <c r="AH290" s="36">
        <f t="shared" si="206"/>
        <v>0.13642841999999999</v>
      </c>
      <c r="AI290" s="36">
        <f t="shared" si="206"/>
        <v>0</v>
      </c>
      <c r="AJ290" s="36">
        <f t="shared" si="242"/>
        <v>0</v>
      </c>
      <c r="AK290" s="36">
        <v>0</v>
      </c>
      <c r="AL290" s="36">
        <v>0</v>
      </c>
      <c r="AM290" s="36">
        <v>0</v>
      </c>
      <c r="AN290" s="36">
        <v>0</v>
      </c>
      <c r="AO290" s="34">
        <f t="shared" si="246"/>
        <v>0.29263820000000001</v>
      </c>
      <c r="AP290" s="34">
        <v>1.8064360000000002E-2</v>
      </c>
      <c r="AQ290" s="34">
        <v>0.11802207000000001</v>
      </c>
      <c r="AR290" s="34">
        <v>0.15655177000000001</v>
      </c>
      <c r="AS290" s="34">
        <v>0</v>
      </c>
      <c r="AT290" s="34">
        <f t="shared" si="243"/>
        <v>-2.0123349999999998E-2</v>
      </c>
      <c r="AU290" s="34">
        <v>0</v>
      </c>
      <c r="AV290" s="34">
        <v>0</v>
      </c>
      <c r="AW290" s="34">
        <v>-2.0123349999999998E-2</v>
      </c>
      <c r="AX290" s="34">
        <v>0</v>
      </c>
      <c r="AY290" s="34">
        <f t="shared" si="244"/>
        <v>0</v>
      </c>
      <c r="AZ290" s="34">
        <v>0</v>
      </c>
      <c r="BA290" s="34">
        <v>0</v>
      </c>
      <c r="BB290" s="34">
        <v>0</v>
      </c>
      <c r="BC290" s="34">
        <v>0</v>
      </c>
    </row>
    <row r="291" spans="1:55" s="55" customFormat="1" ht="36.75" customHeight="1" x14ac:dyDescent="0.25">
      <c r="A291" s="31" t="s">
        <v>235</v>
      </c>
      <c r="B291" s="89" t="s">
        <v>261</v>
      </c>
      <c r="C291" s="90" t="s">
        <v>262</v>
      </c>
      <c r="D291" s="88">
        <v>0.251535756</v>
      </c>
      <c r="E291" s="29">
        <f t="shared" si="207"/>
        <v>0.14839351200000001</v>
      </c>
      <c r="F291" s="29">
        <f t="shared" si="207"/>
        <v>0</v>
      </c>
      <c r="G291" s="29">
        <f t="shared" si="207"/>
        <v>5.1157919999999996E-2</v>
      </c>
      <c r="H291" s="29">
        <f t="shared" si="204"/>
        <v>9.7235591999999996E-2</v>
      </c>
      <c r="I291" s="29">
        <f t="shared" si="204"/>
        <v>0</v>
      </c>
      <c r="J291" s="29">
        <f t="shared" si="239"/>
        <v>0</v>
      </c>
      <c r="K291" s="29">
        <v>0</v>
      </c>
      <c r="L291" s="29">
        <v>0</v>
      </c>
      <c r="M291" s="29">
        <v>0</v>
      </c>
      <c r="N291" s="29">
        <v>0</v>
      </c>
      <c r="O291" s="29">
        <f t="shared" si="247"/>
        <v>0.14839351200000001</v>
      </c>
      <c r="P291" s="29">
        <v>0</v>
      </c>
      <c r="Q291" s="29">
        <v>5.1157919999999996E-2</v>
      </c>
      <c r="R291" s="29">
        <v>9.7235591999999996E-2</v>
      </c>
      <c r="S291" s="29">
        <v>0</v>
      </c>
      <c r="T291" s="30">
        <f t="shared" si="240"/>
        <v>0</v>
      </c>
      <c r="U291" s="30">
        <v>0</v>
      </c>
      <c r="V291" s="30">
        <v>0</v>
      </c>
      <c r="W291" s="30">
        <v>0</v>
      </c>
      <c r="X291" s="30">
        <v>0</v>
      </c>
      <c r="Y291" s="30">
        <f t="shared" si="241"/>
        <v>0</v>
      </c>
      <c r="Z291" s="30">
        <v>0</v>
      </c>
      <c r="AA291" s="30">
        <v>0</v>
      </c>
      <c r="AB291" s="30">
        <v>0</v>
      </c>
      <c r="AC291" s="34">
        <v>0</v>
      </c>
      <c r="AD291" s="36">
        <v>0.20961313000000001</v>
      </c>
      <c r="AE291" s="36">
        <f t="shared" si="208"/>
        <v>0.14644272</v>
      </c>
      <c r="AF291" s="36">
        <f t="shared" si="208"/>
        <v>2.278146E-2</v>
      </c>
      <c r="AG291" s="36">
        <f t="shared" si="208"/>
        <v>4.2631599999999999E-2</v>
      </c>
      <c r="AH291" s="36">
        <f t="shared" si="206"/>
        <v>8.1029660000000003E-2</v>
      </c>
      <c r="AI291" s="36">
        <f t="shared" si="206"/>
        <v>0</v>
      </c>
      <c r="AJ291" s="36">
        <f t="shared" si="242"/>
        <v>0</v>
      </c>
      <c r="AK291" s="36">
        <v>0</v>
      </c>
      <c r="AL291" s="36">
        <v>0</v>
      </c>
      <c r="AM291" s="36">
        <v>0</v>
      </c>
      <c r="AN291" s="36">
        <v>0</v>
      </c>
      <c r="AO291" s="34">
        <f t="shared" si="246"/>
        <v>0.14644272</v>
      </c>
      <c r="AP291" s="34">
        <v>2.278146E-2</v>
      </c>
      <c r="AQ291" s="34">
        <v>4.2631599999999999E-2</v>
      </c>
      <c r="AR291" s="34">
        <v>8.1029660000000003E-2</v>
      </c>
      <c r="AS291" s="34">
        <v>0</v>
      </c>
      <c r="AT291" s="34">
        <f t="shared" si="243"/>
        <v>0</v>
      </c>
      <c r="AU291" s="34">
        <v>0</v>
      </c>
      <c r="AV291" s="34">
        <v>0</v>
      </c>
      <c r="AW291" s="34">
        <v>0</v>
      </c>
      <c r="AX291" s="34">
        <v>0</v>
      </c>
      <c r="AY291" s="34">
        <f t="shared" si="244"/>
        <v>0</v>
      </c>
      <c r="AZ291" s="34">
        <v>0</v>
      </c>
      <c r="BA291" s="34">
        <v>0</v>
      </c>
      <c r="BB291" s="34">
        <v>0</v>
      </c>
      <c r="BC291" s="34">
        <v>0</v>
      </c>
    </row>
    <row r="292" spans="1:55" s="55" customFormat="1" ht="36.75" customHeight="1" x14ac:dyDescent="0.25">
      <c r="A292" s="85" t="s">
        <v>235</v>
      </c>
      <c r="B292" s="96" t="s">
        <v>438</v>
      </c>
      <c r="C292" s="108" t="s">
        <v>439</v>
      </c>
      <c r="D292" s="88">
        <v>0</v>
      </c>
      <c r="E292" s="29">
        <f t="shared" si="207"/>
        <v>0</v>
      </c>
      <c r="F292" s="29">
        <f t="shared" si="207"/>
        <v>0</v>
      </c>
      <c r="G292" s="29">
        <f t="shared" si="207"/>
        <v>0</v>
      </c>
      <c r="H292" s="29">
        <f t="shared" si="204"/>
        <v>0</v>
      </c>
      <c r="I292" s="29">
        <f t="shared" si="204"/>
        <v>0</v>
      </c>
      <c r="J292" s="29">
        <f t="shared" si="239"/>
        <v>0</v>
      </c>
      <c r="K292" s="29">
        <v>0</v>
      </c>
      <c r="L292" s="29">
        <v>0</v>
      </c>
      <c r="M292" s="29">
        <v>0</v>
      </c>
      <c r="N292" s="29">
        <v>0</v>
      </c>
      <c r="O292" s="29">
        <f t="shared" si="247"/>
        <v>0</v>
      </c>
      <c r="P292" s="29">
        <v>0</v>
      </c>
      <c r="Q292" s="29">
        <v>0</v>
      </c>
      <c r="R292" s="29">
        <v>0</v>
      </c>
      <c r="S292" s="29">
        <v>0</v>
      </c>
      <c r="T292" s="30">
        <f t="shared" si="240"/>
        <v>0</v>
      </c>
      <c r="U292" s="30">
        <v>0</v>
      </c>
      <c r="V292" s="30">
        <v>0</v>
      </c>
      <c r="W292" s="30">
        <v>0</v>
      </c>
      <c r="X292" s="30">
        <v>0</v>
      </c>
      <c r="Y292" s="30">
        <f t="shared" si="241"/>
        <v>0</v>
      </c>
      <c r="Z292" s="30">
        <v>0</v>
      </c>
      <c r="AA292" s="30">
        <v>0</v>
      </c>
      <c r="AB292" s="30">
        <v>0</v>
      </c>
      <c r="AC292" s="34">
        <v>0</v>
      </c>
      <c r="AD292" s="36">
        <v>0</v>
      </c>
      <c r="AE292" s="36">
        <f t="shared" si="208"/>
        <v>0.73788493000000011</v>
      </c>
      <c r="AF292" s="36">
        <f t="shared" si="208"/>
        <v>0</v>
      </c>
      <c r="AG292" s="36">
        <f t="shared" si="208"/>
        <v>0.73788493000000011</v>
      </c>
      <c r="AH292" s="36">
        <f t="shared" si="206"/>
        <v>0</v>
      </c>
      <c r="AI292" s="36">
        <f t="shared" si="206"/>
        <v>0</v>
      </c>
      <c r="AJ292" s="36">
        <f t="shared" si="242"/>
        <v>0.73788493000000011</v>
      </c>
      <c r="AK292" s="36">
        <v>0</v>
      </c>
      <c r="AL292" s="36">
        <v>0.73788493000000011</v>
      </c>
      <c r="AM292" s="36">
        <v>0</v>
      </c>
      <c r="AN292" s="36">
        <v>0</v>
      </c>
      <c r="AO292" s="34">
        <f t="shared" si="246"/>
        <v>0</v>
      </c>
      <c r="AP292" s="34">
        <v>0</v>
      </c>
      <c r="AQ292" s="34">
        <v>0</v>
      </c>
      <c r="AR292" s="34">
        <v>0</v>
      </c>
      <c r="AS292" s="34">
        <v>0</v>
      </c>
      <c r="AT292" s="34">
        <f t="shared" si="243"/>
        <v>0</v>
      </c>
      <c r="AU292" s="34">
        <v>0</v>
      </c>
      <c r="AV292" s="34">
        <v>0</v>
      </c>
      <c r="AW292" s="34">
        <v>0</v>
      </c>
      <c r="AX292" s="34">
        <v>0</v>
      </c>
      <c r="AY292" s="34">
        <f t="shared" si="244"/>
        <v>0</v>
      </c>
      <c r="AZ292" s="34">
        <v>0</v>
      </c>
      <c r="BA292" s="34">
        <v>0</v>
      </c>
      <c r="BB292" s="34">
        <v>0</v>
      </c>
      <c r="BC292" s="34">
        <v>0</v>
      </c>
    </row>
    <row r="293" spans="1:55" s="55" customFormat="1" ht="36" customHeight="1" x14ac:dyDescent="0.25">
      <c r="A293" s="98" t="s">
        <v>235</v>
      </c>
      <c r="B293" s="96" t="s">
        <v>440</v>
      </c>
      <c r="C293" s="99" t="s">
        <v>516</v>
      </c>
      <c r="D293" s="88">
        <v>0</v>
      </c>
      <c r="E293" s="29">
        <f t="shared" si="207"/>
        <v>0.11947021199999999</v>
      </c>
      <c r="F293" s="29">
        <f t="shared" si="207"/>
        <v>0</v>
      </c>
      <c r="G293" s="29">
        <f t="shared" si="207"/>
        <v>7.1719476000000004E-2</v>
      </c>
      <c r="H293" s="29">
        <f t="shared" si="204"/>
        <v>4.7750735999999995E-2</v>
      </c>
      <c r="I293" s="29">
        <f t="shared" si="204"/>
        <v>0</v>
      </c>
      <c r="J293" s="29">
        <f t="shared" si="239"/>
        <v>0.11947021199999999</v>
      </c>
      <c r="K293" s="29">
        <v>0</v>
      </c>
      <c r="L293" s="29">
        <v>7.1719476000000004E-2</v>
      </c>
      <c r="M293" s="29">
        <v>4.7750735999999995E-2</v>
      </c>
      <c r="N293" s="29">
        <v>0</v>
      </c>
      <c r="O293" s="29">
        <f t="shared" si="247"/>
        <v>0</v>
      </c>
      <c r="P293" s="29">
        <v>0</v>
      </c>
      <c r="Q293" s="29">
        <v>0</v>
      </c>
      <c r="R293" s="29">
        <v>0</v>
      </c>
      <c r="S293" s="29">
        <v>0</v>
      </c>
      <c r="T293" s="30">
        <f t="shared" si="240"/>
        <v>0</v>
      </c>
      <c r="U293" s="30">
        <v>0</v>
      </c>
      <c r="V293" s="30">
        <v>0</v>
      </c>
      <c r="W293" s="30">
        <v>0</v>
      </c>
      <c r="X293" s="30">
        <v>0</v>
      </c>
      <c r="Y293" s="30">
        <f t="shared" si="241"/>
        <v>0</v>
      </c>
      <c r="Z293" s="30">
        <v>0</v>
      </c>
      <c r="AA293" s="30">
        <v>0</v>
      </c>
      <c r="AB293" s="30">
        <v>0</v>
      </c>
      <c r="AC293" s="34">
        <v>0</v>
      </c>
      <c r="AD293" s="36">
        <v>0</v>
      </c>
      <c r="AE293" s="36">
        <f t="shared" si="208"/>
        <v>9.9558510000000003E-2</v>
      </c>
      <c r="AF293" s="36">
        <f t="shared" si="208"/>
        <v>0</v>
      </c>
      <c r="AG293" s="36">
        <f t="shared" si="208"/>
        <v>5.9766230000000004E-2</v>
      </c>
      <c r="AH293" s="36">
        <f t="shared" si="206"/>
        <v>3.9792279999999999E-2</v>
      </c>
      <c r="AI293" s="36">
        <f t="shared" si="206"/>
        <v>0</v>
      </c>
      <c r="AJ293" s="36">
        <f t="shared" si="242"/>
        <v>9.9558510000000003E-2</v>
      </c>
      <c r="AK293" s="36">
        <v>0</v>
      </c>
      <c r="AL293" s="36">
        <v>5.9766230000000004E-2</v>
      </c>
      <c r="AM293" s="36">
        <v>3.9792279999999999E-2</v>
      </c>
      <c r="AN293" s="36">
        <v>0</v>
      </c>
      <c r="AO293" s="34">
        <f t="shared" si="246"/>
        <v>0</v>
      </c>
      <c r="AP293" s="34">
        <v>0</v>
      </c>
      <c r="AQ293" s="34">
        <v>0</v>
      </c>
      <c r="AR293" s="34">
        <v>0</v>
      </c>
      <c r="AS293" s="34">
        <v>0</v>
      </c>
      <c r="AT293" s="34">
        <f t="shared" si="243"/>
        <v>0</v>
      </c>
      <c r="AU293" s="34">
        <v>0</v>
      </c>
      <c r="AV293" s="34">
        <v>0</v>
      </c>
      <c r="AW293" s="34">
        <v>0</v>
      </c>
      <c r="AX293" s="34">
        <v>0</v>
      </c>
      <c r="AY293" s="34">
        <f t="shared" si="244"/>
        <v>0</v>
      </c>
      <c r="AZ293" s="34">
        <v>0</v>
      </c>
      <c r="BA293" s="34">
        <v>0</v>
      </c>
      <c r="BB293" s="34">
        <v>0</v>
      </c>
      <c r="BC293" s="34">
        <v>0</v>
      </c>
    </row>
    <row r="294" spans="1:55" s="55" customFormat="1" ht="31.5" customHeight="1" x14ac:dyDescent="0.25">
      <c r="A294" s="110" t="s">
        <v>235</v>
      </c>
      <c r="B294" s="96" t="s">
        <v>515</v>
      </c>
      <c r="C294" s="99" t="s">
        <v>517</v>
      </c>
      <c r="D294" s="88">
        <v>0</v>
      </c>
      <c r="E294" s="29">
        <f t="shared" si="207"/>
        <v>4.5009132E-2</v>
      </c>
      <c r="F294" s="29">
        <f t="shared" si="207"/>
        <v>0</v>
      </c>
      <c r="G294" s="29">
        <f t="shared" si="207"/>
        <v>2.1364812E-2</v>
      </c>
      <c r="H294" s="29">
        <f t="shared" si="204"/>
        <v>2.364432E-2</v>
      </c>
      <c r="I294" s="29">
        <f t="shared" si="204"/>
        <v>0</v>
      </c>
      <c r="J294" s="29">
        <f t="shared" si="239"/>
        <v>0</v>
      </c>
      <c r="K294" s="29">
        <v>0</v>
      </c>
      <c r="L294" s="29">
        <v>0</v>
      </c>
      <c r="M294" s="29">
        <v>0</v>
      </c>
      <c r="N294" s="29">
        <v>0</v>
      </c>
      <c r="O294" s="29">
        <f t="shared" si="247"/>
        <v>4.5009132E-2</v>
      </c>
      <c r="P294" s="29">
        <v>0</v>
      </c>
      <c r="Q294" s="29">
        <v>2.1364812E-2</v>
      </c>
      <c r="R294" s="29">
        <v>2.364432E-2</v>
      </c>
      <c r="S294" s="29">
        <v>0</v>
      </c>
      <c r="T294" s="30">
        <f>U294+V294+W294+X294</f>
        <v>0</v>
      </c>
      <c r="U294" s="30">
        <v>0</v>
      </c>
      <c r="V294" s="30">
        <v>0</v>
      </c>
      <c r="W294" s="30">
        <v>0</v>
      </c>
      <c r="X294" s="30">
        <v>0</v>
      </c>
      <c r="Y294" s="30">
        <f>Z294+AA294+AB294+AC294</f>
        <v>0</v>
      </c>
      <c r="Z294" s="30">
        <v>0</v>
      </c>
      <c r="AA294" s="30">
        <v>0</v>
      </c>
      <c r="AB294" s="30">
        <v>0</v>
      </c>
      <c r="AC294" s="34">
        <v>0</v>
      </c>
      <c r="AD294" s="36">
        <v>0</v>
      </c>
      <c r="AE294" s="36">
        <f t="shared" si="208"/>
        <v>3.7507610000000004E-2</v>
      </c>
      <c r="AF294" s="36">
        <f t="shared" si="208"/>
        <v>0</v>
      </c>
      <c r="AG294" s="36">
        <f t="shared" si="208"/>
        <v>1.7804010000000002E-2</v>
      </c>
      <c r="AH294" s="36">
        <f t="shared" si="206"/>
        <v>1.9703600000000002E-2</v>
      </c>
      <c r="AI294" s="36">
        <f t="shared" si="206"/>
        <v>0</v>
      </c>
      <c r="AJ294" s="36">
        <f t="shared" si="242"/>
        <v>0</v>
      </c>
      <c r="AK294" s="36">
        <v>0</v>
      </c>
      <c r="AL294" s="36">
        <v>0</v>
      </c>
      <c r="AM294" s="36">
        <v>0</v>
      </c>
      <c r="AN294" s="36">
        <v>0</v>
      </c>
      <c r="AO294" s="34">
        <f t="shared" si="246"/>
        <v>3.7507610000000004E-2</v>
      </c>
      <c r="AP294" s="34">
        <v>0</v>
      </c>
      <c r="AQ294" s="34">
        <v>1.7804010000000002E-2</v>
      </c>
      <c r="AR294" s="34">
        <v>1.9703600000000002E-2</v>
      </c>
      <c r="AS294" s="34">
        <v>0</v>
      </c>
      <c r="AT294" s="34">
        <f>AU294+AV294+AW294+AX294</f>
        <v>0</v>
      </c>
      <c r="AU294" s="34">
        <v>0</v>
      </c>
      <c r="AV294" s="34">
        <v>0</v>
      </c>
      <c r="AW294" s="34">
        <v>0</v>
      </c>
      <c r="AX294" s="34">
        <v>0</v>
      </c>
      <c r="AY294" s="34">
        <f>AZ294+BA294+BB294+BC294</f>
        <v>0</v>
      </c>
      <c r="AZ294" s="34">
        <v>0</v>
      </c>
      <c r="BA294" s="34">
        <v>0</v>
      </c>
      <c r="BB294" s="34">
        <v>0</v>
      </c>
      <c r="BC294" s="34">
        <v>0</v>
      </c>
    </row>
    <row r="295" spans="1:55" s="55" customFormat="1" ht="31.5" customHeight="1" x14ac:dyDescent="0.25">
      <c r="A295" s="114" t="s">
        <v>235</v>
      </c>
      <c r="B295" s="96" t="s">
        <v>788</v>
      </c>
      <c r="C295" s="99" t="s">
        <v>518</v>
      </c>
      <c r="D295" s="88">
        <v>0</v>
      </c>
      <c r="E295" s="29">
        <f t="shared" si="207"/>
        <v>5.4000000000000001E-4</v>
      </c>
      <c r="F295" s="29">
        <f t="shared" si="207"/>
        <v>5.4000000000000001E-4</v>
      </c>
      <c r="G295" s="29">
        <f t="shared" si="207"/>
        <v>0</v>
      </c>
      <c r="H295" s="29">
        <f t="shared" si="204"/>
        <v>0</v>
      </c>
      <c r="I295" s="29">
        <f t="shared" si="204"/>
        <v>0</v>
      </c>
      <c r="J295" s="29">
        <f t="shared" si="239"/>
        <v>5.4000000000000001E-4</v>
      </c>
      <c r="K295" s="29">
        <f>0.45*1.2/1000</f>
        <v>5.4000000000000001E-4</v>
      </c>
      <c r="L295" s="29">
        <v>0</v>
      </c>
      <c r="M295" s="29">
        <v>0</v>
      </c>
      <c r="N295" s="29">
        <v>0</v>
      </c>
      <c r="O295" s="29">
        <v>0</v>
      </c>
      <c r="P295" s="29">
        <v>0</v>
      </c>
      <c r="Q295" s="29">
        <v>0</v>
      </c>
      <c r="R295" s="29">
        <v>0</v>
      </c>
      <c r="S295" s="29">
        <v>0</v>
      </c>
      <c r="T295" s="30">
        <f t="shared" ref="T295:T307" si="248">U295+V295+W295+X295</f>
        <v>0</v>
      </c>
      <c r="U295" s="30">
        <v>0</v>
      </c>
      <c r="V295" s="30">
        <v>0</v>
      </c>
      <c r="W295" s="30">
        <v>0</v>
      </c>
      <c r="X295" s="30">
        <v>0</v>
      </c>
      <c r="Y295" s="30">
        <f t="shared" ref="Y295:Y307" si="249">Z295+AA295+AB295+AC295</f>
        <v>0</v>
      </c>
      <c r="Z295" s="30">
        <v>0</v>
      </c>
      <c r="AA295" s="30">
        <v>0</v>
      </c>
      <c r="AB295" s="30">
        <v>0</v>
      </c>
      <c r="AC295" s="34">
        <v>0</v>
      </c>
      <c r="AD295" s="36">
        <v>0</v>
      </c>
      <c r="AE295" s="36">
        <f t="shared" si="208"/>
        <v>0</v>
      </c>
      <c r="AF295" s="36">
        <f t="shared" si="208"/>
        <v>0</v>
      </c>
      <c r="AG295" s="36">
        <f t="shared" si="208"/>
        <v>0</v>
      </c>
      <c r="AH295" s="36">
        <f t="shared" si="206"/>
        <v>0</v>
      </c>
      <c r="AI295" s="36">
        <f t="shared" si="206"/>
        <v>0</v>
      </c>
      <c r="AJ295" s="36">
        <f t="shared" si="242"/>
        <v>0</v>
      </c>
      <c r="AK295" s="36">
        <v>0</v>
      </c>
      <c r="AL295" s="36">
        <v>0</v>
      </c>
      <c r="AM295" s="36">
        <v>0</v>
      </c>
      <c r="AN295" s="36">
        <v>0</v>
      </c>
      <c r="AO295" s="34">
        <f t="shared" si="246"/>
        <v>0</v>
      </c>
      <c r="AP295" s="34">
        <v>0</v>
      </c>
      <c r="AQ295" s="34">
        <v>0</v>
      </c>
      <c r="AR295" s="34">
        <v>0</v>
      </c>
      <c r="AS295" s="34">
        <v>0</v>
      </c>
      <c r="AT295" s="34">
        <f t="shared" ref="AT295:AT307" si="250">AU295+AV295+AW295+AX295</f>
        <v>0</v>
      </c>
      <c r="AU295" s="34">
        <v>0</v>
      </c>
      <c r="AV295" s="34">
        <v>0</v>
      </c>
      <c r="AW295" s="34">
        <v>0</v>
      </c>
      <c r="AX295" s="34">
        <v>0</v>
      </c>
      <c r="AY295" s="34">
        <f t="shared" ref="AY295:AY307" si="251">AZ295+BA295+BB295+BC295</f>
        <v>0</v>
      </c>
      <c r="AZ295" s="34">
        <v>0</v>
      </c>
      <c r="BA295" s="34">
        <v>0</v>
      </c>
      <c r="BB295" s="34">
        <v>0</v>
      </c>
      <c r="BC295" s="34">
        <v>0</v>
      </c>
    </row>
    <row r="296" spans="1:55" s="55" customFormat="1" ht="31.5" customHeight="1" x14ac:dyDescent="0.25">
      <c r="A296" s="114" t="s">
        <v>235</v>
      </c>
      <c r="B296" s="96" t="s">
        <v>789</v>
      </c>
      <c r="C296" s="99" t="s">
        <v>519</v>
      </c>
      <c r="D296" s="88">
        <v>0</v>
      </c>
      <c r="E296" s="29">
        <f t="shared" si="207"/>
        <v>2.7120168E-2</v>
      </c>
      <c r="F296" s="29">
        <f t="shared" si="207"/>
        <v>3.4012320000000001E-3</v>
      </c>
      <c r="G296" s="29">
        <f t="shared" si="207"/>
        <v>2.3718935999999999E-2</v>
      </c>
      <c r="H296" s="29">
        <f t="shared" si="204"/>
        <v>0</v>
      </c>
      <c r="I296" s="29">
        <f t="shared" si="204"/>
        <v>0</v>
      </c>
      <c r="J296" s="29">
        <f t="shared" si="239"/>
        <v>2.7120168E-2</v>
      </c>
      <c r="K296" s="29">
        <f>2.83436*1.2/1000</f>
        <v>3.4012320000000001E-3</v>
      </c>
      <c r="L296" s="29">
        <f>19.76578*1.2/1000</f>
        <v>2.3718935999999999E-2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30">
        <f t="shared" si="248"/>
        <v>0</v>
      </c>
      <c r="U296" s="30">
        <v>0</v>
      </c>
      <c r="V296" s="30">
        <v>0</v>
      </c>
      <c r="W296" s="30">
        <v>0</v>
      </c>
      <c r="X296" s="30">
        <v>0</v>
      </c>
      <c r="Y296" s="30">
        <f t="shared" si="249"/>
        <v>0</v>
      </c>
      <c r="Z296" s="30">
        <v>0</v>
      </c>
      <c r="AA296" s="30">
        <v>0</v>
      </c>
      <c r="AB296" s="30">
        <v>0</v>
      </c>
      <c r="AC296" s="34">
        <v>0</v>
      </c>
      <c r="AD296" s="36">
        <v>0</v>
      </c>
      <c r="AE296" s="36">
        <f t="shared" si="208"/>
        <v>0</v>
      </c>
      <c r="AF296" s="36">
        <f t="shared" si="208"/>
        <v>0</v>
      </c>
      <c r="AG296" s="36">
        <f t="shared" si="208"/>
        <v>0</v>
      </c>
      <c r="AH296" s="36">
        <f t="shared" si="206"/>
        <v>0</v>
      </c>
      <c r="AI296" s="36">
        <f t="shared" si="206"/>
        <v>0</v>
      </c>
      <c r="AJ296" s="36">
        <f t="shared" si="242"/>
        <v>0</v>
      </c>
      <c r="AK296" s="36">
        <v>0</v>
      </c>
      <c r="AL296" s="36">
        <v>0</v>
      </c>
      <c r="AM296" s="36">
        <v>0</v>
      </c>
      <c r="AN296" s="36">
        <v>0</v>
      </c>
      <c r="AO296" s="34">
        <f t="shared" si="246"/>
        <v>0</v>
      </c>
      <c r="AP296" s="34">
        <v>0</v>
      </c>
      <c r="AQ296" s="34">
        <v>0</v>
      </c>
      <c r="AR296" s="34">
        <v>0</v>
      </c>
      <c r="AS296" s="34">
        <v>0</v>
      </c>
      <c r="AT296" s="34">
        <f t="shared" si="250"/>
        <v>0</v>
      </c>
      <c r="AU296" s="34">
        <v>0</v>
      </c>
      <c r="AV296" s="34">
        <v>0</v>
      </c>
      <c r="AW296" s="34">
        <v>0</v>
      </c>
      <c r="AX296" s="34">
        <v>0</v>
      </c>
      <c r="AY296" s="34">
        <f t="shared" si="251"/>
        <v>0</v>
      </c>
      <c r="AZ296" s="34">
        <v>0</v>
      </c>
      <c r="BA296" s="34">
        <v>0</v>
      </c>
      <c r="BB296" s="34">
        <v>0</v>
      </c>
      <c r="BC296" s="34">
        <v>0</v>
      </c>
    </row>
    <row r="297" spans="1:55" s="55" customFormat="1" ht="31.5" customHeight="1" x14ac:dyDescent="0.25">
      <c r="A297" s="114" t="s">
        <v>235</v>
      </c>
      <c r="B297" s="96" t="s">
        <v>790</v>
      </c>
      <c r="C297" s="99" t="s">
        <v>521</v>
      </c>
      <c r="D297" s="88">
        <v>0</v>
      </c>
      <c r="E297" s="29">
        <f t="shared" si="207"/>
        <v>2.8310783999999999E-2</v>
      </c>
      <c r="F297" s="29">
        <f t="shared" si="207"/>
        <v>4.5918479999999999E-3</v>
      </c>
      <c r="G297" s="29">
        <f t="shared" si="207"/>
        <v>2.3718935999999999E-2</v>
      </c>
      <c r="H297" s="29">
        <f t="shared" si="204"/>
        <v>0</v>
      </c>
      <c r="I297" s="29">
        <f t="shared" si="204"/>
        <v>0</v>
      </c>
      <c r="J297" s="29">
        <f t="shared" si="239"/>
        <v>2.8310783999999999E-2</v>
      </c>
      <c r="K297" s="29">
        <f>3.82654*1.2/1000</f>
        <v>4.5918479999999999E-3</v>
      </c>
      <c r="L297" s="29">
        <f>19.76578*1.2/1000</f>
        <v>2.3718935999999999E-2</v>
      </c>
      <c r="M297" s="29">
        <v>0</v>
      </c>
      <c r="N297" s="29">
        <v>0</v>
      </c>
      <c r="O297" s="29">
        <v>0</v>
      </c>
      <c r="P297" s="29">
        <v>0</v>
      </c>
      <c r="Q297" s="29">
        <v>0</v>
      </c>
      <c r="R297" s="29">
        <v>0</v>
      </c>
      <c r="S297" s="29">
        <v>0</v>
      </c>
      <c r="T297" s="30">
        <f t="shared" si="248"/>
        <v>0</v>
      </c>
      <c r="U297" s="30">
        <v>0</v>
      </c>
      <c r="V297" s="30">
        <v>0</v>
      </c>
      <c r="W297" s="30">
        <v>0</v>
      </c>
      <c r="X297" s="30">
        <v>0</v>
      </c>
      <c r="Y297" s="30">
        <f t="shared" si="249"/>
        <v>0</v>
      </c>
      <c r="Z297" s="30">
        <v>0</v>
      </c>
      <c r="AA297" s="30">
        <v>0</v>
      </c>
      <c r="AB297" s="30">
        <v>0</v>
      </c>
      <c r="AC297" s="34">
        <v>0</v>
      </c>
      <c r="AD297" s="36">
        <v>0</v>
      </c>
      <c r="AE297" s="36">
        <f t="shared" si="208"/>
        <v>0</v>
      </c>
      <c r="AF297" s="36">
        <f t="shared" si="208"/>
        <v>0</v>
      </c>
      <c r="AG297" s="36">
        <f t="shared" si="208"/>
        <v>0</v>
      </c>
      <c r="AH297" s="36">
        <f t="shared" si="206"/>
        <v>0</v>
      </c>
      <c r="AI297" s="36">
        <f t="shared" si="206"/>
        <v>0</v>
      </c>
      <c r="AJ297" s="36">
        <f t="shared" si="242"/>
        <v>0</v>
      </c>
      <c r="AK297" s="36">
        <v>0</v>
      </c>
      <c r="AL297" s="36">
        <v>0</v>
      </c>
      <c r="AM297" s="36">
        <v>0</v>
      </c>
      <c r="AN297" s="36">
        <v>0</v>
      </c>
      <c r="AO297" s="34">
        <f t="shared" si="246"/>
        <v>0</v>
      </c>
      <c r="AP297" s="34">
        <v>0</v>
      </c>
      <c r="AQ297" s="34">
        <v>0</v>
      </c>
      <c r="AR297" s="34">
        <v>0</v>
      </c>
      <c r="AS297" s="34">
        <v>0</v>
      </c>
      <c r="AT297" s="34">
        <f t="shared" si="250"/>
        <v>0</v>
      </c>
      <c r="AU297" s="34">
        <v>0</v>
      </c>
      <c r="AV297" s="34">
        <v>0</v>
      </c>
      <c r="AW297" s="34">
        <v>0</v>
      </c>
      <c r="AX297" s="34">
        <v>0</v>
      </c>
      <c r="AY297" s="34">
        <f t="shared" si="251"/>
        <v>0</v>
      </c>
      <c r="AZ297" s="34">
        <v>0</v>
      </c>
      <c r="BA297" s="34">
        <v>0</v>
      </c>
      <c r="BB297" s="34">
        <v>0</v>
      </c>
      <c r="BC297" s="34">
        <v>0</v>
      </c>
    </row>
    <row r="298" spans="1:55" s="55" customFormat="1" ht="31.5" customHeight="1" x14ac:dyDescent="0.25">
      <c r="A298" s="114" t="s">
        <v>235</v>
      </c>
      <c r="B298" s="96" t="s">
        <v>374</v>
      </c>
      <c r="C298" s="99" t="s">
        <v>791</v>
      </c>
      <c r="D298" s="88">
        <v>0</v>
      </c>
      <c r="E298" s="29">
        <f t="shared" si="207"/>
        <v>0</v>
      </c>
      <c r="F298" s="29">
        <f t="shared" si="207"/>
        <v>0</v>
      </c>
      <c r="G298" s="29">
        <f t="shared" si="207"/>
        <v>0</v>
      </c>
      <c r="H298" s="29">
        <f t="shared" si="204"/>
        <v>0</v>
      </c>
      <c r="I298" s="29">
        <f t="shared" si="204"/>
        <v>0</v>
      </c>
      <c r="J298" s="29">
        <f t="shared" si="239"/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f t="shared" si="247"/>
        <v>0</v>
      </c>
      <c r="P298" s="29">
        <v>0</v>
      </c>
      <c r="Q298" s="29">
        <v>0</v>
      </c>
      <c r="R298" s="29">
        <v>0</v>
      </c>
      <c r="S298" s="29">
        <v>0</v>
      </c>
      <c r="T298" s="30">
        <f t="shared" si="248"/>
        <v>0</v>
      </c>
      <c r="U298" s="30">
        <v>0</v>
      </c>
      <c r="V298" s="30">
        <v>0</v>
      </c>
      <c r="W298" s="30">
        <v>0</v>
      </c>
      <c r="X298" s="30">
        <v>0</v>
      </c>
      <c r="Y298" s="30">
        <f t="shared" si="249"/>
        <v>0</v>
      </c>
      <c r="Z298" s="30">
        <v>0</v>
      </c>
      <c r="AA298" s="30">
        <v>0</v>
      </c>
      <c r="AB298" s="30">
        <v>0</v>
      </c>
      <c r="AC298" s="34">
        <v>0</v>
      </c>
      <c r="AD298" s="36">
        <v>0</v>
      </c>
      <c r="AE298" s="36">
        <f t="shared" si="208"/>
        <v>0</v>
      </c>
      <c r="AF298" s="36">
        <f t="shared" si="208"/>
        <v>0</v>
      </c>
      <c r="AG298" s="36">
        <f t="shared" si="208"/>
        <v>0</v>
      </c>
      <c r="AH298" s="36">
        <f t="shared" si="206"/>
        <v>0</v>
      </c>
      <c r="AI298" s="36">
        <f t="shared" si="206"/>
        <v>0</v>
      </c>
      <c r="AJ298" s="36">
        <f t="shared" si="242"/>
        <v>0</v>
      </c>
      <c r="AK298" s="36">
        <v>0</v>
      </c>
      <c r="AL298" s="36">
        <v>0</v>
      </c>
      <c r="AM298" s="36">
        <v>0</v>
      </c>
      <c r="AN298" s="36">
        <v>0</v>
      </c>
      <c r="AO298" s="34">
        <f t="shared" si="246"/>
        <v>0</v>
      </c>
      <c r="AP298" s="34">
        <v>0</v>
      </c>
      <c r="AQ298" s="34">
        <v>0</v>
      </c>
      <c r="AR298" s="34">
        <v>0</v>
      </c>
      <c r="AS298" s="34">
        <v>0</v>
      </c>
      <c r="AT298" s="34">
        <f t="shared" si="250"/>
        <v>0</v>
      </c>
      <c r="AU298" s="34">
        <v>0</v>
      </c>
      <c r="AV298" s="34">
        <v>0</v>
      </c>
      <c r="AW298" s="34">
        <v>0</v>
      </c>
      <c r="AX298" s="34">
        <v>0</v>
      </c>
      <c r="AY298" s="34">
        <f t="shared" si="251"/>
        <v>0</v>
      </c>
      <c r="AZ298" s="34">
        <v>0</v>
      </c>
      <c r="BA298" s="34">
        <v>0</v>
      </c>
      <c r="BB298" s="34">
        <v>0</v>
      </c>
      <c r="BC298" s="34">
        <v>0</v>
      </c>
    </row>
    <row r="299" spans="1:55" s="55" customFormat="1" ht="31.5" customHeight="1" x14ac:dyDescent="0.25">
      <c r="A299" s="110" t="s">
        <v>235</v>
      </c>
      <c r="B299" s="96" t="s">
        <v>520</v>
      </c>
      <c r="C299" s="99" t="s">
        <v>529</v>
      </c>
      <c r="D299" s="88">
        <v>0</v>
      </c>
      <c r="E299" s="29">
        <f t="shared" si="207"/>
        <v>8.3659643999999991E-2</v>
      </c>
      <c r="F299" s="29">
        <f t="shared" si="207"/>
        <v>2.6548764000000002E-2</v>
      </c>
      <c r="G299" s="29">
        <f t="shared" si="207"/>
        <v>4.7118263999999993E-2</v>
      </c>
      <c r="H299" s="29">
        <f t="shared" si="204"/>
        <v>9.9926159999999993E-3</v>
      </c>
      <c r="I299" s="29">
        <f t="shared" si="204"/>
        <v>0</v>
      </c>
      <c r="J299" s="29">
        <f t="shared" si="239"/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f t="shared" si="247"/>
        <v>5.0383163999999994E-2</v>
      </c>
      <c r="P299" s="29">
        <v>2.1178800000000001E-2</v>
      </c>
      <c r="Q299" s="29">
        <v>2.9204363999999997E-2</v>
      </c>
      <c r="R299" s="29">
        <v>0</v>
      </c>
      <c r="S299" s="29">
        <v>0</v>
      </c>
      <c r="T299" s="30">
        <f t="shared" si="248"/>
        <v>5.3699639999999996E-3</v>
      </c>
      <c r="U299" s="30">
        <v>5.3699639999999996E-3</v>
      </c>
      <c r="V299" s="30">
        <v>0</v>
      </c>
      <c r="W299" s="30">
        <v>0</v>
      </c>
      <c r="X299" s="30">
        <v>0</v>
      </c>
      <c r="Y299" s="30">
        <f t="shared" si="249"/>
        <v>2.7906515999999996E-2</v>
      </c>
      <c r="Z299" s="30">
        <v>0</v>
      </c>
      <c r="AA299" s="30">
        <v>1.7913899999999996E-2</v>
      </c>
      <c r="AB299" s="30">
        <v>9.9926159999999993E-3</v>
      </c>
      <c r="AC299" s="34">
        <v>0</v>
      </c>
      <c r="AD299" s="36">
        <v>0</v>
      </c>
      <c r="AE299" s="36">
        <f t="shared" si="208"/>
        <v>0</v>
      </c>
      <c r="AF299" s="36">
        <f t="shared" si="208"/>
        <v>0</v>
      </c>
      <c r="AG299" s="36">
        <f t="shared" si="208"/>
        <v>0</v>
      </c>
      <c r="AH299" s="36">
        <f t="shared" si="206"/>
        <v>0</v>
      </c>
      <c r="AI299" s="36">
        <f t="shared" si="206"/>
        <v>0</v>
      </c>
      <c r="AJ299" s="36">
        <f t="shared" si="242"/>
        <v>0</v>
      </c>
      <c r="AK299" s="36">
        <v>0</v>
      </c>
      <c r="AL299" s="36">
        <v>0</v>
      </c>
      <c r="AM299" s="36">
        <v>0</v>
      </c>
      <c r="AN299" s="36">
        <v>0</v>
      </c>
      <c r="AO299" s="34">
        <f t="shared" si="246"/>
        <v>0</v>
      </c>
      <c r="AP299" s="34">
        <v>0</v>
      </c>
      <c r="AQ299" s="34">
        <v>0</v>
      </c>
      <c r="AR299" s="34">
        <v>0</v>
      </c>
      <c r="AS299" s="34">
        <v>0</v>
      </c>
      <c r="AT299" s="34">
        <f t="shared" si="250"/>
        <v>0</v>
      </c>
      <c r="AU299" s="34">
        <v>0</v>
      </c>
      <c r="AV299" s="34">
        <v>0</v>
      </c>
      <c r="AW299" s="34">
        <v>0</v>
      </c>
      <c r="AX299" s="34">
        <v>0</v>
      </c>
      <c r="AY299" s="34">
        <f t="shared" si="251"/>
        <v>0</v>
      </c>
      <c r="AZ299" s="34">
        <v>0</v>
      </c>
      <c r="BA299" s="34">
        <v>0</v>
      </c>
      <c r="BB299" s="34">
        <v>0</v>
      </c>
      <c r="BC299" s="34">
        <v>0</v>
      </c>
    </row>
    <row r="300" spans="1:55" s="55" customFormat="1" ht="31.5" customHeight="1" x14ac:dyDescent="0.25">
      <c r="A300" s="110" t="s">
        <v>235</v>
      </c>
      <c r="B300" s="96" t="s">
        <v>522</v>
      </c>
      <c r="C300" s="99" t="s">
        <v>523</v>
      </c>
      <c r="D300" s="88">
        <v>0</v>
      </c>
      <c r="E300" s="29">
        <f t="shared" si="207"/>
        <v>1.7464799999999999E-2</v>
      </c>
      <c r="F300" s="29">
        <f t="shared" si="207"/>
        <v>1.7464799999999999E-2</v>
      </c>
      <c r="G300" s="29">
        <f t="shared" si="207"/>
        <v>0</v>
      </c>
      <c r="H300" s="29">
        <f t="shared" si="204"/>
        <v>0</v>
      </c>
      <c r="I300" s="29">
        <f t="shared" si="204"/>
        <v>0</v>
      </c>
      <c r="J300" s="29">
        <f t="shared" si="239"/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f t="shared" si="247"/>
        <v>1.7464799999999999E-2</v>
      </c>
      <c r="P300" s="29">
        <v>1.7464799999999999E-2</v>
      </c>
      <c r="Q300" s="29">
        <v>0</v>
      </c>
      <c r="R300" s="29">
        <v>0</v>
      </c>
      <c r="S300" s="29">
        <v>0</v>
      </c>
      <c r="T300" s="30">
        <f t="shared" si="248"/>
        <v>0</v>
      </c>
      <c r="U300" s="30">
        <v>0</v>
      </c>
      <c r="V300" s="30">
        <v>0</v>
      </c>
      <c r="W300" s="30">
        <v>0</v>
      </c>
      <c r="X300" s="30">
        <v>0</v>
      </c>
      <c r="Y300" s="30">
        <f t="shared" si="249"/>
        <v>0</v>
      </c>
      <c r="Z300" s="30">
        <v>0</v>
      </c>
      <c r="AA300" s="30">
        <v>0</v>
      </c>
      <c r="AB300" s="30">
        <v>0</v>
      </c>
      <c r="AC300" s="34">
        <v>0</v>
      </c>
      <c r="AD300" s="36">
        <v>0</v>
      </c>
      <c r="AE300" s="36">
        <f t="shared" si="208"/>
        <v>0</v>
      </c>
      <c r="AF300" s="36">
        <f t="shared" si="208"/>
        <v>0</v>
      </c>
      <c r="AG300" s="36">
        <f t="shared" si="208"/>
        <v>0</v>
      </c>
      <c r="AH300" s="36">
        <f t="shared" si="206"/>
        <v>0</v>
      </c>
      <c r="AI300" s="36">
        <f t="shared" si="206"/>
        <v>0</v>
      </c>
      <c r="AJ300" s="36">
        <f t="shared" si="242"/>
        <v>0</v>
      </c>
      <c r="AK300" s="36">
        <v>0</v>
      </c>
      <c r="AL300" s="36">
        <v>0</v>
      </c>
      <c r="AM300" s="36">
        <v>0</v>
      </c>
      <c r="AN300" s="36">
        <v>0</v>
      </c>
      <c r="AO300" s="34">
        <f t="shared" si="246"/>
        <v>0</v>
      </c>
      <c r="AP300" s="34">
        <v>0</v>
      </c>
      <c r="AQ300" s="34">
        <v>0</v>
      </c>
      <c r="AR300" s="34">
        <v>0</v>
      </c>
      <c r="AS300" s="34">
        <v>0</v>
      </c>
      <c r="AT300" s="34">
        <f t="shared" si="250"/>
        <v>0</v>
      </c>
      <c r="AU300" s="34">
        <v>0</v>
      </c>
      <c r="AV300" s="34">
        <v>0</v>
      </c>
      <c r="AW300" s="34">
        <v>0</v>
      </c>
      <c r="AX300" s="34">
        <v>0</v>
      </c>
      <c r="AY300" s="34">
        <f t="shared" si="251"/>
        <v>0</v>
      </c>
      <c r="AZ300" s="34">
        <v>0</v>
      </c>
      <c r="BA300" s="34">
        <v>0</v>
      </c>
      <c r="BB300" s="34">
        <v>0</v>
      </c>
      <c r="BC300" s="34">
        <v>0</v>
      </c>
    </row>
    <row r="301" spans="1:55" s="55" customFormat="1" ht="31.5" customHeight="1" x14ac:dyDescent="0.25">
      <c r="A301" s="110" t="s">
        <v>235</v>
      </c>
      <c r="B301" s="96" t="s">
        <v>524</v>
      </c>
      <c r="C301" s="99" t="s">
        <v>525</v>
      </c>
      <c r="D301" s="88">
        <v>0</v>
      </c>
      <c r="E301" s="29">
        <f t="shared" si="207"/>
        <v>5.5109340000000007E-2</v>
      </c>
      <c r="F301" s="29">
        <f t="shared" si="207"/>
        <v>0</v>
      </c>
      <c r="G301" s="29">
        <f t="shared" si="207"/>
        <v>3.0829740000000001E-2</v>
      </c>
      <c r="H301" s="29">
        <f t="shared" si="204"/>
        <v>2.4279600000000002E-2</v>
      </c>
      <c r="I301" s="29">
        <f t="shared" si="204"/>
        <v>0</v>
      </c>
      <c r="J301" s="29">
        <f t="shared" si="239"/>
        <v>0</v>
      </c>
      <c r="K301" s="29">
        <v>0</v>
      </c>
      <c r="L301" s="29">
        <v>0</v>
      </c>
      <c r="M301" s="29">
        <v>0</v>
      </c>
      <c r="N301" s="29">
        <v>0</v>
      </c>
      <c r="O301" s="29">
        <f t="shared" si="247"/>
        <v>5.5109340000000007E-2</v>
      </c>
      <c r="P301" s="29">
        <v>0</v>
      </c>
      <c r="Q301" s="29">
        <v>3.0829740000000001E-2</v>
      </c>
      <c r="R301" s="29">
        <v>2.4279600000000002E-2</v>
      </c>
      <c r="S301" s="29">
        <v>0</v>
      </c>
      <c r="T301" s="30">
        <f t="shared" si="248"/>
        <v>0</v>
      </c>
      <c r="U301" s="30">
        <v>0</v>
      </c>
      <c r="V301" s="30">
        <v>0</v>
      </c>
      <c r="W301" s="30">
        <v>0</v>
      </c>
      <c r="X301" s="30">
        <v>0</v>
      </c>
      <c r="Y301" s="30">
        <f t="shared" si="249"/>
        <v>0</v>
      </c>
      <c r="Z301" s="30">
        <v>0</v>
      </c>
      <c r="AA301" s="30">
        <v>0</v>
      </c>
      <c r="AB301" s="30">
        <v>0</v>
      </c>
      <c r="AC301" s="34">
        <v>0</v>
      </c>
      <c r="AD301" s="36">
        <v>0</v>
      </c>
      <c r="AE301" s="36">
        <f t="shared" si="208"/>
        <v>4.5924450000000006E-2</v>
      </c>
      <c r="AF301" s="36">
        <f t="shared" si="208"/>
        <v>0</v>
      </c>
      <c r="AG301" s="36">
        <f t="shared" si="208"/>
        <v>2.5691450000000001E-2</v>
      </c>
      <c r="AH301" s="36">
        <f t="shared" si="206"/>
        <v>2.0233000000000001E-2</v>
      </c>
      <c r="AI301" s="36">
        <f t="shared" si="206"/>
        <v>0</v>
      </c>
      <c r="AJ301" s="36">
        <f t="shared" si="242"/>
        <v>0</v>
      </c>
      <c r="AK301" s="36">
        <v>0</v>
      </c>
      <c r="AL301" s="36">
        <v>0</v>
      </c>
      <c r="AM301" s="36">
        <v>0</v>
      </c>
      <c r="AN301" s="36">
        <v>0</v>
      </c>
      <c r="AO301" s="34">
        <f t="shared" si="246"/>
        <v>4.5924450000000006E-2</v>
      </c>
      <c r="AP301" s="34">
        <v>0</v>
      </c>
      <c r="AQ301" s="34">
        <v>2.5691450000000001E-2</v>
      </c>
      <c r="AR301" s="34">
        <v>2.0233000000000001E-2</v>
      </c>
      <c r="AS301" s="34">
        <v>0</v>
      </c>
      <c r="AT301" s="34">
        <f t="shared" si="250"/>
        <v>0</v>
      </c>
      <c r="AU301" s="34">
        <v>0</v>
      </c>
      <c r="AV301" s="34">
        <v>0</v>
      </c>
      <c r="AW301" s="34">
        <v>0</v>
      </c>
      <c r="AX301" s="34">
        <v>0</v>
      </c>
      <c r="AY301" s="34">
        <f t="shared" si="251"/>
        <v>0</v>
      </c>
      <c r="AZ301" s="34">
        <v>0</v>
      </c>
      <c r="BA301" s="34">
        <v>0</v>
      </c>
      <c r="BB301" s="34">
        <v>0</v>
      </c>
      <c r="BC301" s="34">
        <v>0</v>
      </c>
    </row>
    <row r="302" spans="1:55" s="55" customFormat="1" ht="31.5" customHeight="1" x14ac:dyDescent="0.25">
      <c r="A302" s="110" t="s">
        <v>235</v>
      </c>
      <c r="B302" s="96" t="s">
        <v>526</v>
      </c>
      <c r="C302" s="99" t="s">
        <v>527</v>
      </c>
      <c r="D302" s="88">
        <v>0</v>
      </c>
      <c r="E302" s="29">
        <f t="shared" si="207"/>
        <v>4.4203691999999996E-2</v>
      </c>
      <c r="F302" s="29">
        <f t="shared" si="207"/>
        <v>0</v>
      </c>
      <c r="G302" s="29">
        <f t="shared" si="207"/>
        <v>1.157586E-2</v>
      </c>
      <c r="H302" s="29">
        <f t="shared" si="204"/>
        <v>3.2627831999999996E-2</v>
      </c>
      <c r="I302" s="29">
        <f t="shared" si="204"/>
        <v>0</v>
      </c>
      <c r="J302" s="29">
        <f t="shared" si="239"/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f t="shared" si="247"/>
        <v>4.4203691999999996E-2</v>
      </c>
      <c r="P302" s="29">
        <v>0</v>
      </c>
      <c r="Q302" s="29">
        <v>1.157586E-2</v>
      </c>
      <c r="R302" s="29">
        <v>3.2627831999999996E-2</v>
      </c>
      <c r="S302" s="29">
        <v>0</v>
      </c>
      <c r="T302" s="30">
        <f t="shared" si="248"/>
        <v>0</v>
      </c>
      <c r="U302" s="30">
        <v>0</v>
      </c>
      <c r="V302" s="30">
        <v>0</v>
      </c>
      <c r="W302" s="30">
        <v>0</v>
      </c>
      <c r="X302" s="30">
        <v>0</v>
      </c>
      <c r="Y302" s="30">
        <f t="shared" si="249"/>
        <v>0</v>
      </c>
      <c r="Z302" s="30">
        <v>0</v>
      </c>
      <c r="AA302" s="30">
        <v>0</v>
      </c>
      <c r="AB302" s="30">
        <v>0</v>
      </c>
      <c r="AC302" s="34">
        <v>0</v>
      </c>
      <c r="AD302" s="36">
        <v>0</v>
      </c>
      <c r="AE302" s="36">
        <f t="shared" si="208"/>
        <v>3.683641E-2</v>
      </c>
      <c r="AF302" s="36">
        <f t="shared" si="208"/>
        <v>0</v>
      </c>
      <c r="AG302" s="36">
        <f t="shared" si="208"/>
        <v>9.6465500000000003E-3</v>
      </c>
      <c r="AH302" s="36">
        <f t="shared" si="206"/>
        <v>2.7189859999999996E-2</v>
      </c>
      <c r="AI302" s="36">
        <f t="shared" si="206"/>
        <v>0</v>
      </c>
      <c r="AJ302" s="36">
        <f t="shared" si="242"/>
        <v>0</v>
      </c>
      <c r="AK302" s="36">
        <v>0</v>
      </c>
      <c r="AL302" s="36">
        <v>0</v>
      </c>
      <c r="AM302" s="36">
        <v>0</v>
      </c>
      <c r="AN302" s="36">
        <v>0</v>
      </c>
      <c r="AO302" s="34">
        <f t="shared" si="246"/>
        <v>3.683641E-2</v>
      </c>
      <c r="AP302" s="34">
        <v>0</v>
      </c>
      <c r="AQ302" s="34">
        <v>9.6465500000000003E-3</v>
      </c>
      <c r="AR302" s="34">
        <v>2.7189859999999996E-2</v>
      </c>
      <c r="AS302" s="34">
        <v>0</v>
      </c>
      <c r="AT302" s="34">
        <f t="shared" si="250"/>
        <v>0</v>
      </c>
      <c r="AU302" s="34">
        <v>0</v>
      </c>
      <c r="AV302" s="34">
        <v>0</v>
      </c>
      <c r="AW302" s="34">
        <v>0</v>
      </c>
      <c r="AX302" s="34">
        <v>0</v>
      </c>
      <c r="AY302" s="34">
        <f t="shared" si="251"/>
        <v>0</v>
      </c>
      <c r="AZ302" s="34">
        <v>0</v>
      </c>
      <c r="BA302" s="34">
        <v>0</v>
      </c>
      <c r="BB302" s="34">
        <v>0</v>
      </c>
      <c r="BC302" s="34">
        <v>0</v>
      </c>
    </row>
    <row r="303" spans="1:55" s="55" customFormat="1" ht="31.5" customHeight="1" x14ac:dyDescent="0.25">
      <c r="A303" s="110" t="s">
        <v>235</v>
      </c>
      <c r="B303" s="96" t="s">
        <v>528</v>
      </c>
      <c r="C303" s="99" t="s">
        <v>531</v>
      </c>
      <c r="D303" s="88">
        <v>0</v>
      </c>
      <c r="E303" s="29">
        <f t="shared" si="207"/>
        <v>3.2991221399999997</v>
      </c>
      <c r="F303" s="29">
        <f t="shared" si="207"/>
        <v>0</v>
      </c>
      <c r="G303" s="29">
        <f t="shared" si="207"/>
        <v>1.2811628039999998</v>
      </c>
      <c r="H303" s="29">
        <f t="shared" si="204"/>
        <v>2.0179593360000001</v>
      </c>
      <c r="I303" s="29">
        <f t="shared" si="204"/>
        <v>0</v>
      </c>
      <c r="J303" s="29">
        <f t="shared" si="239"/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f t="shared" si="247"/>
        <v>1.2638199720000001</v>
      </c>
      <c r="P303" s="29">
        <v>0</v>
      </c>
      <c r="Q303" s="29">
        <v>0.17071968000000001</v>
      </c>
      <c r="R303" s="29">
        <v>1.0931002920000001</v>
      </c>
      <c r="S303" s="29">
        <v>0</v>
      </c>
      <c r="T303" s="30">
        <f t="shared" si="248"/>
        <v>2.0353021679999999</v>
      </c>
      <c r="U303" s="30">
        <v>0</v>
      </c>
      <c r="V303" s="30">
        <v>1.1104431239999999</v>
      </c>
      <c r="W303" s="30">
        <v>0.92485904399999996</v>
      </c>
      <c r="X303" s="30">
        <v>0</v>
      </c>
      <c r="Y303" s="30">
        <f t="shared" si="249"/>
        <v>0</v>
      </c>
      <c r="Z303" s="30">
        <v>0</v>
      </c>
      <c r="AA303" s="30">
        <v>0</v>
      </c>
      <c r="AB303" s="30">
        <v>0</v>
      </c>
      <c r="AC303" s="34">
        <v>0</v>
      </c>
      <c r="AD303" s="36">
        <v>0</v>
      </c>
      <c r="AE303" s="36">
        <f t="shared" si="208"/>
        <v>1.0531833100000001</v>
      </c>
      <c r="AF303" s="36">
        <f t="shared" si="208"/>
        <v>0</v>
      </c>
      <c r="AG303" s="36">
        <f t="shared" si="208"/>
        <v>0.14226640000000002</v>
      </c>
      <c r="AH303" s="36">
        <f t="shared" si="206"/>
        <v>0.91091691000000019</v>
      </c>
      <c r="AI303" s="36">
        <f t="shared" si="206"/>
        <v>0</v>
      </c>
      <c r="AJ303" s="36">
        <f t="shared" si="242"/>
        <v>0</v>
      </c>
      <c r="AK303" s="36">
        <v>0</v>
      </c>
      <c r="AL303" s="36">
        <v>0</v>
      </c>
      <c r="AM303" s="36">
        <v>0</v>
      </c>
      <c r="AN303" s="36">
        <v>0</v>
      </c>
      <c r="AO303" s="34">
        <f t="shared" si="246"/>
        <v>1.0531833100000001</v>
      </c>
      <c r="AP303" s="34">
        <v>0</v>
      </c>
      <c r="AQ303" s="34">
        <v>0.14226640000000002</v>
      </c>
      <c r="AR303" s="34">
        <v>0.91091691000000019</v>
      </c>
      <c r="AS303" s="34">
        <v>0</v>
      </c>
      <c r="AT303" s="34">
        <f t="shared" si="250"/>
        <v>0</v>
      </c>
      <c r="AU303" s="34">
        <v>0</v>
      </c>
      <c r="AV303" s="34">
        <v>0</v>
      </c>
      <c r="AW303" s="34">
        <v>0</v>
      </c>
      <c r="AX303" s="34">
        <v>0</v>
      </c>
      <c r="AY303" s="34">
        <f t="shared" si="251"/>
        <v>0</v>
      </c>
      <c r="AZ303" s="34">
        <v>0</v>
      </c>
      <c r="BA303" s="34">
        <v>0</v>
      </c>
      <c r="BB303" s="34">
        <v>0</v>
      </c>
      <c r="BC303" s="34">
        <v>0</v>
      </c>
    </row>
    <row r="304" spans="1:55" s="55" customFormat="1" ht="31.5" customHeight="1" x14ac:dyDescent="0.25">
      <c r="A304" s="110" t="s">
        <v>235</v>
      </c>
      <c r="B304" s="96" t="s">
        <v>530</v>
      </c>
      <c r="C304" s="99" t="s">
        <v>533</v>
      </c>
      <c r="D304" s="88">
        <v>0</v>
      </c>
      <c r="E304" s="29">
        <f t="shared" si="207"/>
        <v>4.6488108E-2</v>
      </c>
      <c r="F304" s="29">
        <f t="shared" si="207"/>
        <v>0</v>
      </c>
      <c r="G304" s="29">
        <f t="shared" si="207"/>
        <v>3.0019127999999999E-2</v>
      </c>
      <c r="H304" s="29">
        <f t="shared" si="204"/>
        <v>1.6468979999999998E-2</v>
      </c>
      <c r="I304" s="29">
        <f t="shared" si="204"/>
        <v>0</v>
      </c>
      <c r="J304" s="29">
        <f t="shared" si="239"/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f t="shared" si="247"/>
        <v>4.6488108E-2</v>
      </c>
      <c r="P304" s="29">
        <v>0</v>
      </c>
      <c r="Q304" s="29">
        <v>3.0019127999999999E-2</v>
      </c>
      <c r="R304" s="29">
        <v>1.6468979999999998E-2</v>
      </c>
      <c r="S304" s="29">
        <v>0</v>
      </c>
      <c r="T304" s="30">
        <f t="shared" si="248"/>
        <v>0</v>
      </c>
      <c r="U304" s="30">
        <v>0</v>
      </c>
      <c r="V304" s="30">
        <v>0</v>
      </c>
      <c r="W304" s="30">
        <v>0</v>
      </c>
      <c r="X304" s="30">
        <v>0</v>
      </c>
      <c r="Y304" s="30">
        <f t="shared" si="249"/>
        <v>0</v>
      </c>
      <c r="Z304" s="30">
        <v>0</v>
      </c>
      <c r="AA304" s="30">
        <v>0</v>
      </c>
      <c r="AB304" s="30">
        <v>0</v>
      </c>
      <c r="AC304" s="34">
        <v>0</v>
      </c>
      <c r="AD304" s="36">
        <v>0</v>
      </c>
      <c r="AE304" s="36">
        <f t="shared" si="208"/>
        <v>3.8740089999999998E-2</v>
      </c>
      <c r="AF304" s="36">
        <f t="shared" si="208"/>
        <v>0</v>
      </c>
      <c r="AG304" s="36">
        <f t="shared" si="208"/>
        <v>2.501594E-2</v>
      </c>
      <c r="AH304" s="36">
        <f t="shared" si="206"/>
        <v>1.3724149999999999E-2</v>
      </c>
      <c r="AI304" s="36">
        <f t="shared" si="206"/>
        <v>0</v>
      </c>
      <c r="AJ304" s="36">
        <f t="shared" si="242"/>
        <v>0</v>
      </c>
      <c r="AK304" s="36">
        <v>0</v>
      </c>
      <c r="AL304" s="36">
        <v>0</v>
      </c>
      <c r="AM304" s="36">
        <v>0</v>
      </c>
      <c r="AN304" s="36">
        <v>0</v>
      </c>
      <c r="AO304" s="34">
        <f t="shared" si="246"/>
        <v>3.8740089999999998E-2</v>
      </c>
      <c r="AP304" s="34">
        <v>0</v>
      </c>
      <c r="AQ304" s="34">
        <v>2.501594E-2</v>
      </c>
      <c r="AR304" s="34">
        <v>1.3724149999999999E-2</v>
      </c>
      <c r="AS304" s="34">
        <v>0</v>
      </c>
      <c r="AT304" s="34">
        <f t="shared" si="250"/>
        <v>0</v>
      </c>
      <c r="AU304" s="34">
        <v>0</v>
      </c>
      <c r="AV304" s="34">
        <v>0</v>
      </c>
      <c r="AW304" s="34">
        <v>0</v>
      </c>
      <c r="AX304" s="34">
        <v>0</v>
      </c>
      <c r="AY304" s="34">
        <f t="shared" si="251"/>
        <v>0</v>
      </c>
      <c r="AZ304" s="34">
        <v>0</v>
      </c>
      <c r="BA304" s="34">
        <v>0</v>
      </c>
      <c r="BB304" s="34">
        <v>0</v>
      </c>
      <c r="BC304" s="34">
        <v>0</v>
      </c>
    </row>
    <row r="305" spans="1:55" s="55" customFormat="1" ht="31.5" customHeight="1" x14ac:dyDescent="0.25">
      <c r="A305" s="110" t="s">
        <v>235</v>
      </c>
      <c r="B305" s="96" t="s">
        <v>532</v>
      </c>
      <c r="C305" s="99" t="s">
        <v>535</v>
      </c>
      <c r="D305" s="88">
        <v>0</v>
      </c>
      <c r="E305" s="29">
        <f t="shared" si="207"/>
        <v>0</v>
      </c>
      <c r="F305" s="29">
        <f t="shared" si="207"/>
        <v>0</v>
      </c>
      <c r="G305" s="29">
        <f t="shared" si="207"/>
        <v>0</v>
      </c>
      <c r="H305" s="29">
        <f t="shared" si="204"/>
        <v>0</v>
      </c>
      <c r="I305" s="29">
        <f t="shared" si="204"/>
        <v>0</v>
      </c>
      <c r="J305" s="29">
        <f t="shared" si="239"/>
        <v>0</v>
      </c>
      <c r="K305" s="29">
        <v>0</v>
      </c>
      <c r="L305" s="29">
        <v>0</v>
      </c>
      <c r="M305" s="29">
        <v>0</v>
      </c>
      <c r="N305" s="29">
        <v>0</v>
      </c>
      <c r="O305" s="29">
        <f t="shared" si="247"/>
        <v>0</v>
      </c>
      <c r="P305" s="29">
        <v>0</v>
      </c>
      <c r="Q305" s="29">
        <v>0</v>
      </c>
      <c r="R305" s="29">
        <v>0</v>
      </c>
      <c r="S305" s="29">
        <v>0</v>
      </c>
      <c r="T305" s="30">
        <f t="shared" si="248"/>
        <v>0</v>
      </c>
      <c r="U305" s="30">
        <v>0</v>
      </c>
      <c r="V305" s="30">
        <v>0</v>
      </c>
      <c r="W305" s="30">
        <v>0</v>
      </c>
      <c r="X305" s="30">
        <v>0</v>
      </c>
      <c r="Y305" s="30">
        <f t="shared" si="249"/>
        <v>0</v>
      </c>
      <c r="Z305" s="30">
        <v>0</v>
      </c>
      <c r="AA305" s="30">
        <v>0</v>
      </c>
      <c r="AB305" s="30">
        <v>0</v>
      </c>
      <c r="AC305" s="34">
        <v>0</v>
      </c>
      <c r="AD305" s="36">
        <v>0</v>
      </c>
      <c r="AE305" s="36">
        <f t="shared" si="208"/>
        <v>0.33219051999999999</v>
      </c>
      <c r="AF305" s="36">
        <f t="shared" si="208"/>
        <v>1.3688199999999998E-2</v>
      </c>
      <c r="AG305" s="36">
        <f t="shared" si="208"/>
        <v>0.16861371999999999</v>
      </c>
      <c r="AH305" s="36">
        <f t="shared" si="206"/>
        <v>0.14988859999999998</v>
      </c>
      <c r="AI305" s="36">
        <f t="shared" si="206"/>
        <v>0</v>
      </c>
      <c r="AJ305" s="36">
        <f t="shared" si="242"/>
        <v>0</v>
      </c>
      <c r="AK305" s="36">
        <v>0</v>
      </c>
      <c r="AL305" s="36">
        <v>0</v>
      </c>
      <c r="AM305" s="36">
        <v>0</v>
      </c>
      <c r="AN305" s="36">
        <v>0</v>
      </c>
      <c r="AO305" s="34">
        <f t="shared" si="246"/>
        <v>0.33219051999999999</v>
      </c>
      <c r="AP305" s="34">
        <v>1.3688199999999998E-2</v>
      </c>
      <c r="AQ305" s="34">
        <v>0.16861371999999999</v>
      </c>
      <c r="AR305" s="34">
        <v>0.14988859999999998</v>
      </c>
      <c r="AS305" s="34">
        <v>0</v>
      </c>
      <c r="AT305" s="34">
        <f t="shared" si="250"/>
        <v>0</v>
      </c>
      <c r="AU305" s="34">
        <v>0</v>
      </c>
      <c r="AV305" s="34">
        <v>0</v>
      </c>
      <c r="AW305" s="34">
        <v>0</v>
      </c>
      <c r="AX305" s="34">
        <v>0</v>
      </c>
      <c r="AY305" s="34">
        <f t="shared" si="251"/>
        <v>0</v>
      </c>
      <c r="AZ305" s="34">
        <v>0</v>
      </c>
      <c r="BA305" s="34">
        <v>0</v>
      </c>
      <c r="BB305" s="34">
        <v>0</v>
      </c>
      <c r="BC305" s="34">
        <v>0</v>
      </c>
    </row>
    <row r="306" spans="1:55" s="55" customFormat="1" ht="31.5" customHeight="1" x14ac:dyDescent="0.25">
      <c r="A306" s="110" t="s">
        <v>235</v>
      </c>
      <c r="B306" s="96" t="s">
        <v>534</v>
      </c>
      <c r="C306" s="99" t="s">
        <v>537</v>
      </c>
      <c r="D306" s="88">
        <v>0</v>
      </c>
      <c r="E306" s="29">
        <f t="shared" si="207"/>
        <v>5.1477287999999996E-2</v>
      </c>
      <c r="F306" s="29">
        <f t="shared" si="207"/>
        <v>0</v>
      </c>
      <c r="G306" s="29">
        <f t="shared" si="207"/>
        <v>2.1366791999999999E-2</v>
      </c>
      <c r="H306" s="29">
        <f t="shared" si="204"/>
        <v>3.0110495999999997E-2</v>
      </c>
      <c r="I306" s="29">
        <f t="shared" si="204"/>
        <v>0</v>
      </c>
      <c r="J306" s="29">
        <f t="shared" si="239"/>
        <v>0</v>
      </c>
      <c r="K306" s="29">
        <v>0</v>
      </c>
      <c r="L306" s="29">
        <v>0</v>
      </c>
      <c r="M306" s="29">
        <v>0</v>
      </c>
      <c r="N306" s="29">
        <v>0</v>
      </c>
      <c r="O306" s="29">
        <f t="shared" si="247"/>
        <v>5.1477287999999996E-2</v>
      </c>
      <c r="P306" s="29">
        <v>0</v>
      </c>
      <c r="Q306" s="29">
        <v>2.1366791999999999E-2</v>
      </c>
      <c r="R306" s="29">
        <v>3.0110495999999997E-2</v>
      </c>
      <c r="S306" s="29">
        <v>0</v>
      </c>
      <c r="T306" s="30">
        <f t="shared" si="248"/>
        <v>0</v>
      </c>
      <c r="U306" s="30">
        <v>0</v>
      </c>
      <c r="V306" s="30">
        <v>0</v>
      </c>
      <c r="W306" s="30">
        <v>0</v>
      </c>
      <c r="X306" s="30">
        <v>0</v>
      </c>
      <c r="Y306" s="30">
        <f t="shared" si="249"/>
        <v>0</v>
      </c>
      <c r="Z306" s="30">
        <v>0</v>
      </c>
      <c r="AA306" s="30">
        <v>0</v>
      </c>
      <c r="AB306" s="30">
        <v>0</v>
      </c>
      <c r="AC306" s="34">
        <v>0</v>
      </c>
      <c r="AD306" s="36">
        <v>0</v>
      </c>
      <c r="AE306" s="36">
        <f t="shared" si="208"/>
        <v>4.2897740000000004E-2</v>
      </c>
      <c r="AF306" s="36">
        <f t="shared" si="208"/>
        <v>0</v>
      </c>
      <c r="AG306" s="36">
        <f t="shared" si="208"/>
        <v>1.7805660000000001E-2</v>
      </c>
      <c r="AH306" s="36">
        <f t="shared" si="206"/>
        <v>2.5092079999999999E-2</v>
      </c>
      <c r="AI306" s="36">
        <f t="shared" si="206"/>
        <v>0</v>
      </c>
      <c r="AJ306" s="36">
        <f t="shared" ref="AJ306:AJ353" si="252">AK306+AL306+AM306+AN306</f>
        <v>0</v>
      </c>
      <c r="AK306" s="36">
        <v>0</v>
      </c>
      <c r="AL306" s="36">
        <v>0</v>
      </c>
      <c r="AM306" s="36">
        <v>0</v>
      </c>
      <c r="AN306" s="36">
        <v>0</v>
      </c>
      <c r="AO306" s="34">
        <f t="shared" si="246"/>
        <v>4.2897740000000004E-2</v>
      </c>
      <c r="AP306" s="34">
        <v>0</v>
      </c>
      <c r="AQ306" s="34">
        <v>1.7805660000000001E-2</v>
      </c>
      <c r="AR306" s="34">
        <v>2.5092079999999999E-2</v>
      </c>
      <c r="AS306" s="34">
        <v>0</v>
      </c>
      <c r="AT306" s="34">
        <f t="shared" si="250"/>
        <v>0</v>
      </c>
      <c r="AU306" s="34">
        <v>0</v>
      </c>
      <c r="AV306" s="34">
        <v>0</v>
      </c>
      <c r="AW306" s="34">
        <v>0</v>
      </c>
      <c r="AX306" s="34">
        <v>0</v>
      </c>
      <c r="AY306" s="34">
        <f t="shared" si="251"/>
        <v>0</v>
      </c>
      <c r="AZ306" s="34">
        <v>0</v>
      </c>
      <c r="BA306" s="34">
        <v>0</v>
      </c>
      <c r="BB306" s="34">
        <v>0</v>
      </c>
      <c r="BC306" s="34">
        <v>0</v>
      </c>
    </row>
    <row r="307" spans="1:55" s="55" customFormat="1" ht="31.5" customHeight="1" x14ac:dyDescent="0.25">
      <c r="A307" s="110" t="s">
        <v>235</v>
      </c>
      <c r="B307" s="96" t="s">
        <v>536</v>
      </c>
      <c r="C307" s="99" t="s">
        <v>539</v>
      </c>
      <c r="D307" s="88">
        <v>0</v>
      </c>
      <c r="E307" s="29">
        <f t="shared" si="207"/>
        <v>3.9727247999999993E-2</v>
      </c>
      <c r="F307" s="29">
        <f t="shared" si="207"/>
        <v>0</v>
      </c>
      <c r="G307" s="29">
        <f t="shared" si="207"/>
        <v>2.1300251999999999E-2</v>
      </c>
      <c r="H307" s="29">
        <f t="shared" si="204"/>
        <v>1.8426995999999998E-2</v>
      </c>
      <c r="I307" s="29">
        <f t="shared" si="204"/>
        <v>0</v>
      </c>
      <c r="J307" s="29">
        <f t="shared" si="239"/>
        <v>0</v>
      </c>
      <c r="K307" s="29">
        <v>0</v>
      </c>
      <c r="L307" s="29">
        <v>0</v>
      </c>
      <c r="M307" s="29">
        <v>0</v>
      </c>
      <c r="N307" s="29">
        <v>0</v>
      </c>
      <c r="O307" s="29">
        <f t="shared" si="247"/>
        <v>3.9727247999999993E-2</v>
      </c>
      <c r="P307" s="29">
        <v>0</v>
      </c>
      <c r="Q307" s="29">
        <v>2.1300251999999999E-2</v>
      </c>
      <c r="R307" s="29">
        <v>1.8426995999999998E-2</v>
      </c>
      <c r="S307" s="29">
        <v>0</v>
      </c>
      <c r="T307" s="30">
        <f t="shared" si="248"/>
        <v>0</v>
      </c>
      <c r="U307" s="30">
        <v>0</v>
      </c>
      <c r="V307" s="30">
        <v>0</v>
      </c>
      <c r="W307" s="30">
        <v>0</v>
      </c>
      <c r="X307" s="30">
        <v>0</v>
      </c>
      <c r="Y307" s="30">
        <f t="shared" si="249"/>
        <v>0</v>
      </c>
      <c r="Z307" s="30">
        <v>0</v>
      </c>
      <c r="AA307" s="30">
        <v>0</v>
      </c>
      <c r="AB307" s="30">
        <v>0</v>
      </c>
      <c r="AC307" s="34">
        <v>0</v>
      </c>
      <c r="AD307" s="36">
        <v>0</v>
      </c>
      <c r="AE307" s="36">
        <f t="shared" si="208"/>
        <v>3.3106039999999996E-2</v>
      </c>
      <c r="AF307" s="36">
        <f t="shared" si="208"/>
        <v>0</v>
      </c>
      <c r="AG307" s="36">
        <f t="shared" si="208"/>
        <v>1.7750209999999999E-2</v>
      </c>
      <c r="AH307" s="36">
        <f t="shared" si="206"/>
        <v>1.5355829999999999E-2</v>
      </c>
      <c r="AI307" s="36">
        <f t="shared" si="206"/>
        <v>0</v>
      </c>
      <c r="AJ307" s="36">
        <f t="shared" si="252"/>
        <v>0</v>
      </c>
      <c r="AK307" s="36">
        <v>0</v>
      </c>
      <c r="AL307" s="36">
        <v>0</v>
      </c>
      <c r="AM307" s="36">
        <v>0</v>
      </c>
      <c r="AN307" s="36">
        <v>0</v>
      </c>
      <c r="AO307" s="34">
        <f t="shared" si="246"/>
        <v>3.3106039999999996E-2</v>
      </c>
      <c r="AP307" s="34">
        <v>0</v>
      </c>
      <c r="AQ307" s="34">
        <v>1.7750209999999999E-2</v>
      </c>
      <c r="AR307" s="34">
        <v>1.5355829999999999E-2</v>
      </c>
      <c r="AS307" s="34">
        <v>0</v>
      </c>
      <c r="AT307" s="34">
        <f t="shared" si="250"/>
        <v>0</v>
      </c>
      <c r="AU307" s="34">
        <v>0</v>
      </c>
      <c r="AV307" s="34">
        <v>0</v>
      </c>
      <c r="AW307" s="34">
        <v>0</v>
      </c>
      <c r="AX307" s="34">
        <v>0</v>
      </c>
      <c r="AY307" s="34">
        <f t="shared" si="251"/>
        <v>0</v>
      </c>
      <c r="AZ307" s="34">
        <v>0</v>
      </c>
      <c r="BA307" s="34">
        <v>0</v>
      </c>
      <c r="BB307" s="34">
        <v>0</v>
      </c>
      <c r="BC307" s="34">
        <v>0</v>
      </c>
    </row>
    <row r="308" spans="1:55" s="55" customFormat="1" ht="31.5" customHeight="1" x14ac:dyDescent="0.25">
      <c r="A308" s="110" t="s">
        <v>235</v>
      </c>
      <c r="B308" s="96" t="s">
        <v>538</v>
      </c>
      <c r="C308" s="99" t="s">
        <v>541</v>
      </c>
      <c r="D308" s="88">
        <v>0</v>
      </c>
      <c r="E308" s="29">
        <f t="shared" si="207"/>
        <v>0.127711992</v>
      </c>
      <c r="F308" s="29">
        <f t="shared" si="207"/>
        <v>0</v>
      </c>
      <c r="G308" s="29">
        <f t="shared" si="207"/>
        <v>0.10735199999999999</v>
      </c>
      <c r="H308" s="29">
        <f t="shared" si="204"/>
        <v>2.0359992E-2</v>
      </c>
      <c r="I308" s="29">
        <f t="shared" si="204"/>
        <v>0</v>
      </c>
      <c r="J308" s="29">
        <f t="shared" si="239"/>
        <v>2.33124E-2</v>
      </c>
      <c r="K308" s="29">
        <v>0</v>
      </c>
      <c r="L308" s="29">
        <f>19.427/1000*1.2</f>
        <v>2.33124E-2</v>
      </c>
      <c r="M308" s="29">
        <v>0</v>
      </c>
      <c r="N308" s="29">
        <v>0</v>
      </c>
      <c r="O308" s="29">
        <f t="shared" si="247"/>
        <v>0.10439959199999999</v>
      </c>
      <c r="P308" s="29">
        <v>0</v>
      </c>
      <c r="Q308" s="29">
        <v>8.4039599999999992E-2</v>
      </c>
      <c r="R308" s="29">
        <v>2.0359992E-2</v>
      </c>
      <c r="S308" s="29">
        <v>0</v>
      </c>
      <c r="T308" s="30">
        <f>U308+V308+W308+X308</f>
        <v>0</v>
      </c>
      <c r="U308" s="30">
        <v>0</v>
      </c>
      <c r="V308" s="30">
        <v>0</v>
      </c>
      <c r="W308" s="30">
        <v>0</v>
      </c>
      <c r="X308" s="30">
        <v>0</v>
      </c>
      <c r="Y308" s="30">
        <f>Z308+AA308+AB308+AC308</f>
        <v>0</v>
      </c>
      <c r="Z308" s="30">
        <v>0</v>
      </c>
      <c r="AA308" s="30">
        <v>0</v>
      </c>
      <c r="AB308" s="30">
        <v>0</v>
      </c>
      <c r="AC308" s="34">
        <v>0</v>
      </c>
      <c r="AD308" s="36">
        <v>0</v>
      </c>
      <c r="AE308" s="36">
        <f t="shared" si="208"/>
        <v>0.10642666000000001</v>
      </c>
      <c r="AF308" s="36">
        <f t="shared" si="208"/>
        <v>0</v>
      </c>
      <c r="AG308" s="36">
        <f t="shared" si="208"/>
        <v>8.9459999999999998E-2</v>
      </c>
      <c r="AH308" s="36">
        <f t="shared" si="206"/>
        <v>1.6966660000000001E-2</v>
      </c>
      <c r="AI308" s="36">
        <f t="shared" si="206"/>
        <v>0</v>
      </c>
      <c r="AJ308" s="36">
        <f t="shared" si="252"/>
        <v>0</v>
      </c>
      <c r="AK308" s="36">
        <v>0</v>
      </c>
      <c r="AL308" s="36">
        <v>0</v>
      </c>
      <c r="AM308" s="36">
        <v>0</v>
      </c>
      <c r="AN308" s="36">
        <v>0</v>
      </c>
      <c r="AO308" s="34">
        <f t="shared" si="246"/>
        <v>0.10642666000000001</v>
      </c>
      <c r="AP308" s="34">
        <v>0</v>
      </c>
      <c r="AQ308" s="34">
        <v>8.9459999999999998E-2</v>
      </c>
      <c r="AR308" s="34">
        <v>1.6966660000000001E-2</v>
      </c>
      <c r="AS308" s="34">
        <v>0</v>
      </c>
      <c r="AT308" s="34">
        <f>AU308+AV308+AW308+AX308</f>
        <v>0</v>
      </c>
      <c r="AU308" s="34">
        <v>0</v>
      </c>
      <c r="AV308" s="34">
        <v>0</v>
      </c>
      <c r="AW308" s="34">
        <v>0</v>
      </c>
      <c r="AX308" s="34">
        <v>0</v>
      </c>
      <c r="AY308" s="34">
        <f>AZ308+BA308+BB308+BC308</f>
        <v>0</v>
      </c>
      <c r="AZ308" s="34">
        <v>0</v>
      </c>
      <c r="BA308" s="34">
        <v>0</v>
      </c>
      <c r="BB308" s="34">
        <v>0</v>
      </c>
      <c r="BC308" s="34">
        <v>0</v>
      </c>
    </row>
    <row r="309" spans="1:55" s="55" customFormat="1" ht="31.5" customHeight="1" x14ac:dyDescent="0.25">
      <c r="A309" s="110" t="s">
        <v>235</v>
      </c>
      <c r="B309" s="96" t="s">
        <v>540</v>
      </c>
      <c r="C309" s="99" t="s">
        <v>543</v>
      </c>
      <c r="D309" s="88">
        <v>0</v>
      </c>
      <c r="E309" s="29">
        <f t="shared" si="207"/>
        <v>0.23487442799999997</v>
      </c>
      <c r="F309" s="29">
        <f t="shared" si="207"/>
        <v>0</v>
      </c>
      <c r="G309" s="29">
        <f t="shared" si="207"/>
        <v>0.1537308</v>
      </c>
      <c r="H309" s="29">
        <f t="shared" si="204"/>
        <v>8.1143628000000009E-2</v>
      </c>
      <c r="I309" s="29">
        <f t="shared" si="204"/>
        <v>0</v>
      </c>
      <c r="J309" s="29">
        <f t="shared" si="239"/>
        <v>2.81724E-2</v>
      </c>
      <c r="K309" s="29">
        <v>0</v>
      </c>
      <c r="L309" s="29">
        <f>23.477/1000*1.2</f>
        <v>2.81724E-2</v>
      </c>
      <c r="M309" s="29">
        <v>0</v>
      </c>
      <c r="N309" s="29">
        <v>0</v>
      </c>
      <c r="O309" s="29">
        <f t="shared" si="247"/>
        <v>0.20670202799999998</v>
      </c>
      <c r="P309" s="29">
        <v>0</v>
      </c>
      <c r="Q309" s="29">
        <v>0.12555839999999999</v>
      </c>
      <c r="R309" s="29">
        <v>8.1143628000000009E-2</v>
      </c>
      <c r="S309" s="29">
        <v>0</v>
      </c>
      <c r="T309" s="30">
        <f t="shared" ref="T309:T354" si="253">U309+V309+W309+X309</f>
        <v>0</v>
      </c>
      <c r="U309" s="30">
        <v>0</v>
      </c>
      <c r="V309" s="30">
        <v>0</v>
      </c>
      <c r="W309" s="30">
        <v>0</v>
      </c>
      <c r="X309" s="30">
        <v>0</v>
      </c>
      <c r="Y309" s="30">
        <f t="shared" ref="Y309:Y354" si="254">Z309+AA309+AB309+AC309</f>
        <v>0</v>
      </c>
      <c r="Z309" s="30">
        <v>0</v>
      </c>
      <c r="AA309" s="30">
        <v>0</v>
      </c>
      <c r="AB309" s="30">
        <v>0</v>
      </c>
      <c r="AC309" s="34">
        <v>0</v>
      </c>
      <c r="AD309" s="36">
        <v>0</v>
      </c>
      <c r="AE309" s="36">
        <f t="shared" si="208"/>
        <v>0.19572869000000001</v>
      </c>
      <c r="AF309" s="36">
        <f t="shared" si="208"/>
        <v>0</v>
      </c>
      <c r="AG309" s="36">
        <f t="shared" si="208"/>
        <v>0.128109</v>
      </c>
      <c r="AH309" s="36">
        <f t="shared" si="206"/>
        <v>6.761969000000001E-2</v>
      </c>
      <c r="AI309" s="36">
        <f t="shared" si="206"/>
        <v>0</v>
      </c>
      <c r="AJ309" s="36">
        <f t="shared" si="252"/>
        <v>0</v>
      </c>
      <c r="AK309" s="36">
        <v>0</v>
      </c>
      <c r="AL309" s="36">
        <v>0</v>
      </c>
      <c r="AM309" s="36">
        <v>0</v>
      </c>
      <c r="AN309" s="36">
        <v>0</v>
      </c>
      <c r="AO309" s="34">
        <f t="shared" si="246"/>
        <v>0.19572869000000001</v>
      </c>
      <c r="AP309" s="34">
        <v>0</v>
      </c>
      <c r="AQ309" s="34">
        <v>0.128109</v>
      </c>
      <c r="AR309" s="34">
        <v>6.761969000000001E-2</v>
      </c>
      <c r="AS309" s="34">
        <v>0</v>
      </c>
      <c r="AT309" s="34">
        <f t="shared" ref="AT309:AT354" si="255">AU309+AV309+AW309+AX309</f>
        <v>0</v>
      </c>
      <c r="AU309" s="34">
        <v>0</v>
      </c>
      <c r="AV309" s="34">
        <v>0</v>
      </c>
      <c r="AW309" s="34">
        <v>0</v>
      </c>
      <c r="AX309" s="34">
        <v>0</v>
      </c>
      <c r="AY309" s="34">
        <f t="shared" ref="AY309:AY354" si="256">AZ309+BA309+BB309+BC309</f>
        <v>0</v>
      </c>
      <c r="AZ309" s="34">
        <v>0</v>
      </c>
      <c r="BA309" s="34">
        <v>0</v>
      </c>
      <c r="BB309" s="34">
        <v>0</v>
      </c>
      <c r="BC309" s="34">
        <v>0</v>
      </c>
    </row>
    <row r="310" spans="1:55" s="55" customFormat="1" ht="31.5" customHeight="1" x14ac:dyDescent="0.25">
      <c r="A310" s="110" t="s">
        <v>235</v>
      </c>
      <c r="B310" s="96" t="s">
        <v>542</v>
      </c>
      <c r="C310" s="99" t="s">
        <v>650</v>
      </c>
      <c r="D310" s="88">
        <v>0</v>
      </c>
      <c r="E310" s="29">
        <f t="shared" si="207"/>
        <v>0.12192470400000001</v>
      </c>
      <c r="F310" s="29">
        <f t="shared" si="207"/>
        <v>0</v>
      </c>
      <c r="G310" s="29">
        <f t="shared" si="207"/>
        <v>0.11270400000000001</v>
      </c>
      <c r="H310" s="29">
        <f t="shared" si="204"/>
        <v>9.2207039999999997E-3</v>
      </c>
      <c r="I310" s="29">
        <f t="shared" si="204"/>
        <v>0</v>
      </c>
      <c r="J310" s="29">
        <f t="shared" si="239"/>
        <v>2.4475199999999999E-2</v>
      </c>
      <c r="K310" s="29">
        <v>0</v>
      </c>
      <c r="L310" s="29">
        <f>20.396/1000*1.2</f>
        <v>2.4475199999999999E-2</v>
      </c>
      <c r="M310" s="29">
        <v>0</v>
      </c>
      <c r="N310" s="29">
        <v>0</v>
      </c>
      <c r="O310" s="29">
        <f t="shared" si="247"/>
        <v>9.7449504000000006E-2</v>
      </c>
      <c r="P310" s="29">
        <v>0</v>
      </c>
      <c r="Q310" s="29">
        <v>8.822880000000001E-2</v>
      </c>
      <c r="R310" s="29">
        <v>9.2207039999999997E-3</v>
      </c>
      <c r="S310" s="29">
        <v>0</v>
      </c>
      <c r="T310" s="30">
        <f t="shared" si="253"/>
        <v>0</v>
      </c>
      <c r="U310" s="30">
        <v>0</v>
      </c>
      <c r="V310" s="30">
        <v>0</v>
      </c>
      <c r="W310" s="30">
        <v>0</v>
      </c>
      <c r="X310" s="30">
        <v>0</v>
      </c>
      <c r="Y310" s="30">
        <f t="shared" si="254"/>
        <v>0</v>
      </c>
      <c r="Z310" s="30">
        <v>0</v>
      </c>
      <c r="AA310" s="30">
        <v>0</v>
      </c>
      <c r="AB310" s="30">
        <v>0</v>
      </c>
      <c r="AC310" s="34">
        <v>0</v>
      </c>
      <c r="AD310" s="36">
        <v>0</v>
      </c>
      <c r="AE310" s="36">
        <f t="shared" si="208"/>
        <v>0.10160392</v>
      </c>
      <c r="AF310" s="36">
        <f t="shared" si="208"/>
        <v>0</v>
      </c>
      <c r="AG310" s="36">
        <f t="shared" si="208"/>
        <v>9.3920000000000003E-2</v>
      </c>
      <c r="AH310" s="36">
        <f t="shared" si="206"/>
        <v>7.6839200000000003E-3</v>
      </c>
      <c r="AI310" s="36">
        <f t="shared" si="206"/>
        <v>0</v>
      </c>
      <c r="AJ310" s="36">
        <f t="shared" si="252"/>
        <v>0</v>
      </c>
      <c r="AK310" s="36">
        <v>0</v>
      </c>
      <c r="AL310" s="36">
        <v>0</v>
      </c>
      <c r="AM310" s="36">
        <v>0</v>
      </c>
      <c r="AN310" s="36">
        <v>0</v>
      </c>
      <c r="AO310" s="34">
        <f t="shared" si="246"/>
        <v>0.10160392</v>
      </c>
      <c r="AP310" s="34">
        <v>0</v>
      </c>
      <c r="AQ310" s="34">
        <v>9.3920000000000003E-2</v>
      </c>
      <c r="AR310" s="34">
        <v>7.6839200000000003E-3</v>
      </c>
      <c r="AS310" s="34">
        <v>0</v>
      </c>
      <c r="AT310" s="34">
        <f t="shared" si="255"/>
        <v>0</v>
      </c>
      <c r="AU310" s="34">
        <v>0</v>
      </c>
      <c r="AV310" s="34">
        <v>0</v>
      </c>
      <c r="AW310" s="34">
        <v>0</v>
      </c>
      <c r="AX310" s="34">
        <v>0</v>
      </c>
      <c r="AY310" s="34">
        <f t="shared" si="256"/>
        <v>0</v>
      </c>
      <c r="AZ310" s="34">
        <v>0</v>
      </c>
      <c r="BA310" s="34">
        <v>0</v>
      </c>
      <c r="BB310" s="34">
        <v>0</v>
      </c>
      <c r="BC310" s="34">
        <v>0</v>
      </c>
    </row>
    <row r="311" spans="1:55" s="55" customFormat="1" ht="31.5" customHeight="1" x14ac:dyDescent="0.25">
      <c r="A311" s="110" t="s">
        <v>305</v>
      </c>
      <c r="B311" s="96" t="s">
        <v>649</v>
      </c>
      <c r="C311" s="99" t="s">
        <v>792</v>
      </c>
      <c r="D311" s="88">
        <v>0</v>
      </c>
      <c r="E311" s="29">
        <f t="shared" si="207"/>
        <v>0.24991691999999999</v>
      </c>
      <c r="F311" s="29">
        <f t="shared" si="207"/>
        <v>0</v>
      </c>
      <c r="G311" s="29">
        <f t="shared" si="207"/>
        <v>7.9741799999999988E-2</v>
      </c>
      <c r="H311" s="29">
        <f t="shared" si="204"/>
        <v>0.17017512000000001</v>
      </c>
      <c r="I311" s="29">
        <f t="shared" si="204"/>
        <v>0</v>
      </c>
      <c r="J311" s="29">
        <f t="shared" si="239"/>
        <v>0</v>
      </c>
      <c r="K311" s="29">
        <v>0</v>
      </c>
      <c r="L311" s="29">
        <v>0</v>
      </c>
      <c r="M311" s="29">
        <v>0</v>
      </c>
      <c r="N311" s="29">
        <v>0</v>
      </c>
      <c r="O311" s="29">
        <v>0</v>
      </c>
      <c r="P311" s="29">
        <v>0</v>
      </c>
      <c r="Q311" s="29">
        <v>0</v>
      </c>
      <c r="R311" s="29">
        <v>0</v>
      </c>
      <c r="S311" s="29">
        <v>0</v>
      </c>
      <c r="T311" s="30">
        <f t="shared" si="253"/>
        <v>0.24991691999999999</v>
      </c>
      <c r="U311" s="30">
        <v>0</v>
      </c>
      <c r="V311" s="30">
        <v>7.9741799999999988E-2</v>
      </c>
      <c r="W311" s="30">
        <v>0.17017512000000001</v>
      </c>
      <c r="X311" s="30">
        <v>0</v>
      </c>
      <c r="Y311" s="30">
        <f t="shared" si="254"/>
        <v>0</v>
      </c>
      <c r="Z311" s="30">
        <v>0</v>
      </c>
      <c r="AA311" s="30">
        <v>0</v>
      </c>
      <c r="AB311" s="30">
        <v>0</v>
      </c>
      <c r="AC311" s="34">
        <v>0</v>
      </c>
      <c r="AD311" s="36">
        <v>0</v>
      </c>
      <c r="AE311" s="36">
        <f t="shared" si="208"/>
        <v>0.20826410000000001</v>
      </c>
      <c r="AF311" s="36">
        <f t="shared" si="208"/>
        <v>0</v>
      </c>
      <c r="AG311" s="36">
        <f t="shared" si="208"/>
        <v>6.6451499999999997E-2</v>
      </c>
      <c r="AH311" s="36">
        <f t="shared" si="206"/>
        <v>0.14181260000000001</v>
      </c>
      <c r="AI311" s="36">
        <f t="shared" si="206"/>
        <v>0</v>
      </c>
      <c r="AJ311" s="36">
        <v>0</v>
      </c>
      <c r="AK311" s="36">
        <v>0</v>
      </c>
      <c r="AL311" s="36">
        <v>0</v>
      </c>
      <c r="AM311" s="36">
        <v>0</v>
      </c>
      <c r="AN311" s="36">
        <v>0</v>
      </c>
      <c r="AO311" s="34">
        <v>0</v>
      </c>
      <c r="AP311" s="34">
        <v>0</v>
      </c>
      <c r="AQ311" s="34">
        <v>0</v>
      </c>
      <c r="AR311" s="34">
        <v>0</v>
      </c>
      <c r="AS311" s="34">
        <v>0</v>
      </c>
      <c r="AT311" s="34">
        <f t="shared" si="255"/>
        <v>0.20826410000000001</v>
      </c>
      <c r="AU311" s="34">
        <v>0</v>
      </c>
      <c r="AV311" s="34">
        <v>6.6451499999999997E-2</v>
      </c>
      <c r="AW311" s="34">
        <v>0.14181260000000001</v>
      </c>
      <c r="AX311" s="34">
        <v>0</v>
      </c>
      <c r="AY311" s="34">
        <f t="shared" si="256"/>
        <v>0</v>
      </c>
      <c r="AZ311" s="34">
        <v>0</v>
      </c>
      <c r="BA311" s="34">
        <v>0</v>
      </c>
      <c r="BB311" s="34">
        <v>0</v>
      </c>
      <c r="BC311" s="34">
        <v>0</v>
      </c>
    </row>
    <row r="312" spans="1:55" s="55" customFormat="1" ht="31.5" customHeight="1" x14ac:dyDescent="0.25">
      <c r="A312" s="110" t="s">
        <v>305</v>
      </c>
      <c r="B312" s="96" t="s">
        <v>651</v>
      </c>
      <c r="C312" s="99" t="s">
        <v>652</v>
      </c>
      <c r="D312" s="88">
        <v>0</v>
      </c>
      <c r="E312" s="29">
        <f t="shared" si="207"/>
        <v>0</v>
      </c>
      <c r="F312" s="29">
        <f t="shared" si="207"/>
        <v>0</v>
      </c>
      <c r="G312" s="29">
        <f t="shared" si="207"/>
        <v>0</v>
      </c>
      <c r="H312" s="29">
        <f t="shared" si="204"/>
        <v>0</v>
      </c>
      <c r="I312" s="29">
        <f t="shared" si="204"/>
        <v>0</v>
      </c>
      <c r="J312" s="29">
        <f t="shared" si="239"/>
        <v>0</v>
      </c>
      <c r="K312" s="29">
        <v>0</v>
      </c>
      <c r="L312" s="29">
        <v>0</v>
      </c>
      <c r="M312" s="29">
        <v>0</v>
      </c>
      <c r="N312" s="29">
        <v>0</v>
      </c>
      <c r="O312" s="29">
        <v>0</v>
      </c>
      <c r="P312" s="29">
        <v>0</v>
      </c>
      <c r="Q312" s="29">
        <v>0</v>
      </c>
      <c r="R312" s="29">
        <v>0</v>
      </c>
      <c r="S312" s="29">
        <v>0</v>
      </c>
      <c r="T312" s="30">
        <f t="shared" si="253"/>
        <v>0</v>
      </c>
      <c r="U312" s="30">
        <v>0</v>
      </c>
      <c r="V312" s="30">
        <v>0</v>
      </c>
      <c r="W312" s="30">
        <v>0</v>
      </c>
      <c r="X312" s="30">
        <v>0</v>
      </c>
      <c r="Y312" s="30">
        <f t="shared" si="254"/>
        <v>0</v>
      </c>
      <c r="Z312" s="30">
        <v>0</v>
      </c>
      <c r="AA312" s="30">
        <v>0</v>
      </c>
      <c r="AB312" s="30">
        <v>0</v>
      </c>
      <c r="AC312" s="34">
        <v>0</v>
      </c>
      <c r="AD312" s="36">
        <v>0</v>
      </c>
      <c r="AE312" s="36">
        <f t="shared" si="208"/>
        <v>1.6960851400000001</v>
      </c>
      <c r="AF312" s="36">
        <f t="shared" si="208"/>
        <v>0</v>
      </c>
      <c r="AG312" s="36">
        <f t="shared" si="208"/>
        <v>0.92536927000000002</v>
      </c>
      <c r="AH312" s="36">
        <f t="shared" si="206"/>
        <v>0.77071586999999997</v>
      </c>
      <c r="AI312" s="36">
        <f t="shared" si="206"/>
        <v>0</v>
      </c>
      <c r="AJ312" s="36">
        <v>0</v>
      </c>
      <c r="AK312" s="36">
        <v>0</v>
      </c>
      <c r="AL312" s="36">
        <v>0</v>
      </c>
      <c r="AM312" s="36">
        <v>0</v>
      </c>
      <c r="AN312" s="36">
        <v>0</v>
      </c>
      <c r="AO312" s="34">
        <v>0</v>
      </c>
      <c r="AP312" s="34">
        <v>0</v>
      </c>
      <c r="AQ312" s="34">
        <v>0</v>
      </c>
      <c r="AR312" s="34">
        <v>0</v>
      </c>
      <c r="AS312" s="34">
        <v>0</v>
      </c>
      <c r="AT312" s="34">
        <f t="shared" si="255"/>
        <v>1.6960851400000001</v>
      </c>
      <c r="AU312" s="34">
        <v>0</v>
      </c>
      <c r="AV312" s="34">
        <v>0.92536927000000002</v>
      </c>
      <c r="AW312" s="34">
        <v>0.77071586999999997</v>
      </c>
      <c r="AX312" s="34">
        <v>0</v>
      </c>
      <c r="AY312" s="34">
        <f t="shared" si="256"/>
        <v>0</v>
      </c>
      <c r="AZ312" s="34">
        <v>0</v>
      </c>
      <c r="BA312" s="34">
        <v>0</v>
      </c>
      <c r="BB312" s="34">
        <v>0</v>
      </c>
      <c r="BC312" s="34">
        <v>0</v>
      </c>
    </row>
    <row r="313" spans="1:55" s="55" customFormat="1" ht="31.5" customHeight="1" x14ac:dyDescent="0.25">
      <c r="A313" s="110" t="s">
        <v>305</v>
      </c>
      <c r="B313" s="96" t="s">
        <v>653</v>
      </c>
      <c r="C313" s="99" t="s">
        <v>793</v>
      </c>
      <c r="D313" s="88">
        <v>0</v>
      </c>
      <c r="E313" s="29">
        <f t="shared" si="207"/>
        <v>0.189503112</v>
      </c>
      <c r="F313" s="29">
        <f t="shared" si="207"/>
        <v>0</v>
      </c>
      <c r="G313" s="29">
        <f t="shared" si="207"/>
        <v>6.5466408000000004E-2</v>
      </c>
      <c r="H313" s="29">
        <f t="shared" si="204"/>
        <v>0.124036704</v>
      </c>
      <c r="I313" s="29">
        <f t="shared" si="204"/>
        <v>0</v>
      </c>
      <c r="J313" s="29">
        <f t="shared" si="239"/>
        <v>0</v>
      </c>
      <c r="K313" s="29">
        <v>0</v>
      </c>
      <c r="L313" s="29">
        <v>0</v>
      </c>
      <c r="M313" s="29">
        <v>0</v>
      </c>
      <c r="N313" s="29">
        <v>0</v>
      </c>
      <c r="O313" s="29">
        <v>0</v>
      </c>
      <c r="P313" s="29">
        <v>0</v>
      </c>
      <c r="Q313" s="29">
        <v>0</v>
      </c>
      <c r="R313" s="29">
        <v>0</v>
      </c>
      <c r="S313" s="29">
        <v>0</v>
      </c>
      <c r="T313" s="30">
        <f t="shared" si="253"/>
        <v>0.189503112</v>
      </c>
      <c r="U313" s="30">
        <v>0</v>
      </c>
      <c r="V313" s="30">
        <v>6.5466408000000004E-2</v>
      </c>
      <c r="W313" s="30">
        <v>0.124036704</v>
      </c>
      <c r="X313" s="30">
        <v>0</v>
      </c>
      <c r="Y313" s="30">
        <f t="shared" si="254"/>
        <v>0</v>
      </c>
      <c r="Z313" s="30">
        <v>0</v>
      </c>
      <c r="AA313" s="30">
        <v>0</v>
      </c>
      <c r="AB313" s="30">
        <v>0</v>
      </c>
      <c r="AC313" s="34">
        <v>0</v>
      </c>
      <c r="AD313" s="36">
        <v>0</v>
      </c>
      <c r="AE313" s="36">
        <f t="shared" si="208"/>
        <v>0.15791926000000001</v>
      </c>
      <c r="AF313" s="36">
        <f t="shared" si="208"/>
        <v>0</v>
      </c>
      <c r="AG313" s="36">
        <f t="shared" si="208"/>
        <v>5.4555340000000001E-2</v>
      </c>
      <c r="AH313" s="36">
        <f t="shared" si="206"/>
        <v>0.10336392</v>
      </c>
      <c r="AI313" s="36">
        <f t="shared" si="206"/>
        <v>0</v>
      </c>
      <c r="AJ313" s="36">
        <v>0</v>
      </c>
      <c r="AK313" s="36">
        <v>0</v>
      </c>
      <c r="AL313" s="36">
        <v>0</v>
      </c>
      <c r="AM313" s="36">
        <v>0</v>
      </c>
      <c r="AN313" s="36">
        <v>0</v>
      </c>
      <c r="AO313" s="34">
        <v>0</v>
      </c>
      <c r="AP313" s="34">
        <v>0</v>
      </c>
      <c r="AQ313" s="34">
        <v>0</v>
      </c>
      <c r="AR313" s="34">
        <v>0</v>
      </c>
      <c r="AS313" s="34">
        <v>0</v>
      </c>
      <c r="AT313" s="34">
        <f t="shared" si="255"/>
        <v>0.15791926000000001</v>
      </c>
      <c r="AU313" s="34">
        <v>0</v>
      </c>
      <c r="AV313" s="34">
        <v>5.4555340000000001E-2</v>
      </c>
      <c r="AW313" s="34">
        <v>0.10336392</v>
      </c>
      <c r="AX313" s="34">
        <v>0</v>
      </c>
      <c r="AY313" s="34">
        <f t="shared" si="256"/>
        <v>0</v>
      </c>
      <c r="AZ313" s="34">
        <v>0</v>
      </c>
      <c r="BA313" s="34">
        <v>0</v>
      </c>
      <c r="BB313" s="34">
        <v>0</v>
      </c>
      <c r="BC313" s="34">
        <v>0</v>
      </c>
    </row>
    <row r="314" spans="1:55" s="55" customFormat="1" ht="31.5" customHeight="1" x14ac:dyDescent="0.25">
      <c r="A314" s="110" t="s">
        <v>305</v>
      </c>
      <c r="B314" s="96" t="s">
        <v>794</v>
      </c>
      <c r="C314" s="99" t="s">
        <v>795</v>
      </c>
      <c r="D314" s="88">
        <v>0</v>
      </c>
      <c r="E314" s="29">
        <f t="shared" si="207"/>
        <v>1.2371868239999999</v>
      </c>
      <c r="F314" s="29">
        <f t="shared" si="207"/>
        <v>0</v>
      </c>
      <c r="G314" s="29">
        <f t="shared" si="207"/>
        <v>0.14643954000000001</v>
      </c>
      <c r="H314" s="29">
        <f t="shared" si="204"/>
        <v>1.0907472839999999</v>
      </c>
      <c r="I314" s="29">
        <f t="shared" si="204"/>
        <v>0</v>
      </c>
      <c r="J314" s="29">
        <f t="shared" si="239"/>
        <v>0</v>
      </c>
      <c r="K314" s="29">
        <v>0</v>
      </c>
      <c r="L314" s="29">
        <v>0</v>
      </c>
      <c r="M314" s="29">
        <v>0</v>
      </c>
      <c r="N314" s="29">
        <v>0</v>
      </c>
      <c r="O314" s="29">
        <v>0</v>
      </c>
      <c r="P314" s="29">
        <v>0</v>
      </c>
      <c r="Q314" s="29">
        <v>0</v>
      </c>
      <c r="R314" s="29">
        <v>0</v>
      </c>
      <c r="S314" s="29">
        <v>0</v>
      </c>
      <c r="T314" s="30">
        <f t="shared" si="253"/>
        <v>0</v>
      </c>
      <c r="U314" s="30">
        <v>0</v>
      </c>
      <c r="V314" s="30">
        <v>0</v>
      </c>
      <c r="W314" s="30">
        <v>0</v>
      </c>
      <c r="X314" s="30">
        <v>0</v>
      </c>
      <c r="Y314" s="30">
        <f>Z314+AA314+AB314+AC314</f>
        <v>1.2371868239999999</v>
      </c>
      <c r="Z314" s="30">
        <v>0</v>
      </c>
      <c r="AA314" s="30">
        <v>0.14643954000000001</v>
      </c>
      <c r="AB314" s="30">
        <v>1.0907472839999999</v>
      </c>
      <c r="AC314" s="34">
        <v>0</v>
      </c>
      <c r="AD314" s="36">
        <v>0</v>
      </c>
      <c r="AE314" s="36">
        <f t="shared" si="208"/>
        <v>1.03098902</v>
      </c>
      <c r="AF314" s="36">
        <f t="shared" si="208"/>
        <v>0</v>
      </c>
      <c r="AG314" s="36">
        <f t="shared" si="208"/>
        <v>0.12203295</v>
      </c>
      <c r="AH314" s="36">
        <f t="shared" si="206"/>
        <v>0.90895607</v>
      </c>
      <c r="AI314" s="36">
        <f t="shared" si="206"/>
        <v>0</v>
      </c>
      <c r="AJ314" s="36">
        <v>0</v>
      </c>
      <c r="AK314" s="36">
        <v>0</v>
      </c>
      <c r="AL314" s="36">
        <v>0</v>
      </c>
      <c r="AM314" s="36">
        <v>0</v>
      </c>
      <c r="AN314" s="36">
        <v>0</v>
      </c>
      <c r="AO314" s="34">
        <v>0</v>
      </c>
      <c r="AP314" s="34">
        <v>0</v>
      </c>
      <c r="AQ314" s="34">
        <v>0</v>
      </c>
      <c r="AR314" s="34">
        <v>0</v>
      </c>
      <c r="AS314" s="34">
        <v>0</v>
      </c>
      <c r="AT314" s="34">
        <v>0</v>
      </c>
      <c r="AU314" s="34">
        <v>0</v>
      </c>
      <c r="AV314" s="34">
        <v>0</v>
      </c>
      <c r="AW314" s="34">
        <v>0</v>
      </c>
      <c r="AX314" s="34">
        <v>0</v>
      </c>
      <c r="AY314" s="34">
        <f>AZ314+BA314+BB314+BC314</f>
        <v>1.03098902</v>
      </c>
      <c r="AZ314" s="34">
        <v>0</v>
      </c>
      <c r="BA314" s="34">
        <v>0.12203295</v>
      </c>
      <c r="BB314" s="34">
        <v>0.90895607</v>
      </c>
      <c r="BC314" s="34">
        <v>0</v>
      </c>
    </row>
    <row r="315" spans="1:55" s="55" customFormat="1" ht="31.5" customHeight="1" x14ac:dyDescent="0.25">
      <c r="A315" s="110" t="s">
        <v>235</v>
      </c>
      <c r="B315" s="96" t="s">
        <v>796</v>
      </c>
      <c r="C315" s="99" t="s">
        <v>797</v>
      </c>
      <c r="D315" s="88">
        <v>0</v>
      </c>
      <c r="E315" s="29">
        <f t="shared" si="207"/>
        <v>3.0632435999999999E-2</v>
      </c>
      <c r="F315" s="29">
        <f t="shared" si="207"/>
        <v>0</v>
      </c>
      <c r="G315" s="29">
        <f t="shared" si="207"/>
        <v>1.5941436E-2</v>
      </c>
      <c r="H315" s="29">
        <f t="shared" si="204"/>
        <v>1.4690999999999999E-2</v>
      </c>
      <c r="I315" s="29">
        <f t="shared" si="204"/>
        <v>0</v>
      </c>
      <c r="J315" s="29">
        <f t="shared" si="239"/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  <c r="P315" s="29">
        <v>0</v>
      </c>
      <c r="Q315" s="29">
        <v>0</v>
      </c>
      <c r="R315" s="29">
        <v>0</v>
      </c>
      <c r="S315" s="29">
        <v>0</v>
      </c>
      <c r="T315" s="30">
        <f t="shared" si="253"/>
        <v>0</v>
      </c>
      <c r="U315" s="30">
        <v>0</v>
      </c>
      <c r="V315" s="30">
        <v>0</v>
      </c>
      <c r="W315" s="30">
        <v>0</v>
      </c>
      <c r="X315" s="30">
        <v>0</v>
      </c>
      <c r="Y315" s="30">
        <f t="shared" ref="Y315" si="257">Z315+AA315+AB315+AC315</f>
        <v>3.0632435999999999E-2</v>
      </c>
      <c r="Z315" s="30">
        <v>0</v>
      </c>
      <c r="AA315" s="30">
        <v>1.5941436E-2</v>
      </c>
      <c r="AB315" s="30">
        <v>1.4690999999999999E-2</v>
      </c>
      <c r="AC315" s="34">
        <v>0</v>
      </c>
      <c r="AD315" s="36">
        <v>0</v>
      </c>
      <c r="AE315" s="36">
        <f t="shared" si="208"/>
        <v>2.5527029999999999E-2</v>
      </c>
      <c r="AF315" s="36">
        <f t="shared" si="208"/>
        <v>0</v>
      </c>
      <c r="AG315" s="36">
        <f t="shared" si="208"/>
        <v>1.3284530000000001E-2</v>
      </c>
      <c r="AH315" s="36">
        <f t="shared" si="206"/>
        <v>1.22425E-2</v>
      </c>
      <c r="AI315" s="36">
        <f t="shared" si="206"/>
        <v>0</v>
      </c>
      <c r="AJ315" s="36">
        <v>0</v>
      </c>
      <c r="AK315" s="36">
        <v>0</v>
      </c>
      <c r="AL315" s="36">
        <v>0</v>
      </c>
      <c r="AM315" s="36">
        <v>0</v>
      </c>
      <c r="AN315" s="36">
        <v>0</v>
      </c>
      <c r="AO315" s="34">
        <v>0</v>
      </c>
      <c r="AP315" s="34">
        <v>0</v>
      </c>
      <c r="AQ315" s="34">
        <v>0</v>
      </c>
      <c r="AR315" s="34">
        <v>0</v>
      </c>
      <c r="AS315" s="34">
        <v>0</v>
      </c>
      <c r="AT315" s="34">
        <v>0</v>
      </c>
      <c r="AU315" s="34">
        <v>0</v>
      </c>
      <c r="AV315" s="34">
        <v>0</v>
      </c>
      <c r="AW315" s="34">
        <v>0</v>
      </c>
      <c r="AX315" s="34">
        <v>0</v>
      </c>
      <c r="AY315" s="34">
        <f t="shared" ref="AY315" si="258">AZ315+BA315+BB315+BC315</f>
        <v>2.5527029999999999E-2</v>
      </c>
      <c r="AZ315" s="34">
        <v>0</v>
      </c>
      <c r="BA315" s="34">
        <v>1.3284530000000001E-2</v>
      </c>
      <c r="BB315" s="34">
        <v>1.22425E-2</v>
      </c>
      <c r="BC315" s="34">
        <v>0</v>
      </c>
    </row>
    <row r="316" spans="1:55" s="55" customFormat="1" ht="31.5" customHeight="1" x14ac:dyDescent="0.25">
      <c r="A316" s="110" t="s">
        <v>235</v>
      </c>
      <c r="B316" s="96" t="s">
        <v>798</v>
      </c>
      <c r="C316" s="99" t="s">
        <v>799</v>
      </c>
      <c r="D316" s="88">
        <v>0</v>
      </c>
      <c r="E316" s="29">
        <f t="shared" si="207"/>
        <v>0.15842091599999999</v>
      </c>
      <c r="F316" s="29">
        <f t="shared" si="207"/>
        <v>0</v>
      </c>
      <c r="G316" s="29">
        <f t="shared" si="207"/>
        <v>6.5757947999999997E-2</v>
      </c>
      <c r="H316" s="29">
        <f t="shared" si="204"/>
        <v>9.2662967999999998E-2</v>
      </c>
      <c r="I316" s="29">
        <f t="shared" si="204"/>
        <v>0</v>
      </c>
      <c r="J316" s="29">
        <f t="shared" si="239"/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  <c r="P316" s="29">
        <v>0</v>
      </c>
      <c r="Q316" s="29">
        <v>0</v>
      </c>
      <c r="R316" s="29">
        <v>0</v>
      </c>
      <c r="S316" s="29">
        <v>0</v>
      </c>
      <c r="T316" s="30">
        <f t="shared" si="253"/>
        <v>0</v>
      </c>
      <c r="U316" s="30">
        <v>0</v>
      </c>
      <c r="V316" s="30">
        <v>0</v>
      </c>
      <c r="W316" s="30">
        <v>0</v>
      </c>
      <c r="X316" s="30">
        <v>0</v>
      </c>
      <c r="Y316" s="30">
        <f>Z316+AA316+AB316+AC316</f>
        <v>0.15842091599999999</v>
      </c>
      <c r="Z316" s="30">
        <v>0</v>
      </c>
      <c r="AA316" s="30">
        <v>6.5757947999999997E-2</v>
      </c>
      <c r="AB316" s="30">
        <v>9.2662967999999998E-2</v>
      </c>
      <c r="AC316" s="34">
        <v>0</v>
      </c>
      <c r="AD316" s="36">
        <v>0</v>
      </c>
      <c r="AE316" s="36">
        <f t="shared" si="208"/>
        <v>0.13201742999999999</v>
      </c>
      <c r="AF316" s="36">
        <f t="shared" si="208"/>
        <v>0</v>
      </c>
      <c r="AG316" s="36">
        <f t="shared" si="208"/>
        <v>5.4798289999999999E-2</v>
      </c>
      <c r="AH316" s="36">
        <f t="shared" si="206"/>
        <v>7.7219139999999992E-2</v>
      </c>
      <c r="AI316" s="36">
        <f t="shared" si="206"/>
        <v>0</v>
      </c>
      <c r="AJ316" s="36">
        <v>0</v>
      </c>
      <c r="AK316" s="36">
        <v>0</v>
      </c>
      <c r="AL316" s="36">
        <v>0</v>
      </c>
      <c r="AM316" s="36">
        <v>0</v>
      </c>
      <c r="AN316" s="36">
        <v>0</v>
      </c>
      <c r="AO316" s="34">
        <v>0</v>
      </c>
      <c r="AP316" s="34">
        <v>0</v>
      </c>
      <c r="AQ316" s="34">
        <v>0</v>
      </c>
      <c r="AR316" s="34">
        <v>0</v>
      </c>
      <c r="AS316" s="34">
        <v>0</v>
      </c>
      <c r="AT316" s="34">
        <v>0</v>
      </c>
      <c r="AU316" s="34">
        <v>0</v>
      </c>
      <c r="AV316" s="34">
        <v>0</v>
      </c>
      <c r="AW316" s="34">
        <v>0</v>
      </c>
      <c r="AX316" s="34">
        <v>0</v>
      </c>
      <c r="AY316" s="34">
        <f>AZ316+BA316+BB316+BC316</f>
        <v>0.13201742999999999</v>
      </c>
      <c r="AZ316" s="34">
        <v>0</v>
      </c>
      <c r="BA316" s="34">
        <v>5.4798289999999999E-2</v>
      </c>
      <c r="BB316" s="34">
        <v>7.7219139999999992E-2</v>
      </c>
      <c r="BC316" s="34">
        <v>0</v>
      </c>
    </row>
    <row r="317" spans="1:55" s="55" customFormat="1" ht="31.5" customHeight="1" x14ac:dyDescent="0.25">
      <c r="A317" s="110" t="s">
        <v>235</v>
      </c>
      <c r="B317" s="96" t="s">
        <v>800</v>
      </c>
      <c r="C317" s="99" t="s">
        <v>801</v>
      </c>
      <c r="D317" s="88">
        <v>0</v>
      </c>
      <c r="E317" s="29">
        <f t="shared" si="207"/>
        <v>1.1733096E-2</v>
      </c>
      <c r="F317" s="29">
        <f t="shared" si="207"/>
        <v>0</v>
      </c>
      <c r="G317" s="29">
        <f t="shared" si="207"/>
        <v>4.1633160000000002E-3</v>
      </c>
      <c r="H317" s="29">
        <f t="shared" si="204"/>
        <v>7.5697799999999999E-3</v>
      </c>
      <c r="I317" s="29">
        <f t="shared" si="204"/>
        <v>0</v>
      </c>
      <c r="J317" s="29">
        <f t="shared" si="239"/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  <c r="P317" s="29">
        <v>0</v>
      </c>
      <c r="Q317" s="29">
        <v>0</v>
      </c>
      <c r="R317" s="29">
        <v>0</v>
      </c>
      <c r="S317" s="29">
        <v>0</v>
      </c>
      <c r="T317" s="30">
        <f t="shared" si="253"/>
        <v>0</v>
      </c>
      <c r="U317" s="30">
        <v>0</v>
      </c>
      <c r="V317" s="30">
        <v>0</v>
      </c>
      <c r="W317" s="30">
        <v>0</v>
      </c>
      <c r="X317" s="30">
        <v>0</v>
      </c>
      <c r="Y317" s="30">
        <f>Z317+AA317+AB317+AC317</f>
        <v>1.1733096E-2</v>
      </c>
      <c r="Z317" s="30">
        <v>0</v>
      </c>
      <c r="AA317" s="30">
        <v>4.1633160000000002E-3</v>
      </c>
      <c r="AB317" s="30">
        <v>7.5697799999999999E-3</v>
      </c>
      <c r="AC317" s="34">
        <v>0</v>
      </c>
      <c r="AD317" s="36">
        <v>0</v>
      </c>
      <c r="AE317" s="36">
        <f t="shared" si="208"/>
        <v>9.777580000000001E-3</v>
      </c>
      <c r="AF317" s="36">
        <f t="shared" si="208"/>
        <v>0</v>
      </c>
      <c r="AG317" s="36">
        <f t="shared" si="208"/>
        <v>3.4694299999999999E-3</v>
      </c>
      <c r="AH317" s="36">
        <f t="shared" si="206"/>
        <v>6.3081500000000002E-3</v>
      </c>
      <c r="AI317" s="36">
        <f t="shared" si="206"/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4">
        <v>0</v>
      </c>
      <c r="AP317" s="34">
        <v>0</v>
      </c>
      <c r="AQ317" s="34">
        <v>0</v>
      </c>
      <c r="AR317" s="34">
        <v>0</v>
      </c>
      <c r="AS317" s="34">
        <v>0</v>
      </c>
      <c r="AT317" s="34">
        <v>0</v>
      </c>
      <c r="AU317" s="34">
        <v>0</v>
      </c>
      <c r="AV317" s="34">
        <v>0</v>
      </c>
      <c r="AW317" s="34">
        <v>0</v>
      </c>
      <c r="AX317" s="34">
        <v>0</v>
      </c>
      <c r="AY317" s="34">
        <f>AZ317+BA317+BB317+BC317</f>
        <v>9.777580000000001E-3</v>
      </c>
      <c r="AZ317" s="34">
        <v>0</v>
      </c>
      <c r="BA317" s="34">
        <v>3.4694299999999999E-3</v>
      </c>
      <c r="BB317" s="34">
        <v>6.3081500000000002E-3</v>
      </c>
      <c r="BC317" s="34">
        <v>0</v>
      </c>
    </row>
    <row r="318" spans="1:55" s="55" customFormat="1" ht="31.5" customHeight="1" x14ac:dyDescent="0.25">
      <c r="A318" s="110" t="s">
        <v>235</v>
      </c>
      <c r="B318" s="96" t="s">
        <v>802</v>
      </c>
      <c r="C318" s="99" t="s">
        <v>803</v>
      </c>
      <c r="D318" s="88">
        <v>0</v>
      </c>
      <c r="E318" s="29">
        <f t="shared" si="207"/>
        <v>4.8000000000000001E-2</v>
      </c>
      <c r="F318" s="29">
        <f t="shared" si="207"/>
        <v>4.8000000000000001E-2</v>
      </c>
      <c r="G318" s="29">
        <f t="shared" si="207"/>
        <v>0</v>
      </c>
      <c r="H318" s="29">
        <f t="shared" si="204"/>
        <v>0</v>
      </c>
      <c r="I318" s="29">
        <f t="shared" si="204"/>
        <v>0</v>
      </c>
      <c r="J318" s="29">
        <f t="shared" si="239"/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  <c r="P318" s="29">
        <v>0</v>
      </c>
      <c r="Q318" s="29">
        <v>0</v>
      </c>
      <c r="R318" s="29">
        <v>0</v>
      </c>
      <c r="S318" s="29">
        <v>0</v>
      </c>
      <c r="T318" s="30">
        <f t="shared" si="253"/>
        <v>4.8000000000000001E-2</v>
      </c>
      <c r="U318" s="30">
        <f>40*1.2/1000</f>
        <v>4.8000000000000001E-2</v>
      </c>
      <c r="V318" s="30">
        <v>0</v>
      </c>
      <c r="W318" s="30">
        <v>0</v>
      </c>
      <c r="X318" s="30">
        <v>0</v>
      </c>
      <c r="Y318" s="30">
        <f>Z318+AA318+AB318+AC318</f>
        <v>0</v>
      </c>
      <c r="Z318" s="30">
        <v>0</v>
      </c>
      <c r="AA318" s="30">
        <v>0</v>
      </c>
      <c r="AB318" s="30">
        <v>0</v>
      </c>
      <c r="AC318" s="34">
        <v>0</v>
      </c>
      <c r="AD318" s="36">
        <v>0</v>
      </c>
      <c r="AE318" s="36">
        <f t="shared" si="208"/>
        <v>0</v>
      </c>
      <c r="AF318" s="36">
        <f t="shared" si="208"/>
        <v>0</v>
      </c>
      <c r="AG318" s="36">
        <f t="shared" si="208"/>
        <v>0</v>
      </c>
      <c r="AH318" s="36">
        <f t="shared" si="206"/>
        <v>0</v>
      </c>
      <c r="AI318" s="36">
        <f t="shared" si="206"/>
        <v>0</v>
      </c>
      <c r="AJ318" s="36">
        <v>0</v>
      </c>
      <c r="AK318" s="36">
        <v>0</v>
      </c>
      <c r="AL318" s="36">
        <v>0</v>
      </c>
      <c r="AM318" s="36">
        <v>0</v>
      </c>
      <c r="AN318" s="36">
        <v>0</v>
      </c>
      <c r="AO318" s="34">
        <v>0</v>
      </c>
      <c r="AP318" s="34">
        <v>0</v>
      </c>
      <c r="AQ318" s="34">
        <v>0</v>
      </c>
      <c r="AR318" s="34">
        <v>0</v>
      </c>
      <c r="AS318" s="34">
        <v>0</v>
      </c>
      <c r="AT318" s="34">
        <v>0</v>
      </c>
      <c r="AU318" s="34">
        <v>0</v>
      </c>
      <c r="AV318" s="34">
        <v>0</v>
      </c>
      <c r="AW318" s="34">
        <v>0</v>
      </c>
      <c r="AX318" s="34">
        <v>0</v>
      </c>
      <c r="AY318" s="34">
        <f t="shared" ref="AY318:AY320" si="259">AZ318+BA318+BB318+BC318</f>
        <v>0</v>
      </c>
      <c r="AZ318" s="34">
        <v>0</v>
      </c>
      <c r="BA318" s="34">
        <v>0</v>
      </c>
      <c r="BB318" s="34">
        <v>0</v>
      </c>
      <c r="BC318" s="34">
        <v>0</v>
      </c>
    </row>
    <row r="319" spans="1:55" s="55" customFormat="1" ht="31.5" customHeight="1" x14ac:dyDescent="0.25">
      <c r="A319" s="110" t="s">
        <v>235</v>
      </c>
      <c r="B319" s="96" t="s">
        <v>804</v>
      </c>
      <c r="C319" s="99" t="s">
        <v>654</v>
      </c>
      <c r="D319" s="88">
        <v>0</v>
      </c>
      <c r="E319" s="29">
        <f t="shared" si="207"/>
        <v>5.2407311999999998E-2</v>
      </c>
      <c r="F319" s="29">
        <f t="shared" si="207"/>
        <v>2.1846083999999998E-2</v>
      </c>
      <c r="G319" s="29">
        <f t="shared" si="207"/>
        <v>3.0561227999999999E-2</v>
      </c>
      <c r="H319" s="29">
        <f t="shared" si="204"/>
        <v>0</v>
      </c>
      <c r="I319" s="29">
        <f t="shared" si="204"/>
        <v>0</v>
      </c>
      <c r="J319" s="29">
        <f t="shared" si="239"/>
        <v>0</v>
      </c>
      <c r="K319" s="29">
        <v>0</v>
      </c>
      <c r="L319" s="29">
        <v>0</v>
      </c>
      <c r="M319" s="29">
        <v>0</v>
      </c>
      <c r="N319" s="29">
        <v>0</v>
      </c>
      <c r="O319" s="29">
        <v>0</v>
      </c>
      <c r="P319" s="29">
        <v>0</v>
      </c>
      <c r="Q319" s="29">
        <v>0</v>
      </c>
      <c r="R319" s="29">
        <v>0</v>
      </c>
      <c r="S319" s="29">
        <v>0</v>
      </c>
      <c r="T319" s="30">
        <v>0</v>
      </c>
      <c r="U319" s="30">
        <v>0</v>
      </c>
      <c r="V319" s="30">
        <v>0</v>
      </c>
      <c r="W319" s="30">
        <v>0</v>
      </c>
      <c r="X319" s="30">
        <v>0</v>
      </c>
      <c r="Y319" s="30">
        <f>Z319+AA319+AB319</f>
        <v>5.2407311999999998E-2</v>
      </c>
      <c r="Z319" s="30">
        <v>2.1846083999999998E-2</v>
      </c>
      <c r="AA319" s="30">
        <v>3.0561227999999999E-2</v>
      </c>
      <c r="AB319" s="30">
        <v>0</v>
      </c>
      <c r="AC319" s="34">
        <v>0</v>
      </c>
      <c r="AD319" s="36">
        <v>0</v>
      </c>
      <c r="AE319" s="36">
        <f t="shared" si="208"/>
        <v>0</v>
      </c>
      <c r="AF319" s="36">
        <f t="shared" si="208"/>
        <v>0</v>
      </c>
      <c r="AG319" s="36">
        <f t="shared" si="208"/>
        <v>0</v>
      </c>
      <c r="AH319" s="36">
        <f t="shared" si="206"/>
        <v>0</v>
      </c>
      <c r="AI319" s="36">
        <f t="shared" si="206"/>
        <v>0</v>
      </c>
      <c r="AJ319" s="36">
        <v>0</v>
      </c>
      <c r="AK319" s="36">
        <v>0</v>
      </c>
      <c r="AL319" s="36">
        <v>0</v>
      </c>
      <c r="AM319" s="36">
        <v>0</v>
      </c>
      <c r="AN319" s="36">
        <v>0</v>
      </c>
      <c r="AO319" s="34">
        <v>0</v>
      </c>
      <c r="AP319" s="34">
        <v>0</v>
      </c>
      <c r="AQ319" s="34">
        <v>0</v>
      </c>
      <c r="AR319" s="34">
        <v>0</v>
      </c>
      <c r="AS319" s="34">
        <v>0</v>
      </c>
      <c r="AT319" s="34">
        <v>0</v>
      </c>
      <c r="AU319" s="34">
        <v>0</v>
      </c>
      <c r="AV319" s="34">
        <v>0</v>
      </c>
      <c r="AW319" s="34">
        <v>0</v>
      </c>
      <c r="AX319" s="34">
        <v>0</v>
      </c>
      <c r="AY319" s="34">
        <f t="shared" si="259"/>
        <v>0</v>
      </c>
      <c r="AZ319" s="34">
        <v>0</v>
      </c>
      <c r="BA319" s="34">
        <v>0</v>
      </c>
      <c r="BB319" s="34">
        <v>0</v>
      </c>
      <c r="BC319" s="34">
        <v>0</v>
      </c>
    </row>
    <row r="320" spans="1:55" s="55" customFormat="1" ht="31.5" customHeight="1" x14ac:dyDescent="0.25">
      <c r="A320" s="110" t="s">
        <v>235</v>
      </c>
      <c r="B320" s="96" t="s">
        <v>805</v>
      </c>
      <c r="C320" s="99" t="s">
        <v>806</v>
      </c>
      <c r="D320" s="88">
        <v>0</v>
      </c>
      <c r="E320" s="29">
        <f t="shared" si="207"/>
        <v>2.1275220000000001E-2</v>
      </c>
      <c r="F320" s="29">
        <f t="shared" si="207"/>
        <v>2.1275220000000001E-2</v>
      </c>
      <c r="G320" s="29">
        <f t="shared" si="207"/>
        <v>0</v>
      </c>
      <c r="H320" s="29">
        <f t="shared" si="207"/>
        <v>0</v>
      </c>
      <c r="I320" s="29">
        <f t="shared" si="207"/>
        <v>0</v>
      </c>
      <c r="J320" s="29">
        <f t="shared" si="239"/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30">
        <v>0</v>
      </c>
      <c r="U320" s="30">
        <v>0</v>
      </c>
      <c r="V320" s="30">
        <v>0</v>
      </c>
      <c r="W320" s="30">
        <v>0</v>
      </c>
      <c r="X320" s="30">
        <v>0</v>
      </c>
      <c r="Y320" s="30">
        <f t="shared" ref="Y320" si="260">Z320+AA320+AB320+AC320</f>
        <v>2.1275220000000001E-2</v>
      </c>
      <c r="Z320" s="30">
        <v>2.1275220000000001E-2</v>
      </c>
      <c r="AA320" s="30">
        <v>0</v>
      </c>
      <c r="AB320" s="30">
        <v>0</v>
      </c>
      <c r="AC320" s="34">
        <v>0</v>
      </c>
      <c r="AD320" s="36">
        <v>0</v>
      </c>
      <c r="AE320" s="36">
        <f t="shared" si="208"/>
        <v>0</v>
      </c>
      <c r="AF320" s="36">
        <f t="shared" si="208"/>
        <v>0</v>
      </c>
      <c r="AG320" s="36">
        <f t="shared" si="208"/>
        <v>0</v>
      </c>
      <c r="AH320" s="36">
        <f t="shared" si="208"/>
        <v>0</v>
      </c>
      <c r="AI320" s="36">
        <f t="shared" si="208"/>
        <v>0</v>
      </c>
      <c r="AJ320" s="36">
        <v>0</v>
      </c>
      <c r="AK320" s="36">
        <v>0</v>
      </c>
      <c r="AL320" s="36">
        <v>0</v>
      </c>
      <c r="AM320" s="36">
        <v>0</v>
      </c>
      <c r="AN320" s="36">
        <v>0</v>
      </c>
      <c r="AO320" s="34">
        <v>0</v>
      </c>
      <c r="AP320" s="34">
        <v>0</v>
      </c>
      <c r="AQ320" s="34">
        <v>0</v>
      </c>
      <c r="AR320" s="34">
        <v>0</v>
      </c>
      <c r="AS320" s="34">
        <v>0</v>
      </c>
      <c r="AT320" s="34">
        <v>0</v>
      </c>
      <c r="AU320" s="34">
        <v>0</v>
      </c>
      <c r="AV320" s="34">
        <v>0</v>
      </c>
      <c r="AW320" s="34">
        <v>0</v>
      </c>
      <c r="AX320" s="34">
        <v>0</v>
      </c>
      <c r="AY320" s="34">
        <f t="shared" si="259"/>
        <v>0</v>
      </c>
      <c r="AZ320" s="34">
        <v>0</v>
      </c>
      <c r="BA320" s="34">
        <v>0</v>
      </c>
      <c r="BB320" s="34">
        <v>0</v>
      </c>
      <c r="BC320" s="34">
        <v>0</v>
      </c>
    </row>
    <row r="321" spans="1:55" s="55" customFormat="1" ht="31.5" customHeight="1" x14ac:dyDescent="0.25">
      <c r="A321" s="110" t="s">
        <v>235</v>
      </c>
      <c r="B321" s="96" t="s">
        <v>807</v>
      </c>
      <c r="C321" s="99" t="s">
        <v>808</v>
      </c>
      <c r="D321" s="88">
        <v>0</v>
      </c>
      <c r="E321" s="29">
        <f t="shared" ref="E321:H384" si="261">J321+O321+T321+Y321</f>
        <v>0.85048399200000002</v>
      </c>
      <c r="F321" s="29">
        <f t="shared" si="261"/>
        <v>0</v>
      </c>
      <c r="G321" s="29">
        <f t="shared" si="261"/>
        <v>0.48471496800000002</v>
      </c>
      <c r="H321" s="29">
        <f t="shared" si="261"/>
        <v>0.365769024</v>
      </c>
      <c r="I321" s="29">
        <f t="shared" ref="I321:I384" si="262">N321+S321+X321+AC321</f>
        <v>0</v>
      </c>
      <c r="J321" s="29">
        <f t="shared" si="239"/>
        <v>0</v>
      </c>
      <c r="K321" s="29">
        <v>0</v>
      </c>
      <c r="L321" s="29">
        <v>0</v>
      </c>
      <c r="M321" s="29">
        <v>0</v>
      </c>
      <c r="N321" s="29">
        <v>0</v>
      </c>
      <c r="O321" s="29">
        <v>0</v>
      </c>
      <c r="P321" s="29">
        <v>0</v>
      </c>
      <c r="Q321" s="29">
        <v>0</v>
      </c>
      <c r="R321" s="29">
        <v>0</v>
      </c>
      <c r="S321" s="29">
        <v>0</v>
      </c>
      <c r="T321" s="30">
        <v>0</v>
      </c>
      <c r="U321" s="30">
        <v>0</v>
      </c>
      <c r="V321" s="30">
        <v>0</v>
      </c>
      <c r="W321" s="30">
        <v>0</v>
      </c>
      <c r="X321" s="30">
        <v>0</v>
      </c>
      <c r="Y321" s="30">
        <f t="shared" si="254"/>
        <v>0.85048399200000002</v>
      </c>
      <c r="Z321" s="30">
        <v>0</v>
      </c>
      <c r="AA321" s="30">
        <v>0.48471496800000002</v>
      </c>
      <c r="AB321" s="30">
        <v>0.365769024</v>
      </c>
      <c r="AC321" s="34">
        <v>0</v>
      </c>
      <c r="AD321" s="36">
        <v>0</v>
      </c>
      <c r="AE321" s="36">
        <f t="shared" ref="AE321:AH384" si="263">AJ321+AO321+AT321+AY321</f>
        <v>0.70873666000000002</v>
      </c>
      <c r="AF321" s="36">
        <f t="shared" si="263"/>
        <v>0</v>
      </c>
      <c r="AG321" s="36">
        <f t="shared" si="263"/>
        <v>0.40392914000000002</v>
      </c>
      <c r="AH321" s="36">
        <f t="shared" si="263"/>
        <v>0.30480752</v>
      </c>
      <c r="AI321" s="36">
        <f t="shared" ref="AI321:AI384" si="264">AN321+AS321+AX321+BC321</f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4">
        <v>0</v>
      </c>
      <c r="AP321" s="34">
        <v>0</v>
      </c>
      <c r="AQ321" s="34">
        <v>0</v>
      </c>
      <c r="AR321" s="34">
        <v>0</v>
      </c>
      <c r="AS321" s="34">
        <v>0</v>
      </c>
      <c r="AT321" s="34">
        <v>0</v>
      </c>
      <c r="AU321" s="34">
        <v>0</v>
      </c>
      <c r="AV321" s="34">
        <v>0</v>
      </c>
      <c r="AW321" s="34">
        <v>0</v>
      </c>
      <c r="AX321" s="34">
        <v>0</v>
      </c>
      <c r="AY321" s="34">
        <f t="shared" ref="AY321" si="265">AZ321+BA321+BB321+BC321</f>
        <v>0.70873666000000002</v>
      </c>
      <c r="AZ321" s="34">
        <v>0</v>
      </c>
      <c r="BA321" s="34">
        <v>0.40392914000000002</v>
      </c>
      <c r="BB321" s="34">
        <v>0.30480752</v>
      </c>
      <c r="BC321" s="34">
        <v>0</v>
      </c>
    </row>
    <row r="322" spans="1:55" s="55" customFormat="1" ht="31.5" customHeight="1" x14ac:dyDescent="0.25">
      <c r="A322" s="110" t="s">
        <v>235</v>
      </c>
      <c r="B322" s="96" t="s">
        <v>809</v>
      </c>
      <c r="C322" s="99" t="s">
        <v>810</v>
      </c>
      <c r="D322" s="88">
        <v>0</v>
      </c>
      <c r="E322" s="29">
        <f t="shared" si="261"/>
        <v>0.10761409199999999</v>
      </c>
      <c r="F322" s="29">
        <f t="shared" si="261"/>
        <v>0</v>
      </c>
      <c r="G322" s="29">
        <f t="shared" si="261"/>
        <v>6.0777695999999999E-2</v>
      </c>
      <c r="H322" s="29">
        <f t="shared" si="261"/>
        <v>4.6836396000000002E-2</v>
      </c>
      <c r="I322" s="29">
        <f t="shared" si="262"/>
        <v>0</v>
      </c>
      <c r="J322" s="29">
        <f t="shared" si="239"/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  <c r="P322" s="29">
        <v>0</v>
      </c>
      <c r="Q322" s="29">
        <v>0</v>
      </c>
      <c r="R322" s="29">
        <v>0</v>
      </c>
      <c r="S322" s="29">
        <v>0</v>
      </c>
      <c r="T322" s="30">
        <v>0</v>
      </c>
      <c r="U322" s="30">
        <v>0</v>
      </c>
      <c r="V322" s="30">
        <v>0</v>
      </c>
      <c r="W322" s="30">
        <v>0</v>
      </c>
      <c r="X322" s="30">
        <v>0</v>
      </c>
      <c r="Y322" s="30">
        <f>Z322+AA322+AB322</f>
        <v>0.10761409199999999</v>
      </c>
      <c r="Z322" s="30">
        <v>0</v>
      </c>
      <c r="AA322" s="30">
        <v>6.0777695999999999E-2</v>
      </c>
      <c r="AB322" s="30">
        <v>4.6836396000000002E-2</v>
      </c>
      <c r="AC322" s="34">
        <v>0</v>
      </c>
      <c r="AD322" s="36">
        <v>0</v>
      </c>
      <c r="AE322" s="36">
        <f t="shared" si="263"/>
        <v>8.967841E-2</v>
      </c>
      <c r="AF322" s="36">
        <f t="shared" si="263"/>
        <v>0</v>
      </c>
      <c r="AG322" s="36">
        <f t="shared" si="263"/>
        <v>5.0648079999999998E-2</v>
      </c>
      <c r="AH322" s="36">
        <f t="shared" si="263"/>
        <v>3.9030330000000002E-2</v>
      </c>
      <c r="AI322" s="36">
        <f t="shared" si="264"/>
        <v>0</v>
      </c>
      <c r="AJ322" s="36">
        <v>0</v>
      </c>
      <c r="AK322" s="36">
        <v>0</v>
      </c>
      <c r="AL322" s="36">
        <v>0</v>
      </c>
      <c r="AM322" s="36">
        <v>0</v>
      </c>
      <c r="AN322" s="36">
        <v>0</v>
      </c>
      <c r="AO322" s="34">
        <v>0</v>
      </c>
      <c r="AP322" s="34">
        <v>0</v>
      </c>
      <c r="AQ322" s="34">
        <v>0</v>
      </c>
      <c r="AR322" s="34">
        <v>0</v>
      </c>
      <c r="AS322" s="34">
        <v>0</v>
      </c>
      <c r="AT322" s="34">
        <v>0</v>
      </c>
      <c r="AU322" s="34">
        <v>0</v>
      </c>
      <c r="AV322" s="34">
        <v>0</v>
      </c>
      <c r="AW322" s="34">
        <v>0</v>
      </c>
      <c r="AX322" s="34">
        <v>0</v>
      </c>
      <c r="AY322" s="34">
        <f>AZ322+BA322+BB322+BC322</f>
        <v>8.967841E-2</v>
      </c>
      <c r="AZ322" s="34">
        <v>0</v>
      </c>
      <c r="BA322" s="34">
        <v>5.0648079999999998E-2</v>
      </c>
      <c r="BB322" s="34">
        <v>3.9030330000000002E-2</v>
      </c>
      <c r="BC322" s="34">
        <v>0</v>
      </c>
    </row>
    <row r="323" spans="1:55" s="55" customFormat="1" ht="31.5" customHeight="1" x14ac:dyDescent="0.25">
      <c r="A323" s="110" t="s">
        <v>235</v>
      </c>
      <c r="B323" s="96" t="s">
        <v>811</v>
      </c>
      <c r="C323" s="99" t="s">
        <v>812</v>
      </c>
      <c r="D323" s="88">
        <v>0</v>
      </c>
      <c r="E323" s="29">
        <f t="shared" si="261"/>
        <v>5.3120712E-2</v>
      </c>
      <c r="F323" s="29">
        <f t="shared" si="261"/>
        <v>2.0814432000000001E-2</v>
      </c>
      <c r="G323" s="29">
        <f t="shared" si="261"/>
        <v>3.230628E-2</v>
      </c>
      <c r="H323" s="29">
        <f t="shared" si="261"/>
        <v>0</v>
      </c>
      <c r="I323" s="29">
        <f t="shared" si="262"/>
        <v>0</v>
      </c>
      <c r="J323" s="29">
        <f t="shared" si="239"/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 s="29">
        <v>0</v>
      </c>
      <c r="Q323" s="29">
        <v>0</v>
      </c>
      <c r="R323" s="29">
        <v>0</v>
      </c>
      <c r="S323" s="29">
        <v>0</v>
      </c>
      <c r="T323" s="30">
        <v>0</v>
      </c>
      <c r="U323" s="30">
        <v>0</v>
      </c>
      <c r="V323" s="30">
        <v>0</v>
      </c>
      <c r="W323" s="30">
        <v>0</v>
      </c>
      <c r="X323" s="30">
        <v>0</v>
      </c>
      <c r="Y323" s="30">
        <f>Z323+AA323</f>
        <v>5.3120712E-2</v>
      </c>
      <c r="Z323" s="30">
        <v>2.0814432000000001E-2</v>
      </c>
      <c r="AA323" s="30">
        <v>3.230628E-2</v>
      </c>
      <c r="AB323" s="30">
        <v>0</v>
      </c>
      <c r="AC323" s="34">
        <v>0</v>
      </c>
      <c r="AD323" s="36">
        <v>0</v>
      </c>
      <c r="AE323" s="36">
        <f t="shared" si="263"/>
        <v>0</v>
      </c>
      <c r="AF323" s="36">
        <f t="shared" si="263"/>
        <v>0</v>
      </c>
      <c r="AG323" s="36">
        <f t="shared" si="263"/>
        <v>0</v>
      </c>
      <c r="AH323" s="36">
        <f t="shared" si="263"/>
        <v>0</v>
      </c>
      <c r="AI323" s="36">
        <f t="shared" si="264"/>
        <v>0</v>
      </c>
      <c r="AJ323" s="36">
        <v>0</v>
      </c>
      <c r="AK323" s="36">
        <v>0</v>
      </c>
      <c r="AL323" s="36">
        <v>0</v>
      </c>
      <c r="AM323" s="36">
        <v>0</v>
      </c>
      <c r="AN323" s="36">
        <v>0</v>
      </c>
      <c r="AO323" s="34">
        <v>0</v>
      </c>
      <c r="AP323" s="34">
        <v>0</v>
      </c>
      <c r="AQ323" s="34">
        <v>0</v>
      </c>
      <c r="AR323" s="34">
        <v>0</v>
      </c>
      <c r="AS323" s="34">
        <v>0</v>
      </c>
      <c r="AT323" s="34">
        <v>0</v>
      </c>
      <c r="AU323" s="34">
        <v>0</v>
      </c>
      <c r="AV323" s="34">
        <v>0</v>
      </c>
      <c r="AW323" s="34">
        <v>0</v>
      </c>
      <c r="AX323" s="34">
        <v>0</v>
      </c>
      <c r="AY323" s="34">
        <f t="shared" ref="AY323:AY328" si="266">AZ323+BA323+BB323+BC323</f>
        <v>0</v>
      </c>
      <c r="AZ323" s="34">
        <v>0</v>
      </c>
      <c r="BA323" s="34">
        <v>0</v>
      </c>
      <c r="BB323" s="34">
        <v>0</v>
      </c>
      <c r="BC323" s="34">
        <v>0</v>
      </c>
    </row>
    <row r="324" spans="1:55" s="55" customFormat="1" ht="31.5" customHeight="1" x14ac:dyDescent="0.25">
      <c r="A324" s="110" t="s">
        <v>235</v>
      </c>
      <c r="B324" s="96" t="s">
        <v>813</v>
      </c>
      <c r="C324" s="99" t="s">
        <v>814</v>
      </c>
      <c r="D324" s="88">
        <v>0</v>
      </c>
      <c r="E324" s="29">
        <f t="shared" si="261"/>
        <v>2.7375095999999998E-2</v>
      </c>
      <c r="F324" s="29">
        <f t="shared" si="261"/>
        <v>0</v>
      </c>
      <c r="G324" s="29">
        <f t="shared" si="261"/>
        <v>2.7375095999999998E-2</v>
      </c>
      <c r="H324" s="29">
        <f t="shared" si="261"/>
        <v>0</v>
      </c>
      <c r="I324" s="29">
        <f t="shared" si="262"/>
        <v>0</v>
      </c>
      <c r="J324" s="29">
        <f t="shared" si="239"/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30">
        <v>0</v>
      </c>
      <c r="U324" s="30">
        <v>0</v>
      </c>
      <c r="V324" s="30">
        <v>0</v>
      </c>
      <c r="W324" s="30">
        <v>0</v>
      </c>
      <c r="X324" s="30">
        <v>0</v>
      </c>
      <c r="Y324" s="30">
        <f t="shared" ref="Y324:Y327" si="267">Z324+AA324+AB324+AC324</f>
        <v>2.7375095999999998E-2</v>
      </c>
      <c r="Z324" s="30">
        <v>0</v>
      </c>
      <c r="AA324" s="30">
        <v>2.7375095999999998E-2</v>
      </c>
      <c r="AB324" s="30">
        <v>0</v>
      </c>
      <c r="AC324" s="34">
        <v>0</v>
      </c>
      <c r="AD324" s="36">
        <v>0</v>
      </c>
      <c r="AE324" s="36">
        <f t="shared" si="263"/>
        <v>0</v>
      </c>
      <c r="AF324" s="36">
        <f t="shared" si="263"/>
        <v>0</v>
      </c>
      <c r="AG324" s="36">
        <f t="shared" si="263"/>
        <v>0</v>
      </c>
      <c r="AH324" s="36">
        <f t="shared" si="263"/>
        <v>0</v>
      </c>
      <c r="AI324" s="36">
        <f t="shared" si="264"/>
        <v>0</v>
      </c>
      <c r="AJ324" s="36">
        <v>0</v>
      </c>
      <c r="AK324" s="36">
        <v>0</v>
      </c>
      <c r="AL324" s="36">
        <v>0</v>
      </c>
      <c r="AM324" s="36">
        <v>0</v>
      </c>
      <c r="AN324" s="36">
        <v>0</v>
      </c>
      <c r="AO324" s="34">
        <v>0</v>
      </c>
      <c r="AP324" s="34">
        <v>0</v>
      </c>
      <c r="AQ324" s="34">
        <v>0</v>
      </c>
      <c r="AR324" s="34">
        <v>0</v>
      </c>
      <c r="AS324" s="34">
        <v>0</v>
      </c>
      <c r="AT324" s="34">
        <v>0</v>
      </c>
      <c r="AU324" s="34">
        <v>0</v>
      </c>
      <c r="AV324" s="34">
        <v>0</v>
      </c>
      <c r="AW324" s="34">
        <v>0</v>
      </c>
      <c r="AX324" s="34">
        <v>0</v>
      </c>
      <c r="AY324" s="34">
        <f t="shared" si="266"/>
        <v>0</v>
      </c>
      <c r="AZ324" s="34">
        <v>0</v>
      </c>
      <c r="BA324" s="34">
        <v>0</v>
      </c>
      <c r="BB324" s="34">
        <v>0</v>
      </c>
      <c r="BC324" s="34">
        <v>0</v>
      </c>
    </row>
    <row r="325" spans="1:55" s="55" customFormat="1" ht="31.5" customHeight="1" x14ac:dyDescent="0.25">
      <c r="A325" s="110" t="s">
        <v>235</v>
      </c>
      <c r="B325" s="96" t="s">
        <v>897</v>
      </c>
      <c r="C325" s="99" t="s">
        <v>898</v>
      </c>
      <c r="D325" s="88">
        <v>0</v>
      </c>
      <c r="E325" s="29">
        <f t="shared" si="261"/>
        <v>3.2306292E-2</v>
      </c>
      <c r="F325" s="29">
        <f t="shared" si="261"/>
        <v>3.2306292E-2</v>
      </c>
      <c r="G325" s="29">
        <f t="shared" si="261"/>
        <v>0</v>
      </c>
      <c r="H325" s="29">
        <f t="shared" si="261"/>
        <v>0</v>
      </c>
      <c r="I325" s="29">
        <f t="shared" si="262"/>
        <v>0</v>
      </c>
      <c r="J325" s="29">
        <f t="shared" si="239"/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  <c r="P325" s="29">
        <v>0</v>
      </c>
      <c r="Q325" s="29">
        <v>0</v>
      </c>
      <c r="R325" s="29">
        <v>0</v>
      </c>
      <c r="S325" s="29">
        <v>0</v>
      </c>
      <c r="T325" s="30">
        <v>0</v>
      </c>
      <c r="U325" s="30">
        <v>0</v>
      </c>
      <c r="V325" s="30">
        <v>0</v>
      </c>
      <c r="W325" s="30">
        <v>0</v>
      </c>
      <c r="X325" s="30">
        <v>0</v>
      </c>
      <c r="Y325" s="30">
        <f t="shared" si="267"/>
        <v>3.2306292E-2</v>
      </c>
      <c r="Z325" s="30">
        <v>3.2306292E-2</v>
      </c>
      <c r="AA325" s="30">
        <v>0</v>
      </c>
      <c r="AB325" s="30">
        <v>0</v>
      </c>
      <c r="AC325" s="34">
        <v>0</v>
      </c>
      <c r="AD325" s="36">
        <v>0</v>
      </c>
      <c r="AE325" s="36">
        <f t="shared" si="263"/>
        <v>0</v>
      </c>
      <c r="AF325" s="36">
        <f t="shared" si="263"/>
        <v>0</v>
      </c>
      <c r="AG325" s="36">
        <f t="shared" si="263"/>
        <v>0</v>
      </c>
      <c r="AH325" s="36">
        <f t="shared" si="263"/>
        <v>0</v>
      </c>
      <c r="AI325" s="36">
        <f t="shared" si="264"/>
        <v>0</v>
      </c>
      <c r="AJ325" s="36">
        <v>0</v>
      </c>
      <c r="AK325" s="36">
        <v>0</v>
      </c>
      <c r="AL325" s="36">
        <v>0</v>
      </c>
      <c r="AM325" s="36">
        <v>0</v>
      </c>
      <c r="AN325" s="36">
        <v>0</v>
      </c>
      <c r="AO325" s="34">
        <v>0</v>
      </c>
      <c r="AP325" s="34">
        <v>0</v>
      </c>
      <c r="AQ325" s="34">
        <v>0</v>
      </c>
      <c r="AR325" s="34">
        <v>0</v>
      </c>
      <c r="AS325" s="34">
        <v>0</v>
      </c>
      <c r="AT325" s="34">
        <v>0</v>
      </c>
      <c r="AU325" s="34">
        <v>0</v>
      </c>
      <c r="AV325" s="34">
        <v>0</v>
      </c>
      <c r="AW325" s="34">
        <v>0</v>
      </c>
      <c r="AX325" s="34">
        <v>0</v>
      </c>
      <c r="AY325" s="34">
        <f t="shared" si="266"/>
        <v>0</v>
      </c>
      <c r="AZ325" s="34">
        <v>0</v>
      </c>
      <c r="BA325" s="34">
        <v>0</v>
      </c>
      <c r="BB325" s="34">
        <v>0</v>
      </c>
      <c r="BC325" s="34">
        <v>0</v>
      </c>
    </row>
    <row r="326" spans="1:55" s="55" customFormat="1" ht="31.5" customHeight="1" x14ac:dyDescent="0.25">
      <c r="A326" s="110" t="s">
        <v>235</v>
      </c>
      <c r="B326" s="96" t="s">
        <v>899</v>
      </c>
      <c r="C326" s="99" t="s">
        <v>900</v>
      </c>
      <c r="D326" s="88">
        <v>0</v>
      </c>
      <c r="E326" s="29">
        <f t="shared" si="261"/>
        <v>4.9042427999999999E-2</v>
      </c>
      <c r="F326" s="29">
        <f t="shared" si="261"/>
        <v>1.8481199999999996E-2</v>
      </c>
      <c r="G326" s="29">
        <f t="shared" si="261"/>
        <v>3.0561227999999999E-2</v>
      </c>
      <c r="H326" s="29">
        <f t="shared" si="261"/>
        <v>0</v>
      </c>
      <c r="I326" s="29">
        <f t="shared" si="262"/>
        <v>0</v>
      </c>
      <c r="J326" s="29">
        <f t="shared" si="239"/>
        <v>0</v>
      </c>
      <c r="K326" s="29">
        <v>0</v>
      </c>
      <c r="L326" s="29">
        <v>0</v>
      </c>
      <c r="M326" s="29">
        <v>0</v>
      </c>
      <c r="N326" s="29">
        <v>0</v>
      </c>
      <c r="O326" s="29">
        <v>0</v>
      </c>
      <c r="P326" s="29">
        <v>0</v>
      </c>
      <c r="Q326" s="29">
        <v>0</v>
      </c>
      <c r="R326" s="29">
        <v>0</v>
      </c>
      <c r="S326" s="29">
        <v>0</v>
      </c>
      <c r="T326" s="30">
        <v>0</v>
      </c>
      <c r="U326" s="30">
        <v>0</v>
      </c>
      <c r="V326" s="30">
        <v>0</v>
      </c>
      <c r="W326" s="30">
        <v>0</v>
      </c>
      <c r="X326" s="30">
        <v>0</v>
      </c>
      <c r="Y326" s="30">
        <f t="shared" si="267"/>
        <v>4.9042427999999999E-2</v>
      </c>
      <c r="Z326" s="30">
        <v>1.8481199999999996E-2</v>
      </c>
      <c r="AA326" s="30">
        <v>3.0561227999999999E-2</v>
      </c>
      <c r="AB326" s="30">
        <v>0</v>
      </c>
      <c r="AC326" s="34">
        <v>0</v>
      </c>
      <c r="AD326" s="36">
        <v>0</v>
      </c>
      <c r="AE326" s="36">
        <f t="shared" si="263"/>
        <v>0</v>
      </c>
      <c r="AF326" s="36">
        <f t="shared" si="263"/>
        <v>0</v>
      </c>
      <c r="AG326" s="36">
        <f t="shared" si="263"/>
        <v>0</v>
      </c>
      <c r="AH326" s="36">
        <f t="shared" si="263"/>
        <v>0</v>
      </c>
      <c r="AI326" s="36">
        <f t="shared" si="264"/>
        <v>0</v>
      </c>
      <c r="AJ326" s="36">
        <v>0</v>
      </c>
      <c r="AK326" s="36">
        <v>0</v>
      </c>
      <c r="AL326" s="36">
        <v>0</v>
      </c>
      <c r="AM326" s="36">
        <v>0</v>
      </c>
      <c r="AN326" s="36">
        <v>0</v>
      </c>
      <c r="AO326" s="34">
        <v>0</v>
      </c>
      <c r="AP326" s="34">
        <v>0</v>
      </c>
      <c r="AQ326" s="34">
        <v>0</v>
      </c>
      <c r="AR326" s="34">
        <v>0</v>
      </c>
      <c r="AS326" s="34">
        <v>0</v>
      </c>
      <c r="AT326" s="34">
        <v>0</v>
      </c>
      <c r="AU326" s="34">
        <v>0</v>
      </c>
      <c r="AV326" s="34">
        <v>0</v>
      </c>
      <c r="AW326" s="34">
        <v>0</v>
      </c>
      <c r="AX326" s="34">
        <v>0</v>
      </c>
      <c r="AY326" s="34">
        <f t="shared" si="266"/>
        <v>0</v>
      </c>
      <c r="AZ326" s="34">
        <v>0</v>
      </c>
      <c r="BA326" s="34">
        <v>0</v>
      </c>
      <c r="BB326" s="34">
        <v>0</v>
      </c>
      <c r="BC326" s="34">
        <v>0</v>
      </c>
    </row>
    <row r="327" spans="1:55" s="55" customFormat="1" ht="31.5" customHeight="1" x14ac:dyDescent="0.25">
      <c r="A327" s="110" t="s">
        <v>235</v>
      </c>
      <c r="B327" s="96" t="s">
        <v>901</v>
      </c>
      <c r="C327" s="99" t="s">
        <v>902</v>
      </c>
      <c r="D327" s="88">
        <v>0</v>
      </c>
      <c r="E327" s="29">
        <f t="shared" si="261"/>
        <v>2.7375095999999998E-2</v>
      </c>
      <c r="F327" s="29">
        <f t="shared" si="261"/>
        <v>0</v>
      </c>
      <c r="G327" s="29">
        <f t="shared" si="261"/>
        <v>2.7375095999999998E-2</v>
      </c>
      <c r="H327" s="29">
        <f t="shared" si="261"/>
        <v>0</v>
      </c>
      <c r="I327" s="29">
        <f t="shared" si="262"/>
        <v>0</v>
      </c>
      <c r="J327" s="29">
        <f t="shared" si="239"/>
        <v>0</v>
      </c>
      <c r="K327" s="29">
        <v>0</v>
      </c>
      <c r="L327" s="29">
        <v>0</v>
      </c>
      <c r="M327" s="29">
        <v>0</v>
      </c>
      <c r="N327" s="29">
        <v>0</v>
      </c>
      <c r="O327" s="29">
        <v>0</v>
      </c>
      <c r="P327" s="29">
        <v>0</v>
      </c>
      <c r="Q327" s="29">
        <v>0</v>
      </c>
      <c r="R327" s="29">
        <v>0</v>
      </c>
      <c r="S327" s="29">
        <v>0</v>
      </c>
      <c r="T327" s="30">
        <v>0</v>
      </c>
      <c r="U327" s="30">
        <v>0</v>
      </c>
      <c r="V327" s="30">
        <v>0</v>
      </c>
      <c r="W327" s="30">
        <v>0</v>
      </c>
      <c r="X327" s="30">
        <v>0</v>
      </c>
      <c r="Y327" s="30">
        <f t="shared" si="267"/>
        <v>2.7375095999999998E-2</v>
      </c>
      <c r="Z327" s="30">
        <v>0</v>
      </c>
      <c r="AA327" s="30">
        <v>2.7375095999999998E-2</v>
      </c>
      <c r="AB327" s="30">
        <v>0</v>
      </c>
      <c r="AC327" s="34">
        <v>0</v>
      </c>
      <c r="AD327" s="36">
        <v>0</v>
      </c>
      <c r="AE327" s="36">
        <f t="shared" si="263"/>
        <v>0</v>
      </c>
      <c r="AF327" s="36">
        <f t="shared" si="263"/>
        <v>0</v>
      </c>
      <c r="AG327" s="36">
        <f t="shared" si="263"/>
        <v>0</v>
      </c>
      <c r="AH327" s="36">
        <f t="shared" si="263"/>
        <v>0</v>
      </c>
      <c r="AI327" s="36">
        <f t="shared" si="264"/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4">
        <v>0</v>
      </c>
      <c r="AP327" s="34">
        <v>0</v>
      </c>
      <c r="AQ327" s="34">
        <v>0</v>
      </c>
      <c r="AR327" s="34">
        <v>0</v>
      </c>
      <c r="AS327" s="34">
        <v>0</v>
      </c>
      <c r="AT327" s="34">
        <v>0</v>
      </c>
      <c r="AU327" s="34">
        <v>0</v>
      </c>
      <c r="AV327" s="34">
        <v>0</v>
      </c>
      <c r="AW327" s="34">
        <v>0</v>
      </c>
      <c r="AX327" s="34">
        <v>0</v>
      </c>
      <c r="AY327" s="34">
        <f t="shared" si="266"/>
        <v>0</v>
      </c>
      <c r="AZ327" s="34">
        <v>0</v>
      </c>
      <c r="BA327" s="34">
        <v>0</v>
      </c>
      <c r="BB327" s="34">
        <v>0</v>
      </c>
      <c r="BC327" s="34">
        <v>0</v>
      </c>
    </row>
    <row r="328" spans="1:55" s="55" customFormat="1" ht="33.75" customHeight="1" x14ac:dyDescent="0.25">
      <c r="A328" s="31" t="s">
        <v>235</v>
      </c>
      <c r="B328" s="89" t="s">
        <v>263</v>
      </c>
      <c r="C328" s="90" t="s">
        <v>264</v>
      </c>
      <c r="D328" s="88">
        <v>16.156940039999999</v>
      </c>
      <c r="E328" s="29">
        <f t="shared" si="261"/>
        <v>1.7999999999999999E-2</v>
      </c>
      <c r="F328" s="29">
        <f t="shared" si="261"/>
        <v>1.7999999999999999E-2</v>
      </c>
      <c r="G328" s="29">
        <f t="shared" si="261"/>
        <v>0</v>
      </c>
      <c r="H328" s="29">
        <f t="shared" si="261"/>
        <v>0</v>
      </c>
      <c r="I328" s="29">
        <f t="shared" si="262"/>
        <v>0</v>
      </c>
      <c r="J328" s="29">
        <f t="shared" si="239"/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f t="shared" si="247"/>
        <v>8.9999999999999993E-3</v>
      </c>
      <c r="P328" s="29">
        <v>8.9999999999999993E-3</v>
      </c>
      <c r="Q328" s="29">
        <v>0</v>
      </c>
      <c r="R328" s="29">
        <v>0</v>
      </c>
      <c r="S328" s="29">
        <v>0</v>
      </c>
      <c r="T328" s="30">
        <f t="shared" si="253"/>
        <v>8.9999999999999993E-3</v>
      </c>
      <c r="U328" s="30">
        <v>8.9999999999999993E-3</v>
      </c>
      <c r="V328" s="30">
        <v>0</v>
      </c>
      <c r="W328" s="30">
        <v>0</v>
      </c>
      <c r="X328" s="30">
        <v>0</v>
      </c>
      <c r="Y328" s="30">
        <f t="shared" si="254"/>
        <v>0</v>
      </c>
      <c r="Z328" s="30">
        <v>0</v>
      </c>
      <c r="AA328" s="30">
        <v>0</v>
      </c>
      <c r="AB328" s="30">
        <v>0</v>
      </c>
      <c r="AC328" s="34">
        <v>0</v>
      </c>
      <c r="AD328" s="36">
        <v>13.4641167</v>
      </c>
      <c r="AE328" s="36">
        <f t="shared" si="263"/>
        <v>0</v>
      </c>
      <c r="AF328" s="36">
        <f t="shared" si="263"/>
        <v>0</v>
      </c>
      <c r="AG328" s="36">
        <f t="shared" si="263"/>
        <v>0</v>
      </c>
      <c r="AH328" s="36">
        <f t="shared" si="263"/>
        <v>0</v>
      </c>
      <c r="AI328" s="36">
        <f t="shared" si="264"/>
        <v>0</v>
      </c>
      <c r="AJ328" s="36">
        <f t="shared" si="252"/>
        <v>0</v>
      </c>
      <c r="AK328" s="36">
        <v>0</v>
      </c>
      <c r="AL328" s="36">
        <v>0</v>
      </c>
      <c r="AM328" s="36">
        <v>0</v>
      </c>
      <c r="AN328" s="36">
        <v>0</v>
      </c>
      <c r="AO328" s="34">
        <f t="shared" si="246"/>
        <v>0</v>
      </c>
      <c r="AP328" s="34">
        <v>0</v>
      </c>
      <c r="AQ328" s="34">
        <v>0</v>
      </c>
      <c r="AR328" s="34">
        <v>0</v>
      </c>
      <c r="AS328" s="34">
        <v>0</v>
      </c>
      <c r="AT328" s="34">
        <f t="shared" si="255"/>
        <v>0</v>
      </c>
      <c r="AU328" s="34">
        <v>0</v>
      </c>
      <c r="AV328" s="34">
        <v>0</v>
      </c>
      <c r="AW328" s="34">
        <v>0</v>
      </c>
      <c r="AX328" s="34">
        <v>0</v>
      </c>
      <c r="AY328" s="34">
        <f t="shared" si="266"/>
        <v>0</v>
      </c>
      <c r="AZ328" s="34">
        <v>0</v>
      </c>
      <c r="BA328" s="34">
        <v>0</v>
      </c>
      <c r="BB328" s="34">
        <v>0</v>
      </c>
      <c r="BC328" s="34">
        <v>0</v>
      </c>
    </row>
    <row r="329" spans="1:55" s="55" customFormat="1" ht="34.5" customHeight="1" x14ac:dyDescent="0.25">
      <c r="A329" s="31" t="s">
        <v>235</v>
      </c>
      <c r="B329" s="89" t="s">
        <v>265</v>
      </c>
      <c r="C329" s="90" t="s">
        <v>266</v>
      </c>
      <c r="D329" s="88">
        <v>0.28404715199999997</v>
      </c>
      <c r="E329" s="29">
        <f t="shared" si="261"/>
        <v>0.25228929599999994</v>
      </c>
      <c r="F329" s="29">
        <f t="shared" si="261"/>
        <v>0</v>
      </c>
      <c r="G329" s="29">
        <f t="shared" si="261"/>
        <v>0.11807540399999999</v>
      </c>
      <c r="H329" s="29">
        <f t="shared" si="261"/>
        <v>0.13421389199999997</v>
      </c>
      <c r="I329" s="29">
        <f t="shared" si="262"/>
        <v>0</v>
      </c>
      <c r="J329" s="29">
        <f t="shared" si="239"/>
        <v>0</v>
      </c>
      <c r="K329" s="29">
        <v>0</v>
      </c>
      <c r="L329" s="29">
        <v>0</v>
      </c>
      <c r="M329" s="29">
        <v>0</v>
      </c>
      <c r="N329" s="29">
        <v>0</v>
      </c>
      <c r="O329" s="29">
        <f t="shared" si="247"/>
        <v>0</v>
      </c>
      <c r="P329" s="29">
        <v>0</v>
      </c>
      <c r="Q329" s="29">
        <v>0</v>
      </c>
      <c r="R329" s="29">
        <v>0</v>
      </c>
      <c r="S329" s="29">
        <v>0</v>
      </c>
      <c r="T329" s="30">
        <f t="shared" si="253"/>
        <v>0</v>
      </c>
      <c r="U329" s="30">
        <v>0</v>
      </c>
      <c r="V329" s="30">
        <v>0</v>
      </c>
      <c r="W329" s="30">
        <v>0</v>
      </c>
      <c r="X329" s="30">
        <v>0</v>
      </c>
      <c r="Y329" s="30">
        <f t="shared" si="254"/>
        <v>0.25228929599999994</v>
      </c>
      <c r="Z329" s="30">
        <v>0</v>
      </c>
      <c r="AA329" s="30">
        <v>0.11807540399999999</v>
      </c>
      <c r="AB329" s="30">
        <v>0.13421389199999997</v>
      </c>
      <c r="AC329" s="34">
        <v>0</v>
      </c>
      <c r="AD329" s="36">
        <v>0.23670595999999999</v>
      </c>
      <c r="AE329" s="36">
        <f t="shared" si="263"/>
        <v>0.23086553999999998</v>
      </c>
      <c r="AF329" s="36">
        <f t="shared" si="263"/>
        <v>2.0624460000000001E-2</v>
      </c>
      <c r="AG329" s="36">
        <f t="shared" si="263"/>
        <v>9.8396169999999991E-2</v>
      </c>
      <c r="AH329" s="36">
        <f t="shared" si="263"/>
        <v>0.11184490999999999</v>
      </c>
      <c r="AI329" s="36">
        <f t="shared" si="264"/>
        <v>0</v>
      </c>
      <c r="AJ329" s="36">
        <f t="shared" si="252"/>
        <v>0</v>
      </c>
      <c r="AK329" s="36">
        <v>0</v>
      </c>
      <c r="AL329" s="36">
        <v>0</v>
      </c>
      <c r="AM329" s="36">
        <v>0</v>
      </c>
      <c r="AN329" s="36">
        <v>0</v>
      </c>
      <c r="AO329" s="34">
        <f t="shared" si="246"/>
        <v>0</v>
      </c>
      <c r="AP329" s="34">
        <v>0</v>
      </c>
      <c r="AQ329" s="34">
        <v>0</v>
      </c>
      <c r="AR329" s="34">
        <v>0</v>
      </c>
      <c r="AS329" s="34">
        <v>0</v>
      </c>
      <c r="AT329" s="34">
        <f t="shared" si="255"/>
        <v>0</v>
      </c>
      <c r="AU329" s="34">
        <v>0</v>
      </c>
      <c r="AV329" s="34">
        <v>0</v>
      </c>
      <c r="AW329" s="34">
        <v>0</v>
      </c>
      <c r="AX329" s="34">
        <v>0</v>
      </c>
      <c r="AY329" s="34">
        <f t="shared" si="256"/>
        <v>0.23086553999999998</v>
      </c>
      <c r="AZ329" s="34">
        <v>2.0624460000000001E-2</v>
      </c>
      <c r="BA329" s="34">
        <v>9.8396169999999991E-2</v>
      </c>
      <c r="BB329" s="34">
        <v>0.11184490999999999</v>
      </c>
      <c r="BC329" s="34">
        <v>0</v>
      </c>
    </row>
    <row r="330" spans="1:55" s="55" customFormat="1" ht="30.75" customHeight="1" x14ac:dyDescent="0.25">
      <c r="A330" s="85" t="s">
        <v>235</v>
      </c>
      <c r="B330" s="96" t="s">
        <v>267</v>
      </c>
      <c r="C330" s="97" t="s">
        <v>268</v>
      </c>
      <c r="D330" s="88">
        <v>1.6650492959999998</v>
      </c>
      <c r="E330" s="29">
        <f t="shared" si="261"/>
        <v>1.102145376</v>
      </c>
      <c r="F330" s="29">
        <f t="shared" si="261"/>
        <v>1.7512199999999999E-2</v>
      </c>
      <c r="G330" s="29">
        <f t="shared" si="261"/>
        <v>0.60878509199999997</v>
      </c>
      <c r="H330" s="29">
        <f t="shared" si="261"/>
        <v>0.47584808399999995</v>
      </c>
      <c r="I330" s="29">
        <f t="shared" si="262"/>
        <v>0</v>
      </c>
      <c r="J330" s="29">
        <f t="shared" si="239"/>
        <v>5.5121999999999992E-3</v>
      </c>
      <c r="K330" s="29">
        <v>5.5121999999999992E-3</v>
      </c>
      <c r="L330" s="29">
        <v>0</v>
      </c>
      <c r="M330" s="29">
        <v>0</v>
      </c>
      <c r="N330" s="29">
        <v>0</v>
      </c>
      <c r="O330" s="29">
        <f t="shared" si="247"/>
        <v>0</v>
      </c>
      <c r="P330" s="29">
        <v>0</v>
      </c>
      <c r="Q330" s="29">
        <v>0</v>
      </c>
      <c r="R330" s="29">
        <v>0</v>
      </c>
      <c r="S330" s="29">
        <v>0</v>
      </c>
      <c r="T330" s="30">
        <f t="shared" si="253"/>
        <v>1.2E-2</v>
      </c>
      <c r="U330" s="30">
        <v>1.2E-2</v>
      </c>
      <c r="V330" s="30">
        <v>0</v>
      </c>
      <c r="W330" s="30">
        <v>0</v>
      </c>
      <c r="X330" s="30">
        <v>0</v>
      </c>
      <c r="Y330" s="30">
        <f t="shared" si="254"/>
        <v>1.0846331759999999</v>
      </c>
      <c r="Z330" s="30">
        <v>0</v>
      </c>
      <c r="AA330" s="30">
        <v>0.60878509199999997</v>
      </c>
      <c r="AB330" s="30">
        <v>0.47584808399999995</v>
      </c>
      <c r="AC330" s="34">
        <v>0</v>
      </c>
      <c r="AD330" s="36">
        <v>1.3875410799999999</v>
      </c>
      <c r="AE330" s="36">
        <f t="shared" si="263"/>
        <v>0.97054854000000002</v>
      </c>
      <c r="AF330" s="36">
        <f t="shared" si="263"/>
        <v>6.6687560000000007E-2</v>
      </c>
      <c r="AG330" s="36">
        <f t="shared" si="263"/>
        <v>0.50732091000000001</v>
      </c>
      <c r="AH330" s="36">
        <f t="shared" si="263"/>
        <v>0.39654007000000002</v>
      </c>
      <c r="AI330" s="36">
        <f t="shared" si="264"/>
        <v>0</v>
      </c>
      <c r="AJ330" s="36">
        <f t="shared" si="252"/>
        <v>0</v>
      </c>
      <c r="AK330" s="36">
        <v>0</v>
      </c>
      <c r="AL330" s="36">
        <v>0</v>
      </c>
      <c r="AM330" s="36">
        <v>0</v>
      </c>
      <c r="AN330" s="36">
        <v>0</v>
      </c>
      <c r="AO330" s="34">
        <f t="shared" si="246"/>
        <v>0</v>
      </c>
      <c r="AP330" s="34">
        <v>0</v>
      </c>
      <c r="AQ330" s="34">
        <v>0</v>
      </c>
      <c r="AR330" s="34">
        <v>0</v>
      </c>
      <c r="AS330" s="34">
        <v>0</v>
      </c>
      <c r="AT330" s="34">
        <f t="shared" si="255"/>
        <v>0</v>
      </c>
      <c r="AU330" s="34">
        <v>0</v>
      </c>
      <c r="AV330" s="34">
        <v>0</v>
      </c>
      <c r="AW330" s="34">
        <v>0</v>
      </c>
      <c r="AX330" s="34">
        <v>0</v>
      </c>
      <c r="AY330" s="34">
        <f t="shared" si="256"/>
        <v>0.97054854000000002</v>
      </c>
      <c r="AZ330" s="34">
        <v>6.6687560000000007E-2</v>
      </c>
      <c r="BA330" s="34">
        <v>0.50732091000000001</v>
      </c>
      <c r="BB330" s="34">
        <v>0.39654007000000002</v>
      </c>
      <c r="BC330" s="34">
        <v>0</v>
      </c>
    </row>
    <row r="331" spans="1:55" s="55" customFormat="1" ht="36.75" customHeight="1" x14ac:dyDescent="0.25">
      <c r="A331" s="85" t="s">
        <v>235</v>
      </c>
      <c r="B331" s="96" t="s">
        <v>269</v>
      </c>
      <c r="C331" s="97" t="s">
        <v>270</v>
      </c>
      <c r="D331" s="88">
        <v>0.44014525199999993</v>
      </c>
      <c r="E331" s="29">
        <f t="shared" si="261"/>
        <v>0.41793470399999999</v>
      </c>
      <c r="F331" s="29">
        <f t="shared" si="261"/>
        <v>2.4685631999999996E-2</v>
      </c>
      <c r="G331" s="29">
        <f t="shared" si="261"/>
        <v>0.12443147999999998</v>
      </c>
      <c r="H331" s="29">
        <f t="shared" si="261"/>
        <v>0.26881759199999999</v>
      </c>
      <c r="I331" s="29">
        <f t="shared" si="262"/>
        <v>0</v>
      </c>
      <c r="J331" s="29">
        <f t="shared" si="239"/>
        <v>0</v>
      </c>
      <c r="K331" s="29">
        <v>0</v>
      </c>
      <c r="L331" s="29">
        <v>0</v>
      </c>
      <c r="M331" s="29">
        <v>0</v>
      </c>
      <c r="N331" s="29">
        <v>0</v>
      </c>
      <c r="O331" s="29">
        <f t="shared" si="247"/>
        <v>2.4685631999999996E-2</v>
      </c>
      <c r="P331" s="29">
        <v>2.4685631999999996E-2</v>
      </c>
      <c r="Q331" s="29">
        <v>0</v>
      </c>
      <c r="R331" s="29">
        <v>0</v>
      </c>
      <c r="S331" s="29">
        <v>0</v>
      </c>
      <c r="T331" s="30">
        <f t="shared" si="253"/>
        <v>0.39324907199999998</v>
      </c>
      <c r="U331" s="30">
        <v>0</v>
      </c>
      <c r="V331" s="30">
        <v>0.12443147999999998</v>
      </c>
      <c r="W331" s="30">
        <v>0.26881759199999999</v>
      </c>
      <c r="X331" s="30">
        <v>0</v>
      </c>
      <c r="Y331" s="30">
        <f t="shared" si="254"/>
        <v>0</v>
      </c>
      <c r="Z331" s="30">
        <v>0</v>
      </c>
      <c r="AA331" s="30">
        <v>0</v>
      </c>
      <c r="AB331" s="30">
        <v>0</v>
      </c>
      <c r="AC331" s="34">
        <v>0</v>
      </c>
      <c r="AD331" s="36">
        <v>0.36678770999999993</v>
      </c>
      <c r="AE331" s="36">
        <f t="shared" si="263"/>
        <v>0.34827891999999999</v>
      </c>
      <c r="AF331" s="36">
        <f t="shared" si="263"/>
        <v>2.0571359999999997E-2</v>
      </c>
      <c r="AG331" s="36">
        <f t="shared" si="263"/>
        <v>0.10369289999999999</v>
      </c>
      <c r="AH331" s="36">
        <f t="shared" si="263"/>
        <v>0.22401466</v>
      </c>
      <c r="AI331" s="36">
        <f t="shared" si="264"/>
        <v>0</v>
      </c>
      <c r="AJ331" s="36">
        <f t="shared" si="252"/>
        <v>0</v>
      </c>
      <c r="AK331" s="36">
        <v>0</v>
      </c>
      <c r="AL331" s="36">
        <v>0</v>
      </c>
      <c r="AM331" s="36">
        <v>0</v>
      </c>
      <c r="AN331" s="36">
        <v>0</v>
      </c>
      <c r="AO331" s="34">
        <f t="shared" si="246"/>
        <v>0</v>
      </c>
      <c r="AP331" s="34">
        <v>0</v>
      </c>
      <c r="AQ331" s="34">
        <v>0</v>
      </c>
      <c r="AR331" s="34">
        <v>0</v>
      </c>
      <c r="AS331" s="34">
        <v>0</v>
      </c>
      <c r="AT331" s="34">
        <f t="shared" si="255"/>
        <v>0.34827891999999999</v>
      </c>
      <c r="AU331" s="34">
        <v>2.0571359999999997E-2</v>
      </c>
      <c r="AV331" s="34">
        <v>0.10369289999999999</v>
      </c>
      <c r="AW331" s="34">
        <v>0.22401466</v>
      </c>
      <c r="AX331" s="34">
        <v>0</v>
      </c>
      <c r="AY331" s="34">
        <f t="shared" si="256"/>
        <v>0</v>
      </c>
      <c r="AZ331" s="34">
        <v>0</v>
      </c>
      <c r="BA331" s="34">
        <v>0</v>
      </c>
      <c r="BB331" s="34">
        <v>0</v>
      </c>
      <c r="BC331" s="34">
        <v>0</v>
      </c>
    </row>
    <row r="332" spans="1:55" s="55" customFormat="1" ht="36.75" customHeight="1" x14ac:dyDescent="0.25">
      <c r="A332" s="85" t="s">
        <v>235</v>
      </c>
      <c r="B332" s="96" t="s">
        <v>271</v>
      </c>
      <c r="C332" s="97" t="s">
        <v>272</v>
      </c>
      <c r="D332" s="88">
        <v>4.0317851999999998</v>
      </c>
      <c r="E332" s="29">
        <f t="shared" si="261"/>
        <v>3.4397257080000001</v>
      </c>
      <c r="F332" s="29">
        <f t="shared" si="261"/>
        <v>0.11098519200000001</v>
      </c>
      <c r="G332" s="29">
        <f t="shared" si="261"/>
        <v>1.69356</v>
      </c>
      <c r="H332" s="29">
        <f t="shared" si="261"/>
        <v>1.6351805159999999</v>
      </c>
      <c r="I332" s="29">
        <f t="shared" si="262"/>
        <v>0</v>
      </c>
      <c r="J332" s="29">
        <f t="shared" si="239"/>
        <v>0</v>
      </c>
      <c r="K332" s="29">
        <v>0</v>
      </c>
      <c r="L332" s="29">
        <v>0</v>
      </c>
      <c r="M332" s="29">
        <v>0</v>
      </c>
      <c r="N332" s="29">
        <v>0</v>
      </c>
      <c r="O332" s="29">
        <f t="shared" si="247"/>
        <v>4.5089232000000007E-2</v>
      </c>
      <c r="P332" s="29">
        <v>4.5089232000000007E-2</v>
      </c>
      <c r="Q332" s="29">
        <v>0</v>
      </c>
      <c r="R332" s="29">
        <v>0</v>
      </c>
      <c r="S332" s="29">
        <v>0</v>
      </c>
      <c r="T332" s="30">
        <f t="shared" si="253"/>
        <v>3.5400000000000002E-3</v>
      </c>
      <c r="U332" s="30">
        <v>3.5400000000000002E-3</v>
      </c>
      <c r="V332" s="30">
        <v>0</v>
      </c>
      <c r="W332" s="30">
        <v>0</v>
      </c>
      <c r="X332" s="30">
        <v>0</v>
      </c>
      <c r="Y332" s="30">
        <f t="shared" si="254"/>
        <v>3.391096476</v>
      </c>
      <c r="Z332" s="30">
        <v>6.2355959999999995E-2</v>
      </c>
      <c r="AA332" s="30">
        <v>1.69356</v>
      </c>
      <c r="AB332" s="30">
        <v>1.6351805159999999</v>
      </c>
      <c r="AC332" s="34">
        <v>0</v>
      </c>
      <c r="AD332" s="36">
        <v>3.3598210000000002</v>
      </c>
      <c r="AE332" s="36">
        <f t="shared" si="263"/>
        <v>2.8664380899999999</v>
      </c>
      <c r="AF332" s="36">
        <f t="shared" si="263"/>
        <v>9.2487659999999999E-2</v>
      </c>
      <c r="AG332" s="36">
        <f t="shared" si="263"/>
        <v>1.4113</v>
      </c>
      <c r="AH332" s="36">
        <f t="shared" si="263"/>
        <v>1.36265043</v>
      </c>
      <c r="AI332" s="36">
        <f t="shared" si="264"/>
        <v>0</v>
      </c>
      <c r="AJ332" s="36">
        <f t="shared" si="252"/>
        <v>0</v>
      </c>
      <c r="AK332" s="36">
        <v>0</v>
      </c>
      <c r="AL332" s="36">
        <v>0</v>
      </c>
      <c r="AM332" s="36">
        <v>0</v>
      </c>
      <c r="AN332" s="36">
        <v>0</v>
      </c>
      <c r="AO332" s="34">
        <f t="shared" si="246"/>
        <v>0</v>
      </c>
      <c r="AP332" s="34">
        <v>0</v>
      </c>
      <c r="AQ332" s="34">
        <v>0</v>
      </c>
      <c r="AR332" s="34">
        <v>0</v>
      </c>
      <c r="AS332" s="34">
        <v>0</v>
      </c>
      <c r="AT332" s="34">
        <f t="shared" si="255"/>
        <v>0</v>
      </c>
      <c r="AU332" s="34">
        <v>0</v>
      </c>
      <c r="AV332" s="34">
        <v>0</v>
      </c>
      <c r="AW332" s="34">
        <v>0</v>
      </c>
      <c r="AX332" s="34">
        <v>0</v>
      </c>
      <c r="AY332" s="34">
        <f t="shared" si="256"/>
        <v>2.8664380899999999</v>
      </c>
      <c r="AZ332" s="34">
        <v>9.2487659999999999E-2</v>
      </c>
      <c r="BA332" s="34">
        <v>1.4113</v>
      </c>
      <c r="BB332" s="34">
        <v>1.36265043</v>
      </c>
      <c r="BC332" s="34">
        <v>0</v>
      </c>
    </row>
    <row r="333" spans="1:55" s="55" customFormat="1" ht="36.75" customHeight="1" x14ac:dyDescent="0.25">
      <c r="A333" s="85" t="s">
        <v>235</v>
      </c>
      <c r="B333" s="96" t="s">
        <v>273</v>
      </c>
      <c r="C333" s="97" t="s">
        <v>274</v>
      </c>
      <c r="D333" s="88">
        <v>7.8828276600000002</v>
      </c>
      <c r="E333" s="29">
        <f t="shared" si="261"/>
        <v>1.5827156039999999</v>
      </c>
      <c r="F333" s="29">
        <f t="shared" si="261"/>
        <v>7.6677191999999991E-2</v>
      </c>
      <c r="G333" s="29">
        <f t="shared" si="261"/>
        <v>0.76555922399999998</v>
      </c>
      <c r="H333" s="29">
        <f t="shared" si="261"/>
        <v>0.74047918800000001</v>
      </c>
      <c r="I333" s="29">
        <f t="shared" si="262"/>
        <v>0</v>
      </c>
      <c r="J333" s="29">
        <f t="shared" si="239"/>
        <v>0</v>
      </c>
      <c r="K333" s="29">
        <v>0</v>
      </c>
      <c r="L333" s="29">
        <v>0</v>
      </c>
      <c r="M333" s="29">
        <v>0</v>
      </c>
      <c r="N333" s="29">
        <v>0</v>
      </c>
      <c r="O333" s="29">
        <f t="shared" si="247"/>
        <v>1.0781232E-2</v>
      </c>
      <c r="P333" s="29">
        <v>1.0781232E-2</v>
      </c>
      <c r="Q333" s="29">
        <v>0</v>
      </c>
      <c r="R333" s="29">
        <v>0</v>
      </c>
      <c r="S333" s="29">
        <v>0</v>
      </c>
      <c r="T333" s="30">
        <f t="shared" si="253"/>
        <v>3.5400000000000002E-3</v>
      </c>
      <c r="U333" s="30">
        <v>3.5400000000000002E-3</v>
      </c>
      <c r="V333" s="30">
        <v>0</v>
      </c>
      <c r="W333" s="30">
        <v>0</v>
      </c>
      <c r="X333" s="30">
        <v>0</v>
      </c>
      <c r="Y333" s="30">
        <f t="shared" si="254"/>
        <v>1.568394372</v>
      </c>
      <c r="Z333" s="30">
        <v>6.2355959999999995E-2</v>
      </c>
      <c r="AA333" s="30">
        <v>0.76555922399999998</v>
      </c>
      <c r="AB333" s="30">
        <v>0.74047918800000001</v>
      </c>
      <c r="AC333" s="34">
        <v>0</v>
      </c>
      <c r="AD333" s="36">
        <v>6.5690230500000002</v>
      </c>
      <c r="AE333" s="36">
        <f t="shared" si="263"/>
        <v>1.3189296699999999</v>
      </c>
      <c r="AF333" s="36">
        <f t="shared" si="263"/>
        <v>6.3897659999999995E-2</v>
      </c>
      <c r="AG333" s="36">
        <f t="shared" si="263"/>
        <v>0.63796601999999991</v>
      </c>
      <c r="AH333" s="36">
        <f t="shared" si="263"/>
        <v>0.61706599000000006</v>
      </c>
      <c r="AI333" s="36">
        <f t="shared" si="264"/>
        <v>0</v>
      </c>
      <c r="AJ333" s="36">
        <f t="shared" si="252"/>
        <v>0</v>
      </c>
      <c r="AK333" s="36">
        <v>0</v>
      </c>
      <c r="AL333" s="36">
        <v>0</v>
      </c>
      <c r="AM333" s="36">
        <v>0</v>
      </c>
      <c r="AN333" s="36">
        <v>0</v>
      </c>
      <c r="AO333" s="34">
        <f t="shared" si="246"/>
        <v>0</v>
      </c>
      <c r="AP333" s="34">
        <v>0</v>
      </c>
      <c r="AQ333" s="34">
        <v>0</v>
      </c>
      <c r="AR333" s="34">
        <v>0</v>
      </c>
      <c r="AS333" s="34">
        <v>0</v>
      </c>
      <c r="AT333" s="34">
        <f t="shared" si="255"/>
        <v>0</v>
      </c>
      <c r="AU333" s="34">
        <v>0</v>
      </c>
      <c r="AV333" s="34">
        <v>0</v>
      </c>
      <c r="AW333" s="34">
        <v>0</v>
      </c>
      <c r="AX333" s="34">
        <v>0</v>
      </c>
      <c r="AY333" s="34">
        <f t="shared" si="256"/>
        <v>1.3189296699999999</v>
      </c>
      <c r="AZ333" s="34">
        <v>6.3897659999999995E-2</v>
      </c>
      <c r="BA333" s="34">
        <v>0.63796601999999991</v>
      </c>
      <c r="BB333" s="34">
        <v>0.61706599000000006</v>
      </c>
      <c r="BC333" s="34">
        <v>0</v>
      </c>
    </row>
    <row r="334" spans="1:55" s="55" customFormat="1" ht="36.75" customHeight="1" x14ac:dyDescent="0.25">
      <c r="A334" s="85" t="s">
        <v>235</v>
      </c>
      <c r="B334" s="96" t="s">
        <v>275</v>
      </c>
      <c r="C334" s="97" t="s">
        <v>276</v>
      </c>
      <c r="D334" s="88">
        <v>7.8828240599999999</v>
      </c>
      <c r="E334" s="29">
        <f t="shared" si="261"/>
        <v>1.5913823519999997</v>
      </c>
      <c r="F334" s="29">
        <f t="shared" si="261"/>
        <v>7.6677179999999998E-2</v>
      </c>
      <c r="G334" s="29">
        <f t="shared" si="261"/>
        <v>0.76640520000000001</v>
      </c>
      <c r="H334" s="29">
        <f t="shared" si="261"/>
        <v>0.74829997199999987</v>
      </c>
      <c r="I334" s="29">
        <f t="shared" si="262"/>
        <v>0</v>
      </c>
      <c r="J334" s="29">
        <f t="shared" si="239"/>
        <v>0</v>
      </c>
      <c r="K334" s="29">
        <v>0</v>
      </c>
      <c r="L334" s="29">
        <v>0</v>
      </c>
      <c r="M334" s="29">
        <v>0</v>
      </c>
      <c r="N334" s="29">
        <v>0</v>
      </c>
      <c r="O334" s="29">
        <f t="shared" si="247"/>
        <v>1.0781232E-2</v>
      </c>
      <c r="P334" s="29">
        <v>1.0781232E-2</v>
      </c>
      <c r="Q334" s="29">
        <v>0</v>
      </c>
      <c r="R334" s="29">
        <v>0</v>
      </c>
      <c r="S334" s="29">
        <v>0</v>
      </c>
      <c r="T334" s="30">
        <f t="shared" si="253"/>
        <v>3.5400000000000002E-3</v>
      </c>
      <c r="U334" s="30">
        <v>3.5400000000000002E-3</v>
      </c>
      <c r="V334" s="30">
        <v>0</v>
      </c>
      <c r="W334" s="30">
        <v>0</v>
      </c>
      <c r="X334" s="30">
        <v>0</v>
      </c>
      <c r="Y334" s="30">
        <f t="shared" si="254"/>
        <v>1.5770611199999998</v>
      </c>
      <c r="Z334" s="30">
        <v>6.2355948000000001E-2</v>
      </c>
      <c r="AA334" s="30">
        <v>0.76640520000000001</v>
      </c>
      <c r="AB334" s="30">
        <v>0.74829997199999987</v>
      </c>
      <c r="AC334" s="34">
        <v>0</v>
      </c>
      <c r="AD334" s="36">
        <v>6.5690200499999998</v>
      </c>
      <c r="AE334" s="36">
        <f t="shared" si="263"/>
        <v>1.3261519600000002</v>
      </c>
      <c r="AF334" s="36">
        <f t="shared" si="263"/>
        <v>6.389765E-2</v>
      </c>
      <c r="AG334" s="36">
        <f t="shared" si="263"/>
        <v>0.6386710000000001</v>
      </c>
      <c r="AH334" s="36">
        <f t="shared" si="263"/>
        <v>0.62358331</v>
      </c>
      <c r="AI334" s="36">
        <f t="shared" si="264"/>
        <v>0</v>
      </c>
      <c r="AJ334" s="36">
        <f t="shared" si="252"/>
        <v>0</v>
      </c>
      <c r="AK334" s="36">
        <v>0</v>
      </c>
      <c r="AL334" s="36">
        <v>0</v>
      </c>
      <c r="AM334" s="36">
        <v>0</v>
      </c>
      <c r="AN334" s="36">
        <v>0</v>
      </c>
      <c r="AO334" s="34">
        <f t="shared" si="246"/>
        <v>0</v>
      </c>
      <c r="AP334" s="34">
        <v>0</v>
      </c>
      <c r="AQ334" s="34">
        <v>0</v>
      </c>
      <c r="AR334" s="34">
        <v>0</v>
      </c>
      <c r="AS334" s="34">
        <v>0</v>
      </c>
      <c r="AT334" s="34">
        <f t="shared" si="255"/>
        <v>0</v>
      </c>
      <c r="AU334" s="34">
        <v>0</v>
      </c>
      <c r="AV334" s="34">
        <v>0</v>
      </c>
      <c r="AW334" s="34">
        <v>0</v>
      </c>
      <c r="AX334" s="34">
        <v>0</v>
      </c>
      <c r="AY334" s="34">
        <f t="shared" si="256"/>
        <v>1.3261519600000002</v>
      </c>
      <c r="AZ334" s="34">
        <v>6.389765E-2</v>
      </c>
      <c r="BA334" s="34">
        <v>0.6386710000000001</v>
      </c>
      <c r="BB334" s="34">
        <v>0.62358331</v>
      </c>
      <c r="BC334" s="34">
        <v>0</v>
      </c>
    </row>
    <row r="335" spans="1:55" s="55" customFormat="1" ht="30.75" customHeight="1" x14ac:dyDescent="0.25">
      <c r="A335" s="85" t="s">
        <v>235</v>
      </c>
      <c r="B335" s="96" t="s">
        <v>277</v>
      </c>
      <c r="C335" s="97" t="s">
        <v>278</v>
      </c>
      <c r="D335" s="88">
        <v>6.7014986280000004</v>
      </c>
      <c r="E335" s="29">
        <f t="shared" si="261"/>
        <v>3.3793349159999999</v>
      </c>
      <c r="F335" s="29">
        <f t="shared" si="261"/>
        <v>7.5657180000000004E-2</v>
      </c>
      <c r="G335" s="29">
        <f t="shared" si="261"/>
        <v>1.6887540000000001</v>
      </c>
      <c r="H335" s="29">
        <f t="shared" si="261"/>
        <v>1.6149237359999999</v>
      </c>
      <c r="I335" s="29">
        <f t="shared" si="262"/>
        <v>0</v>
      </c>
      <c r="J335" s="29">
        <f t="shared" si="239"/>
        <v>0</v>
      </c>
      <c r="K335" s="29">
        <v>0</v>
      </c>
      <c r="L335" s="29">
        <v>0</v>
      </c>
      <c r="M335" s="29">
        <v>0</v>
      </c>
      <c r="N335" s="29">
        <v>0</v>
      </c>
      <c r="O335" s="29">
        <f t="shared" si="247"/>
        <v>1.0781232E-2</v>
      </c>
      <c r="P335" s="29">
        <v>1.0781232E-2</v>
      </c>
      <c r="Q335" s="29">
        <v>0</v>
      </c>
      <c r="R335" s="29">
        <v>0</v>
      </c>
      <c r="S335" s="29">
        <v>0</v>
      </c>
      <c r="T335" s="30">
        <f t="shared" si="253"/>
        <v>2.5200000000000001E-3</v>
      </c>
      <c r="U335" s="30">
        <v>2.5200000000000001E-3</v>
      </c>
      <c r="V335" s="30">
        <v>0</v>
      </c>
      <c r="W335" s="30">
        <v>0</v>
      </c>
      <c r="X335" s="30">
        <v>0</v>
      </c>
      <c r="Y335" s="30">
        <f t="shared" si="254"/>
        <v>3.366033684</v>
      </c>
      <c r="Z335" s="30">
        <v>6.2355948000000001E-2</v>
      </c>
      <c r="AA335" s="30">
        <v>1.6887540000000001</v>
      </c>
      <c r="AB335" s="30">
        <v>1.6149237359999999</v>
      </c>
      <c r="AC335" s="34">
        <v>0</v>
      </c>
      <c r="AD335" s="36">
        <v>5.5845821900000008</v>
      </c>
      <c r="AE335" s="36">
        <f t="shared" si="263"/>
        <v>2.81611243</v>
      </c>
      <c r="AF335" s="36">
        <f t="shared" si="263"/>
        <v>6.3047649999999997E-2</v>
      </c>
      <c r="AG335" s="36">
        <f t="shared" si="263"/>
        <v>1.407295</v>
      </c>
      <c r="AH335" s="36">
        <f t="shared" si="263"/>
        <v>1.3457697800000001</v>
      </c>
      <c r="AI335" s="36">
        <f t="shared" si="264"/>
        <v>0</v>
      </c>
      <c r="AJ335" s="36">
        <f t="shared" si="252"/>
        <v>0</v>
      </c>
      <c r="AK335" s="36">
        <v>0</v>
      </c>
      <c r="AL335" s="36">
        <v>0</v>
      </c>
      <c r="AM335" s="36">
        <v>0</v>
      </c>
      <c r="AN335" s="36">
        <v>0</v>
      </c>
      <c r="AO335" s="34">
        <f t="shared" si="246"/>
        <v>0</v>
      </c>
      <c r="AP335" s="34">
        <v>0</v>
      </c>
      <c r="AQ335" s="34">
        <v>0</v>
      </c>
      <c r="AR335" s="34">
        <v>0</v>
      </c>
      <c r="AS335" s="34">
        <v>0</v>
      </c>
      <c r="AT335" s="34">
        <f t="shared" si="255"/>
        <v>0</v>
      </c>
      <c r="AU335" s="34">
        <v>0</v>
      </c>
      <c r="AV335" s="34">
        <v>0</v>
      </c>
      <c r="AW335" s="34">
        <v>0</v>
      </c>
      <c r="AX335" s="34">
        <v>0</v>
      </c>
      <c r="AY335" s="34">
        <f t="shared" si="256"/>
        <v>2.81611243</v>
      </c>
      <c r="AZ335" s="34">
        <v>6.3047649999999997E-2</v>
      </c>
      <c r="BA335" s="34">
        <v>1.407295</v>
      </c>
      <c r="BB335" s="34">
        <v>1.3457697800000001</v>
      </c>
      <c r="BC335" s="34">
        <v>0</v>
      </c>
    </row>
    <row r="336" spans="1:55" s="55" customFormat="1" ht="30.75" customHeight="1" x14ac:dyDescent="0.25">
      <c r="A336" s="85" t="s">
        <v>235</v>
      </c>
      <c r="B336" s="96" t="s">
        <v>279</v>
      </c>
      <c r="C336" s="97" t="s">
        <v>280</v>
      </c>
      <c r="D336" s="88">
        <v>0.71584339200000002</v>
      </c>
      <c r="E336" s="29">
        <f t="shared" si="261"/>
        <v>0.75817771199999995</v>
      </c>
      <c r="F336" s="29">
        <f t="shared" si="261"/>
        <v>3.6813923999999998E-2</v>
      </c>
      <c r="G336" s="29">
        <f t="shared" si="261"/>
        <v>0.47643428399999999</v>
      </c>
      <c r="H336" s="29">
        <f t="shared" si="261"/>
        <v>0.24492950400000002</v>
      </c>
      <c r="I336" s="29">
        <f t="shared" si="262"/>
        <v>0</v>
      </c>
      <c r="J336" s="29">
        <f t="shared" si="239"/>
        <v>2.2285199999999998E-2</v>
      </c>
      <c r="K336" s="29">
        <v>2.2285199999999998E-2</v>
      </c>
      <c r="L336" s="29">
        <v>0</v>
      </c>
      <c r="M336" s="29">
        <v>0</v>
      </c>
      <c r="N336" s="29">
        <v>0</v>
      </c>
      <c r="O336" s="29">
        <f t="shared" si="247"/>
        <v>0</v>
      </c>
      <c r="P336" s="29">
        <v>0</v>
      </c>
      <c r="Q336" s="29">
        <v>0</v>
      </c>
      <c r="R336" s="29">
        <v>0</v>
      </c>
      <c r="S336" s="29">
        <v>0</v>
      </c>
      <c r="T336" s="30">
        <f t="shared" si="253"/>
        <v>1.4528724E-2</v>
      </c>
      <c r="U336" s="30">
        <v>1.4528724E-2</v>
      </c>
      <c r="V336" s="30">
        <v>0</v>
      </c>
      <c r="W336" s="30">
        <v>0</v>
      </c>
      <c r="X336" s="30">
        <v>0</v>
      </c>
      <c r="Y336" s="30">
        <f t="shared" si="254"/>
        <v>0.72136378800000001</v>
      </c>
      <c r="Z336" s="30">
        <v>0</v>
      </c>
      <c r="AA336" s="30">
        <v>0.47643428399999999</v>
      </c>
      <c r="AB336" s="30">
        <v>0.24492950400000002</v>
      </c>
      <c r="AC336" s="34">
        <v>0</v>
      </c>
      <c r="AD336" s="36">
        <v>0.59653616000000009</v>
      </c>
      <c r="AE336" s="36">
        <f t="shared" si="263"/>
        <v>0.63181476000000003</v>
      </c>
      <c r="AF336" s="36">
        <f t="shared" si="263"/>
        <v>3.0678270000000001E-2</v>
      </c>
      <c r="AG336" s="36">
        <f t="shared" si="263"/>
        <v>0.39702857000000003</v>
      </c>
      <c r="AH336" s="36">
        <f t="shared" si="263"/>
        <v>0.20410792</v>
      </c>
      <c r="AI336" s="36">
        <f t="shared" si="264"/>
        <v>0</v>
      </c>
      <c r="AJ336" s="36">
        <f t="shared" si="252"/>
        <v>0</v>
      </c>
      <c r="AK336" s="36">
        <v>0</v>
      </c>
      <c r="AL336" s="36">
        <v>0</v>
      </c>
      <c r="AM336" s="36">
        <v>0</v>
      </c>
      <c r="AN336" s="36">
        <v>0</v>
      </c>
      <c r="AO336" s="34">
        <f t="shared" si="246"/>
        <v>0</v>
      </c>
      <c r="AP336" s="34">
        <v>0</v>
      </c>
      <c r="AQ336" s="34">
        <v>0</v>
      </c>
      <c r="AR336" s="34">
        <v>0</v>
      </c>
      <c r="AS336" s="34">
        <v>0</v>
      </c>
      <c r="AT336" s="34">
        <f t="shared" si="255"/>
        <v>0</v>
      </c>
      <c r="AU336" s="34">
        <v>0</v>
      </c>
      <c r="AV336" s="34">
        <v>0</v>
      </c>
      <c r="AW336" s="34">
        <v>0</v>
      </c>
      <c r="AX336" s="34">
        <v>0</v>
      </c>
      <c r="AY336" s="34">
        <f t="shared" si="256"/>
        <v>0.63181476000000003</v>
      </c>
      <c r="AZ336" s="34">
        <v>3.0678270000000001E-2</v>
      </c>
      <c r="BA336" s="34">
        <v>0.39702857000000003</v>
      </c>
      <c r="BB336" s="34">
        <v>0.20410792</v>
      </c>
      <c r="BC336" s="34">
        <v>0</v>
      </c>
    </row>
    <row r="337" spans="1:55" s="55" customFormat="1" ht="30.75" customHeight="1" x14ac:dyDescent="0.25">
      <c r="A337" s="85" t="s">
        <v>235</v>
      </c>
      <c r="B337" s="96" t="s">
        <v>281</v>
      </c>
      <c r="C337" s="97" t="s">
        <v>282</v>
      </c>
      <c r="D337" s="88">
        <v>4.5282312000000005</v>
      </c>
      <c r="E337" s="29">
        <f t="shared" si="261"/>
        <v>1.7321393279999997</v>
      </c>
      <c r="F337" s="29">
        <f t="shared" si="261"/>
        <v>5.2539924000000002E-2</v>
      </c>
      <c r="G337" s="29">
        <f t="shared" si="261"/>
        <v>1.2632399399999998</v>
      </c>
      <c r="H337" s="29">
        <f t="shared" si="261"/>
        <v>0.41635946400000001</v>
      </c>
      <c r="I337" s="29">
        <f t="shared" si="262"/>
        <v>0</v>
      </c>
      <c r="J337" s="29">
        <f t="shared" si="239"/>
        <v>0</v>
      </c>
      <c r="K337" s="29">
        <v>0</v>
      </c>
      <c r="L337" s="29">
        <v>0</v>
      </c>
      <c r="M337" s="29">
        <v>0</v>
      </c>
      <c r="N337" s="29">
        <v>0</v>
      </c>
      <c r="O337" s="29">
        <f t="shared" si="247"/>
        <v>3.5491200000000001E-2</v>
      </c>
      <c r="P337" s="29">
        <v>3.5491200000000001E-2</v>
      </c>
      <c r="Q337" s="29">
        <v>0</v>
      </c>
      <c r="R337" s="29">
        <v>0</v>
      </c>
      <c r="S337" s="29">
        <v>0</v>
      </c>
      <c r="T337" s="30">
        <f t="shared" si="253"/>
        <v>1.7048724000000001E-2</v>
      </c>
      <c r="U337" s="30">
        <v>1.7048724000000001E-2</v>
      </c>
      <c r="V337" s="30">
        <v>0</v>
      </c>
      <c r="W337" s="30">
        <v>0</v>
      </c>
      <c r="X337" s="30">
        <v>0</v>
      </c>
      <c r="Y337" s="30">
        <f t="shared" si="254"/>
        <v>1.6795994039999997</v>
      </c>
      <c r="Z337" s="30">
        <v>0</v>
      </c>
      <c r="AA337" s="30">
        <v>1.2632399399999998</v>
      </c>
      <c r="AB337" s="30">
        <v>0.41635946400000001</v>
      </c>
      <c r="AC337" s="34">
        <v>0</v>
      </c>
      <c r="AD337" s="36">
        <v>3.7735260000000004</v>
      </c>
      <c r="AE337" s="36">
        <f t="shared" si="263"/>
        <v>1.6349096300000001</v>
      </c>
      <c r="AF337" s="36">
        <f t="shared" si="263"/>
        <v>0.23524345999999999</v>
      </c>
      <c r="AG337" s="36">
        <f t="shared" si="263"/>
        <v>1.0526999500000001</v>
      </c>
      <c r="AH337" s="36">
        <f t="shared" si="263"/>
        <v>0.34696622000000005</v>
      </c>
      <c r="AI337" s="36">
        <f t="shared" si="264"/>
        <v>0</v>
      </c>
      <c r="AJ337" s="36">
        <f t="shared" si="252"/>
        <v>0</v>
      </c>
      <c r="AK337" s="36">
        <v>0</v>
      </c>
      <c r="AL337" s="36">
        <v>0</v>
      </c>
      <c r="AM337" s="36">
        <v>0</v>
      </c>
      <c r="AN337" s="36">
        <v>0</v>
      </c>
      <c r="AO337" s="34">
        <f t="shared" si="246"/>
        <v>0</v>
      </c>
      <c r="AP337" s="34">
        <v>0</v>
      </c>
      <c r="AQ337" s="34">
        <v>0</v>
      </c>
      <c r="AR337" s="34">
        <v>0</v>
      </c>
      <c r="AS337" s="34">
        <v>0</v>
      </c>
      <c r="AT337" s="34">
        <f t="shared" si="255"/>
        <v>0</v>
      </c>
      <c r="AU337" s="34">
        <v>0</v>
      </c>
      <c r="AV337" s="34">
        <v>0</v>
      </c>
      <c r="AW337" s="34">
        <v>0</v>
      </c>
      <c r="AX337" s="34">
        <v>0</v>
      </c>
      <c r="AY337" s="34">
        <f t="shared" si="256"/>
        <v>1.6349096300000001</v>
      </c>
      <c r="AZ337" s="34">
        <v>0.23524345999999999</v>
      </c>
      <c r="BA337" s="34">
        <v>1.0526999500000001</v>
      </c>
      <c r="BB337" s="34">
        <v>0.34696622000000005</v>
      </c>
      <c r="BC337" s="34">
        <v>0</v>
      </c>
    </row>
    <row r="338" spans="1:55" s="55" customFormat="1" ht="30.75" customHeight="1" x14ac:dyDescent="0.25">
      <c r="A338" s="85" t="s">
        <v>235</v>
      </c>
      <c r="B338" s="96" t="s">
        <v>283</v>
      </c>
      <c r="C338" s="97" t="s">
        <v>284</v>
      </c>
      <c r="D338" s="88">
        <v>2.8084117559999999</v>
      </c>
      <c r="E338" s="29">
        <f t="shared" si="261"/>
        <v>2.8535683679999999</v>
      </c>
      <c r="F338" s="29">
        <f t="shared" si="261"/>
        <v>4.1552399999999996E-2</v>
      </c>
      <c r="G338" s="29">
        <f t="shared" si="261"/>
        <v>1.6113517799999999</v>
      </c>
      <c r="H338" s="29">
        <f t="shared" si="261"/>
        <v>1.200664188</v>
      </c>
      <c r="I338" s="29">
        <f t="shared" si="262"/>
        <v>0</v>
      </c>
      <c r="J338" s="29">
        <f t="shared" si="239"/>
        <v>3.2552399999999995E-2</v>
      </c>
      <c r="K338" s="29">
        <v>3.2552399999999995E-2</v>
      </c>
      <c r="L338" s="29">
        <v>0</v>
      </c>
      <c r="M338" s="29">
        <v>0</v>
      </c>
      <c r="N338" s="29">
        <v>0</v>
      </c>
      <c r="O338" s="29">
        <f t="shared" si="247"/>
        <v>0</v>
      </c>
      <c r="P338" s="29">
        <v>0</v>
      </c>
      <c r="Q338" s="29">
        <v>0</v>
      </c>
      <c r="R338" s="29">
        <v>0</v>
      </c>
      <c r="S338" s="29">
        <v>0</v>
      </c>
      <c r="T338" s="30">
        <f t="shared" si="253"/>
        <v>8.9999999999999993E-3</v>
      </c>
      <c r="U338" s="30">
        <v>8.9999999999999993E-3</v>
      </c>
      <c r="V338" s="30">
        <v>0</v>
      </c>
      <c r="W338" s="30">
        <v>0</v>
      </c>
      <c r="X338" s="30">
        <v>0</v>
      </c>
      <c r="Y338" s="30">
        <f t="shared" si="254"/>
        <v>2.8120159679999999</v>
      </c>
      <c r="Z338" s="30">
        <v>0</v>
      </c>
      <c r="AA338" s="30">
        <v>1.6113517799999999</v>
      </c>
      <c r="AB338" s="30">
        <v>1.200664188</v>
      </c>
      <c r="AC338" s="34">
        <v>0</v>
      </c>
      <c r="AD338" s="36">
        <v>2.3403431299999999</v>
      </c>
      <c r="AE338" s="36">
        <f t="shared" si="263"/>
        <v>2.4042566799999996</v>
      </c>
      <c r="AF338" s="36">
        <f t="shared" si="263"/>
        <v>6.0910040000000006E-2</v>
      </c>
      <c r="AG338" s="36">
        <f t="shared" si="263"/>
        <v>1.3427931499999999</v>
      </c>
      <c r="AH338" s="36">
        <f t="shared" si="263"/>
        <v>1.0005534899999999</v>
      </c>
      <c r="AI338" s="36">
        <f t="shared" si="264"/>
        <v>0</v>
      </c>
      <c r="AJ338" s="36">
        <f t="shared" si="252"/>
        <v>0</v>
      </c>
      <c r="AK338" s="36">
        <v>0</v>
      </c>
      <c r="AL338" s="36">
        <v>0</v>
      </c>
      <c r="AM338" s="36">
        <v>0</v>
      </c>
      <c r="AN338" s="36">
        <v>0</v>
      </c>
      <c r="AO338" s="34">
        <f t="shared" si="246"/>
        <v>0</v>
      </c>
      <c r="AP338" s="34">
        <v>0</v>
      </c>
      <c r="AQ338" s="34">
        <v>0</v>
      </c>
      <c r="AR338" s="34">
        <v>0</v>
      </c>
      <c r="AS338" s="34">
        <v>0</v>
      </c>
      <c r="AT338" s="34">
        <f t="shared" si="255"/>
        <v>0</v>
      </c>
      <c r="AU338" s="34">
        <v>0</v>
      </c>
      <c r="AV338" s="34">
        <v>0</v>
      </c>
      <c r="AW338" s="34">
        <v>0</v>
      </c>
      <c r="AX338" s="34">
        <v>0</v>
      </c>
      <c r="AY338" s="34">
        <f t="shared" si="256"/>
        <v>2.4042566799999996</v>
      </c>
      <c r="AZ338" s="34">
        <v>6.0910040000000006E-2</v>
      </c>
      <c r="BA338" s="34">
        <v>1.3427931499999999</v>
      </c>
      <c r="BB338" s="34">
        <v>1.0005534899999999</v>
      </c>
      <c r="BC338" s="34">
        <v>0</v>
      </c>
    </row>
    <row r="339" spans="1:55" s="55" customFormat="1" ht="35.25" customHeight="1" x14ac:dyDescent="0.25">
      <c r="A339" s="85" t="s">
        <v>235</v>
      </c>
      <c r="B339" s="96" t="s">
        <v>285</v>
      </c>
      <c r="C339" s="97" t="s">
        <v>286</v>
      </c>
      <c r="D339" s="88">
        <v>1.6103208</v>
      </c>
      <c r="E339" s="29">
        <f t="shared" si="261"/>
        <v>1.6967364840000001</v>
      </c>
      <c r="F339" s="29">
        <f t="shared" si="261"/>
        <v>5.7262776000000001E-2</v>
      </c>
      <c r="G339" s="29">
        <f t="shared" si="261"/>
        <v>0.90876006000000009</v>
      </c>
      <c r="H339" s="29">
        <f t="shared" si="261"/>
        <v>0.73071364800000005</v>
      </c>
      <c r="I339" s="29">
        <f t="shared" si="262"/>
        <v>0</v>
      </c>
      <c r="J339" s="29">
        <f t="shared" si="239"/>
        <v>2.8612800000000001E-2</v>
      </c>
      <c r="K339" s="29">
        <v>2.8612800000000001E-2</v>
      </c>
      <c r="L339" s="29">
        <v>0</v>
      </c>
      <c r="M339" s="29">
        <v>0</v>
      </c>
      <c r="N339" s="29">
        <v>0</v>
      </c>
      <c r="O339" s="29">
        <f t="shared" si="247"/>
        <v>0</v>
      </c>
      <c r="P339" s="29">
        <v>0</v>
      </c>
      <c r="Q339" s="29">
        <v>0</v>
      </c>
      <c r="R339" s="29">
        <v>0</v>
      </c>
      <c r="S339" s="29">
        <v>0</v>
      </c>
      <c r="T339" s="30">
        <f t="shared" si="253"/>
        <v>2.8649976000000001E-2</v>
      </c>
      <c r="U339" s="30">
        <v>2.8649976000000001E-2</v>
      </c>
      <c r="V339" s="30">
        <v>0</v>
      </c>
      <c r="W339" s="30">
        <v>0</v>
      </c>
      <c r="X339" s="30">
        <v>0</v>
      </c>
      <c r="Y339" s="30">
        <f t="shared" si="254"/>
        <v>1.6394737080000001</v>
      </c>
      <c r="Z339" s="30">
        <v>0</v>
      </c>
      <c r="AA339" s="30">
        <v>0.90876006000000009</v>
      </c>
      <c r="AB339" s="30">
        <v>0.73071364800000005</v>
      </c>
      <c r="AC339" s="34">
        <v>0</v>
      </c>
      <c r="AD339" s="36">
        <v>1.341934</v>
      </c>
      <c r="AE339" s="36">
        <f t="shared" si="263"/>
        <v>1.4390597600000001</v>
      </c>
      <c r="AF339" s="36">
        <f t="shared" si="263"/>
        <v>7.2831670000000001E-2</v>
      </c>
      <c r="AG339" s="36">
        <f t="shared" si="263"/>
        <v>0.75730005</v>
      </c>
      <c r="AH339" s="36">
        <f t="shared" si="263"/>
        <v>0.60892804</v>
      </c>
      <c r="AI339" s="36">
        <f t="shared" si="264"/>
        <v>0</v>
      </c>
      <c r="AJ339" s="36">
        <f t="shared" si="252"/>
        <v>0</v>
      </c>
      <c r="AK339" s="36">
        <v>0</v>
      </c>
      <c r="AL339" s="36">
        <v>0</v>
      </c>
      <c r="AM339" s="36">
        <v>0</v>
      </c>
      <c r="AN339" s="36">
        <v>0</v>
      </c>
      <c r="AO339" s="34">
        <f t="shared" si="246"/>
        <v>0</v>
      </c>
      <c r="AP339" s="34">
        <v>0</v>
      </c>
      <c r="AQ339" s="34">
        <v>0</v>
      </c>
      <c r="AR339" s="34">
        <v>0</v>
      </c>
      <c r="AS339" s="34">
        <v>0</v>
      </c>
      <c r="AT339" s="34">
        <f t="shared" si="255"/>
        <v>0</v>
      </c>
      <c r="AU339" s="34">
        <v>0</v>
      </c>
      <c r="AV339" s="34">
        <v>0</v>
      </c>
      <c r="AW339" s="34">
        <v>0</v>
      </c>
      <c r="AX339" s="34">
        <v>0</v>
      </c>
      <c r="AY339" s="34">
        <f t="shared" si="256"/>
        <v>1.4390597600000001</v>
      </c>
      <c r="AZ339" s="34">
        <v>7.2831670000000001E-2</v>
      </c>
      <c r="BA339" s="34">
        <v>0.75730005</v>
      </c>
      <c r="BB339" s="34">
        <v>0.60892804</v>
      </c>
      <c r="BC339" s="34">
        <v>0</v>
      </c>
    </row>
    <row r="340" spans="1:55" s="55" customFormat="1" ht="32.25" customHeight="1" x14ac:dyDescent="0.25">
      <c r="A340" s="85" t="s">
        <v>235</v>
      </c>
      <c r="B340" s="96" t="s">
        <v>287</v>
      </c>
      <c r="C340" s="97" t="s">
        <v>288</v>
      </c>
      <c r="D340" s="88">
        <v>1.7808865079999998</v>
      </c>
      <c r="E340" s="29">
        <f t="shared" si="261"/>
        <v>1.7999999999999999E-2</v>
      </c>
      <c r="F340" s="29">
        <f t="shared" si="261"/>
        <v>1.7999999999999999E-2</v>
      </c>
      <c r="G340" s="29">
        <f t="shared" si="261"/>
        <v>0</v>
      </c>
      <c r="H340" s="29">
        <f t="shared" si="261"/>
        <v>0</v>
      </c>
      <c r="I340" s="29">
        <f t="shared" si="262"/>
        <v>0</v>
      </c>
      <c r="J340" s="29">
        <f t="shared" ref="J340:J379" si="268">K340+L340+M340+N340</f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f t="shared" si="247"/>
        <v>8.9999999999999993E-3</v>
      </c>
      <c r="P340" s="29">
        <v>8.9999999999999993E-3</v>
      </c>
      <c r="Q340" s="29">
        <v>0</v>
      </c>
      <c r="R340" s="29">
        <v>0</v>
      </c>
      <c r="S340" s="29">
        <v>0</v>
      </c>
      <c r="T340" s="30">
        <f t="shared" si="253"/>
        <v>8.9999999999999993E-3</v>
      </c>
      <c r="U340" s="30">
        <v>8.9999999999999993E-3</v>
      </c>
      <c r="V340" s="30">
        <v>0</v>
      </c>
      <c r="W340" s="30">
        <v>0</v>
      </c>
      <c r="X340" s="30">
        <v>0</v>
      </c>
      <c r="Y340" s="30">
        <f t="shared" si="254"/>
        <v>0</v>
      </c>
      <c r="Z340" s="30">
        <v>0</v>
      </c>
      <c r="AA340" s="30">
        <v>0</v>
      </c>
      <c r="AB340" s="30">
        <v>0</v>
      </c>
      <c r="AC340" s="34">
        <v>0</v>
      </c>
      <c r="AD340" s="36">
        <v>1.48407209</v>
      </c>
      <c r="AE340" s="36">
        <f t="shared" si="263"/>
        <v>0</v>
      </c>
      <c r="AF340" s="36">
        <f t="shared" si="263"/>
        <v>0</v>
      </c>
      <c r="AG340" s="36">
        <f t="shared" si="263"/>
        <v>0</v>
      </c>
      <c r="AH340" s="36">
        <f t="shared" si="263"/>
        <v>0</v>
      </c>
      <c r="AI340" s="36">
        <f t="shared" si="264"/>
        <v>0</v>
      </c>
      <c r="AJ340" s="36">
        <f t="shared" si="252"/>
        <v>0</v>
      </c>
      <c r="AK340" s="36">
        <v>0</v>
      </c>
      <c r="AL340" s="36">
        <v>0</v>
      </c>
      <c r="AM340" s="36">
        <v>0</v>
      </c>
      <c r="AN340" s="36">
        <v>0</v>
      </c>
      <c r="AO340" s="34">
        <f t="shared" si="246"/>
        <v>0</v>
      </c>
      <c r="AP340" s="34">
        <v>0</v>
      </c>
      <c r="AQ340" s="34">
        <v>0</v>
      </c>
      <c r="AR340" s="34">
        <v>0</v>
      </c>
      <c r="AS340" s="34">
        <v>0</v>
      </c>
      <c r="AT340" s="34">
        <f t="shared" si="255"/>
        <v>0</v>
      </c>
      <c r="AU340" s="34">
        <v>0</v>
      </c>
      <c r="AV340" s="34">
        <v>0</v>
      </c>
      <c r="AW340" s="34">
        <v>0</v>
      </c>
      <c r="AX340" s="34">
        <v>0</v>
      </c>
      <c r="AY340" s="34">
        <f t="shared" si="256"/>
        <v>0</v>
      </c>
      <c r="AZ340" s="34">
        <v>0</v>
      </c>
      <c r="BA340" s="34">
        <v>0</v>
      </c>
      <c r="BB340" s="34">
        <v>0</v>
      </c>
      <c r="BC340" s="34">
        <v>0</v>
      </c>
    </row>
    <row r="341" spans="1:55" s="55" customFormat="1" ht="32.25" customHeight="1" x14ac:dyDescent="0.25">
      <c r="A341" s="85" t="s">
        <v>235</v>
      </c>
      <c r="B341" s="96" t="s">
        <v>289</v>
      </c>
      <c r="C341" s="97" t="s">
        <v>290</v>
      </c>
      <c r="D341" s="88">
        <v>2.5818131040000001</v>
      </c>
      <c r="E341" s="29">
        <f t="shared" si="261"/>
        <v>1.7999999999999999E-2</v>
      </c>
      <c r="F341" s="29">
        <f t="shared" si="261"/>
        <v>1.7999999999999999E-2</v>
      </c>
      <c r="G341" s="29">
        <f t="shared" si="261"/>
        <v>0</v>
      </c>
      <c r="H341" s="29">
        <f t="shared" si="261"/>
        <v>0</v>
      </c>
      <c r="I341" s="29">
        <f t="shared" si="262"/>
        <v>0</v>
      </c>
      <c r="J341" s="29">
        <f t="shared" si="268"/>
        <v>0</v>
      </c>
      <c r="K341" s="29">
        <v>0</v>
      </c>
      <c r="L341" s="29">
        <v>0</v>
      </c>
      <c r="M341" s="29">
        <v>0</v>
      </c>
      <c r="N341" s="29">
        <v>0</v>
      </c>
      <c r="O341" s="29">
        <f t="shared" si="247"/>
        <v>8.9999999999999993E-3</v>
      </c>
      <c r="P341" s="29">
        <v>8.9999999999999993E-3</v>
      </c>
      <c r="Q341" s="29">
        <v>0</v>
      </c>
      <c r="R341" s="29">
        <v>0</v>
      </c>
      <c r="S341" s="29">
        <v>0</v>
      </c>
      <c r="T341" s="30">
        <f t="shared" si="253"/>
        <v>8.9999999999999993E-3</v>
      </c>
      <c r="U341" s="30">
        <v>8.9999999999999993E-3</v>
      </c>
      <c r="V341" s="30">
        <v>0</v>
      </c>
      <c r="W341" s="30">
        <v>0</v>
      </c>
      <c r="X341" s="30">
        <v>0</v>
      </c>
      <c r="Y341" s="30">
        <f t="shared" si="254"/>
        <v>0</v>
      </c>
      <c r="Z341" s="30">
        <v>0</v>
      </c>
      <c r="AA341" s="30">
        <v>0</v>
      </c>
      <c r="AB341" s="30">
        <v>0</v>
      </c>
      <c r="AC341" s="34">
        <v>0</v>
      </c>
      <c r="AD341" s="36">
        <v>2.1515109200000002</v>
      </c>
      <c r="AE341" s="36">
        <f t="shared" si="263"/>
        <v>0</v>
      </c>
      <c r="AF341" s="36">
        <f t="shared" si="263"/>
        <v>0</v>
      </c>
      <c r="AG341" s="36">
        <f t="shared" si="263"/>
        <v>0</v>
      </c>
      <c r="AH341" s="36">
        <f t="shared" si="263"/>
        <v>0</v>
      </c>
      <c r="AI341" s="36">
        <f t="shared" si="264"/>
        <v>0</v>
      </c>
      <c r="AJ341" s="36">
        <f t="shared" si="252"/>
        <v>0</v>
      </c>
      <c r="AK341" s="36">
        <v>0</v>
      </c>
      <c r="AL341" s="36">
        <v>0</v>
      </c>
      <c r="AM341" s="36">
        <v>0</v>
      </c>
      <c r="AN341" s="36">
        <v>0</v>
      </c>
      <c r="AO341" s="34">
        <f t="shared" si="246"/>
        <v>0</v>
      </c>
      <c r="AP341" s="34">
        <v>0</v>
      </c>
      <c r="AQ341" s="34">
        <v>0</v>
      </c>
      <c r="AR341" s="34">
        <v>0</v>
      </c>
      <c r="AS341" s="34">
        <v>0</v>
      </c>
      <c r="AT341" s="34">
        <f t="shared" si="255"/>
        <v>0</v>
      </c>
      <c r="AU341" s="34">
        <v>0</v>
      </c>
      <c r="AV341" s="34">
        <v>0</v>
      </c>
      <c r="AW341" s="34">
        <v>0</v>
      </c>
      <c r="AX341" s="34">
        <v>0</v>
      </c>
      <c r="AY341" s="34">
        <f t="shared" si="256"/>
        <v>0</v>
      </c>
      <c r="AZ341" s="34">
        <v>0</v>
      </c>
      <c r="BA341" s="34">
        <v>0</v>
      </c>
      <c r="BB341" s="34">
        <v>0</v>
      </c>
      <c r="BC341" s="34">
        <v>0</v>
      </c>
    </row>
    <row r="342" spans="1:55" s="55" customFormat="1" ht="32.25" customHeight="1" x14ac:dyDescent="0.25">
      <c r="A342" s="85" t="s">
        <v>235</v>
      </c>
      <c r="B342" s="96" t="s">
        <v>291</v>
      </c>
      <c r="C342" s="97" t="s">
        <v>292</v>
      </c>
      <c r="D342" s="88">
        <v>1.6474509720000001</v>
      </c>
      <c r="E342" s="29">
        <f t="shared" si="261"/>
        <v>2.5871835840000004</v>
      </c>
      <c r="F342" s="29">
        <f t="shared" si="261"/>
        <v>5.1469296000000005E-2</v>
      </c>
      <c r="G342" s="29">
        <f t="shared" si="261"/>
        <v>2.0896991280000003</v>
      </c>
      <c r="H342" s="29">
        <f t="shared" si="261"/>
        <v>0.44601515999999997</v>
      </c>
      <c r="I342" s="29">
        <f t="shared" si="262"/>
        <v>0</v>
      </c>
      <c r="J342" s="29">
        <f t="shared" si="268"/>
        <v>0</v>
      </c>
      <c r="K342" s="29">
        <v>0</v>
      </c>
      <c r="L342" s="29">
        <v>0</v>
      </c>
      <c r="M342" s="29">
        <v>0</v>
      </c>
      <c r="N342" s="29">
        <v>0</v>
      </c>
      <c r="O342" s="29">
        <f t="shared" si="247"/>
        <v>5.1469296000000005E-2</v>
      </c>
      <c r="P342" s="29">
        <v>5.1469296000000005E-2</v>
      </c>
      <c r="Q342" s="29">
        <v>0</v>
      </c>
      <c r="R342" s="29">
        <v>0</v>
      </c>
      <c r="S342" s="29">
        <v>0</v>
      </c>
      <c r="T342" s="30">
        <f t="shared" si="253"/>
        <v>0</v>
      </c>
      <c r="U342" s="30">
        <v>0</v>
      </c>
      <c r="V342" s="30">
        <v>0</v>
      </c>
      <c r="W342" s="30">
        <v>0</v>
      </c>
      <c r="X342" s="30">
        <v>0</v>
      </c>
      <c r="Y342" s="30">
        <f t="shared" si="254"/>
        <v>2.5357142880000003</v>
      </c>
      <c r="Z342" s="30">
        <v>0</v>
      </c>
      <c r="AA342" s="30">
        <v>2.0896991280000003</v>
      </c>
      <c r="AB342" s="30">
        <v>0.44601515999999997</v>
      </c>
      <c r="AC342" s="34">
        <v>0</v>
      </c>
      <c r="AD342" s="36">
        <v>1.3728758100000003</v>
      </c>
      <c r="AE342" s="36">
        <f t="shared" si="263"/>
        <v>2.1559863199999998</v>
      </c>
      <c r="AF342" s="36">
        <f t="shared" si="263"/>
        <v>4.2891080000000005E-2</v>
      </c>
      <c r="AG342" s="36">
        <f t="shared" si="263"/>
        <v>1.74141594</v>
      </c>
      <c r="AH342" s="36">
        <f t="shared" si="263"/>
        <v>0.37167929999999999</v>
      </c>
      <c r="AI342" s="36">
        <f t="shared" si="264"/>
        <v>0</v>
      </c>
      <c r="AJ342" s="36">
        <f t="shared" si="252"/>
        <v>0</v>
      </c>
      <c r="AK342" s="36">
        <v>0</v>
      </c>
      <c r="AL342" s="36">
        <v>0</v>
      </c>
      <c r="AM342" s="36">
        <v>0</v>
      </c>
      <c r="AN342" s="36">
        <v>0</v>
      </c>
      <c r="AO342" s="34">
        <f t="shared" si="246"/>
        <v>0</v>
      </c>
      <c r="AP342" s="34">
        <v>0</v>
      </c>
      <c r="AQ342" s="34">
        <v>0</v>
      </c>
      <c r="AR342" s="34">
        <v>0</v>
      </c>
      <c r="AS342" s="34">
        <v>0</v>
      </c>
      <c r="AT342" s="34">
        <f t="shared" si="255"/>
        <v>0</v>
      </c>
      <c r="AU342" s="34">
        <v>0</v>
      </c>
      <c r="AV342" s="34">
        <v>0</v>
      </c>
      <c r="AW342" s="34">
        <v>0</v>
      </c>
      <c r="AX342" s="34">
        <v>0</v>
      </c>
      <c r="AY342" s="34">
        <f t="shared" si="256"/>
        <v>2.1559863199999998</v>
      </c>
      <c r="AZ342" s="34">
        <v>4.2891080000000005E-2</v>
      </c>
      <c r="BA342" s="34">
        <v>1.74141594</v>
      </c>
      <c r="BB342" s="34">
        <v>0.37167929999999999</v>
      </c>
      <c r="BC342" s="34">
        <v>0</v>
      </c>
    </row>
    <row r="343" spans="1:55" s="55" customFormat="1" ht="32.25" customHeight="1" x14ac:dyDescent="0.25">
      <c r="A343" s="85" t="s">
        <v>235</v>
      </c>
      <c r="B343" s="96" t="s">
        <v>293</v>
      </c>
      <c r="C343" s="97" t="s">
        <v>294</v>
      </c>
      <c r="D343" s="88">
        <v>1.535047008</v>
      </c>
      <c r="E343" s="29">
        <f t="shared" si="261"/>
        <v>0.85193037599999977</v>
      </c>
      <c r="F343" s="29">
        <f t="shared" si="261"/>
        <v>3.8512032000000002E-2</v>
      </c>
      <c r="G343" s="29">
        <f t="shared" si="261"/>
        <v>0.62588993999999987</v>
      </c>
      <c r="H343" s="29">
        <f t="shared" si="261"/>
        <v>0.18752840399999998</v>
      </c>
      <c r="I343" s="29">
        <f t="shared" si="262"/>
        <v>0</v>
      </c>
      <c r="J343" s="29">
        <f t="shared" si="268"/>
        <v>2.3110800000000001E-2</v>
      </c>
      <c r="K343" s="29">
        <v>2.3110800000000001E-2</v>
      </c>
      <c r="L343" s="29">
        <v>0</v>
      </c>
      <c r="M343" s="29">
        <v>0</v>
      </c>
      <c r="N343" s="29">
        <v>0</v>
      </c>
      <c r="O343" s="29">
        <f t="shared" si="247"/>
        <v>1.5401231999999999E-2</v>
      </c>
      <c r="P343" s="29">
        <v>1.5401231999999999E-2</v>
      </c>
      <c r="Q343" s="29">
        <v>0</v>
      </c>
      <c r="R343" s="29">
        <v>0</v>
      </c>
      <c r="S343" s="29">
        <v>0</v>
      </c>
      <c r="T343" s="30">
        <f t="shared" si="253"/>
        <v>0</v>
      </c>
      <c r="U343" s="30">
        <v>0</v>
      </c>
      <c r="V343" s="30">
        <v>0</v>
      </c>
      <c r="W343" s="30">
        <v>0</v>
      </c>
      <c r="X343" s="30">
        <v>0</v>
      </c>
      <c r="Y343" s="30">
        <f t="shared" si="254"/>
        <v>0.81341834399999979</v>
      </c>
      <c r="Z343" s="30">
        <v>0</v>
      </c>
      <c r="AA343" s="30">
        <v>0.62588993999999987</v>
      </c>
      <c r="AB343" s="30">
        <v>0.18752840399999998</v>
      </c>
      <c r="AC343" s="34">
        <v>0</v>
      </c>
      <c r="AD343" s="36">
        <v>1.2792058400000001</v>
      </c>
      <c r="AE343" s="36">
        <f t="shared" si="263"/>
        <v>0.70994197999999997</v>
      </c>
      <c r="AF343" s="36">
        <f t="shared" si="263"/>
        <v>3.2093359999999994E-2</v>
      </c>
      <c r="AG343" s="36">
        <f t="shared" si="263"/>
        <v>0.52157494999999998</v>
      </c>
      <c r="AH343" s="36">
        <f t="shared" si="263"/>
        <v>0.15627367</v>
      </c>
      <c r="AI343" s="36">
        <f t="shared" si="264"/>
        <v>0</v>
      </c>
      <c r="AJ343" s="36">
        <f t="shared" si="252"/>
        <v>0</v>
      </c>
      <c r="AK343" s="36">
        <v>0</v>
      </c>
      <c r="AL343" s="36">
        <v>0</v>
      </c>
      <c r="AM343" s="36">
        <v>0</v>
      </c>
      <c r="AN343" s="36">
        <v>0</v>
      </c>
      <c r="AO343" s="34">
        <f t="shared" si="246"/>
        <v>0</v>
      </c>
      <c r="AP343" s="34">
        <v>0</v>
      </c>
      <c r="AQ343" s="34">
        <v>0</v>
      </c>
      <c r="AR343" s="34">
        <v>0</v>
      </c>
      <c r="AS343" s="34">
        <v>0</v>
      </c>
      <c r="AT343" s="34">
        <f t="shared" si="255"/>
        <v>0</v>
      </c>
      <c r="AU343" s="34">
        <v>0</v>
      </c>
      <c r="AV343" s="34">
        <v>0</v>
      </c>
      <c r="AW343" s="34">
        <v>0</v>
      </c>
      <c r="AX343" s="34">
        <v>0</v>
      </c>
      <c r="AY343" s="34">
        <f t="shared" si="256"/>
        <v>0.70994197999999997</v>
      </c>
      <c r="AZ343" s="34">
        <v>3.2093359999999994E-2</v>
      </c>
      <c r="BA343" s="34">
        <v>0.52157494999999998</v>
      </c>
      <c r="BB343" s="34">
        <v>0.15627367</v>
      </c>
      <c r="BC343" s="34">
        <v>0</v>
      </c>
    </row>
    <row r="344" spans="1:55" s="55" customFormat="1" ht="32.25" customHeight="1" x14ac:dyDescent="0.25">
      <c r="A344" s="85" t="s">
        <v>235</v>
      </c>
      <c r="B344" s="96" t="s">
        <v>295</v>
      </c>
      <c r="C344" s="97" t="s">
        <v>296</v>
      </c>
      <c r="D344" s="88">
        <v>4.1824833119999996</v>
      </c>
      <c r="E344" s="29">
        <f t="shared" si="261"/>
        <v>5.2564559999999996E-2</v>
      </c>
      <c r="F344" s="29">
        <f t="shared" si="261"/>
        <v>5.2564559999999996E-2</v>
      </c>
      <c r="G344" s="29">
        <f t="shared" si="261"/>
        <v>0</v>
      </c>
      <c r="H344" s="29">
        <f t="shared" si="261"/>
        <v>0</v>
      </c>
      <c r="I344" s="29">
        <f t="shared" si="262"/>
        <v>0</v>
      </c>
      <c r="J344" s="29">
        <f t="shared" si="268"/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f t="shared" si="247"/>
        <v>2.39784E-2</v>
      </c>
      <c r="P344" s="29">
        <v>2.39784E-2</v>
      </c>
      <c r="Q344" s="29">
        <v>0</v>
      </c>
      <c r="R344" s="29">
        <v>0</v>
      </c>
      <c r="S344" s="29">
        <v>0</v>
      </c>
      <c r="T344" s="30">
        <f t="shared" si="253"/>
        <v>1.668E-2</v>
      </c>
      <c r="U344" s="30">
        <v>1.668E-2</v>
      </c>
      <c r="V344" s="30">
        <v>0</v>
      </c>
      <c r="W344" s="30">
        <v>0</v>
      </c>
      <c r="X344" s="30">
        <v>0</v>
      </c>
      <c r="Y344" s="30">
        <f t="shared" si="254"/>
        <v>1.1906159999999997E-2</v>
      </c>
      <c r="Z344" s="30">
        <v>1.1906159999999997E-2</v>
      </c>
      <c r="AA344" s="30">
        <v>0</v>
      </c>
      <c r="AB344" s="30">
        <v>0</v>
      </c>
      <c r="AC344" s="34">
        <v>0</v>
      </c>
      <c r="AD344" s="36">
        <v>3.4854027599999999</v>
      </c>
      <c r="AE344" s="36">
        <f t="shared" si="263"/>
        <v>0</v>
      </c>
      <c r="AF344" s="36">
        <f t="shared" si="263"/>
        <v>0</v>
      </c>
      <c r="AG344" s="36">
        <f t="shared" si="263"/>
        <v>0</v>
      </c>
      <c r="AH344" s="36">
        <f t="shared" si="263"/>
        <v>0</v>
      </c>
      <c r="AI344" s="36">
        <f t="shared" si="264"/>
        <v>0</v>
      </c>
      <c r="AJ344" s="36">
        <f t="shared" si="252"/>
        <v>0</v>
      </c>
      <c r="AK344" s="36">
        <v>0</v>
      </c>
      <c r="AL344" s="36">
        <v>0</v>
      </c>
      <c r="AM344" s="36">
        <v>0</v>
      </c>
      <c r="AN344" s="36">
        <v>0</v>
      </c>
      <c r="AO344" s="34">
        <f t="shared" si="246"/>
        <v>0</v>
      </c>
      <c r="AP344" s="34">
        <v>0</v>
      </c>
      <c r="AQ344" s="34">
        <v>0</v>
      </c>
      <c r="AR344" s="34">
        <v>0</v>
      </c>
      <c r="AS344" s="34">
        <v>0</v>
      </c>
      <c r="AT344" s="34">
        <f t="shared" si="255"/>
        <v>0</v>
      </c>
      <c r="AU344" s="34">
        <v>0</v>
      </c>
      <c r="AV344" s="34">
        <v>0</v>
      </c>
      <c r="AW344" s="34">
        <v>0</v>
      </c>
      <c r="AX344" s="34">
        <v>0</v>
      </c>
      <c r="AY344" s="34">
        <f t="shared" si="256"/>
        <v>0</v>
      </c>
      <c r="AZ344" s="34">
        <v>0</v>
      </c>
      <c r="BA344" s="34">
        <v>0</v>
      </c>
      <c r="BB344" s="34">
        <v>0</v>
      </c>
      <c r="BC344" s="34">
        <v>0</v>
      </c>
    </row>
    <row r="345" spans="1:55" s="55" customFormat="1" ht="32.25" customHeight="1" x14ac:dyDescent="0.25">
      <c r="A345" s="85" t="s">
        <v>235</v>
      </c>
      <c r="B345" s="96" t="s">
        <v>297</v>
      </c>
      <c r="C345" s="97" t="s">
        <v>298</v>
      </c>
      <c r="D345" s="88">
        <v>2.7582003719999997</v>
      </c>
      <c r="E345" s="29">
        <f t="shared" si="261"/>
        <v>1.4127892560000002</v>
      </c>
      <c r="F345" s="29">
        <f t="shared" si="261"/>
        <v>4.6325076000000007E-2</v>
      </c>
      <c r="G345" s="29">
        <f t="shared" si="261"/>
        <v>0.79578975600000001</v>
      </c>
      <c r="H345" s="29">
        <f t="shared" si="261"/>
        <v>0.57067442400000001</v>
      </c>
      <c r="I345" s="29">
        <f t="shared" si="262"/>
        <v>0</v>
      </c>
      <c r="J345" s="29">
        <f t="shared" si="268"/>
        <v>0</v>
      </c>
      <c r="K345" s="29">
        <v>0</v>
      </c>
      <c r="L345" s="29">
        <v>0</v>
      </c>
      <c r="M345" s="29">
        <v>0</v>
      </c>
      <c r="N345" s="29">
        <v>0</v>
      </c>
      <c r="O345" s="29">
        <f t="shared" si="247"/>
        <v>0</v>
      </c>
      <c r="P345" s="29">
        <v>0</v>
      </c>
      <c r="Q345" s="29">
        <v>0</v>
      </c>
      <c r="R345" s="29">
        <v>0</v>
      </c>
      <c r="S345" s="29">
        <v>0</v>
      </c>
      <c r="T345" s="30">
        <f t="shared" si="253"/>
        <v>4.0256364000000003E-2</v>
      </c>
      <c r="U345" s="30">
        <v>4.0256364000000003E-2</v>
      </c>
      <c r="V345" s="30">
        <v>0</v>
      </c>
      <c r="W345" s="30">
        <v>0</v>
      </c>
      <c r="X345" s="30">
        <v>0</v>
      </c>
      <c r="Y345" s="30">
        <f t="shared" si="254"/>
        <v>1.3725328920000002</v>
      </c>
      <c r="Z345" s="30">
        <v>6.0687120000000004E-3</v>
      </c>
      <c r="AA345" s="30">
        <v>0.79578975600000001</v>
      </c>
      <c r="AB345" s="30">
        <v>0.57067442400000001</v>
      </c>
      <c r="AC345" s="34">
        <v>0</v>
      </c>
      <c r="AD345" s="36">
        <v>2.2985003099999997</v>
      </c>
      <c r="AE345" s="36">
        <f t="shared" si="263"/>
        <v>1.1773243799999999</v>
      </c>
      <c r="AF345" s="36">
        <f t="shared" si="263"/>
        <v>3.8604230000000003E-2</v>
      </c>
      <c r="AG345" s="36">
        <f t="shared" si="263"/>
        <v>0.66315813000000001</v>
      </c>
      <c r="AH345" s="36">
        <f t="shared" si="263"/>
        <v>0.47556202000000003</v>
      </c>
      <c r="AI345" s="36">
        <f t="shared" si="264"/>
        <v>0</v>
      </c>
      <c r="AJ345" s="36">
        <f t="shared" si="252"/>
        <v>0</v>
      </c>
      <c r="AK345" s="36">
        <v>0</v>
      </c>
      <c r="AL345" s="36">
        <v>0</v>
      </c>
      <c r="AM345" s="36">
        <v>0</v>
      </c>
      <c r="AN345" s="36">
        <v>0</v>
      </c>
      <c r="AO345" s="34">
        <f t="shared" si="246"/>
        <v>0</v>
      </c>
      <c r="AP345" s="34">
        <v>0</v>
      </c>
      <c r="AQ345" s="34">
        <v>0</v>
      </c>
      <c r="AR345" s="34">
        <v>0</v>
      </c>
      <c r="AS345" s="34">
        <v>0</v>
      </c>
      <c r="AT345" s="34">
        <f t="shared" si="255"/>
        <v>0</v>
      </c>
      <c r="AU345" s="34">
        <v>0</v>
      </c>
      <c r="AV345" s="34">
        <v>0</v>
      </c>
      <c r="AW345" s="34">
        <v>0</v>
      </c>
      <c r="AX345" s="34">
        <v>0</v>
      </c>
      <c r="AY345" s="34">
        <f t="shared" si="256"/>
        <v>1.1773243799999999</v>
      </c>
      <c r="AZ345" s="34">
        <v>3.8604230000000003E-2</v>
      </c>
      <c r="BA345" s="34">
        <v>0.66315813000000001</v>
      </c>
      <c r="BB345" s="34">
        <v>0.47556202000000003</v>
      </c>
      <c r="BC345" s="34">
        <v>0</v>
      </c>
    </row>
    <row r="346" spans="1:55" s="55" customFormat="1" ht="32.25" customHeight="1" x14ac:dyDescent="0.25">
      <c r="A346" s="85" t="s">
        <v>235</v>
      </c>
      <c r="B346" s="96" t="s">
        <v>299</v>
      </c>
      <c r="C346" s="97" t="s">
        <v>300</v>
      </c>
      <c r="D346" s="88">
        <v>2.1872914199999998</v>
      </c>
      <c r="E346" s="29">
        <f t="shared" si="261"/>
        <v>1.085173116</v>
      </c>
      <c r="F346" s="29">
        <f t="shared" si="261"/>
        <v>4.4999999999999997E-3</v>
      </c>
      <c r="G346" s="29">
        <f t="shared" si="261"/>
        <v>0.54308206800000003</v>
      </c>
      <c r="H346" s="29">
        <f t="shared" si="261"/>
        <v>0.5375910479999999</v>
      </c>
      <c r="I346" s="29">
        <f t="shared" si="262"/>
        <v>0</v>
      </c>
      <c r="J346" s="29">
        <f t="shared" si="268"/>
        <v>0</v>
      </c>
      <c r="K346" s="29">
        <v>0</v>
      </c>
      <c r="L346" s="29">
        <v>0</v>
      </c>
      <c r="M346" s="29">
        <v>0</v>
      </c>
      <c r="N346" s="29">
        <v>0</v>
      </c>
      <c r="O346" s="29">
        <f t="shared" si="247"/>
        <v>0.31845886799999995</v>
      </c>
      <c r="P346" s="29">
        <v>4.4999999999999997E-3</v>
      </c>
      <c r="Q346" s="29">
        <v>5.5998984000000002E-2</v>
      </c>
      <c r="R346" s="29">
        <v>0.25795988399999997</v>
      </c>
      <c r="S346" s="29">
        <v>0</v>
      </c>
      <c r="T346" s="30">
        <f t="shared" si="253"/>
        <v>0.38803473599999999</v>
      </c>
      <c r="U346" s="30">
        <v>0</v>
      </c>
      <c r="V346" s="30">
        <v>0.108403572</v>
      </c>
      <c r="W346" s="30">
        <v>0.27963116399999999</v>
      </c>
      <c r="X346" s="30">
        <v>0</v>
      </c>
      <c r="Y346" s="30">
        <f t="shared" si="254"/>
        <v>0.378679512</v>
      </c>
      <c r="Z346" s="30">
        <v>0</v>
      </c>
      <c r="AA346" s="30">
        <v>0.378679512</v>
      </c>
      <c r="AB346" s="30">
        <v>0</v>
      </c>
      <c r="AC346" s="34">
        <v>0</v>
      </c>
      <c r="AD346" s="36">
        <v>1.8227428499999998</v>
      </c>
      <c r="AE346" s="36">
        <f t="shared" si="263"/>
        <v>0.95478874999999996</v>
      </c>
      <c r="AF346" s="36">
        <f t="shared" si="263"/>
        <v>5.4227820000000003E-2</v>
      </c>
      <c r="AG346" s="36">
        <f t="shared" si="263"/>
        <v>0.45256838999999999</v>
      </c>
      <c r="AH346" s="36">
        <f t="shared" si="263"/>
        <v>0.44799253999999999</v>
      </c>
      <c r="AI346" s="36">
        <f t="shared" si="264"/>
        <v>0</v>
      </c>
      <c r="AJ346" s="36">
        <f t="shared" si="252"/>
        <v>0</v>
      </c>
      <c r="AK346" s="36">
        <v>0</v>
      </c>
      <c r="AL346" s="36">
        <v>0</v>
      </c>
      <c r="AM346" s="36">
        <v>0</v>
      </c>
      <c r="AN346" s="36">
        <v>0</v>
      </c>
      <c r="AO346" s="34">
        <f t="shared" si="246"/>
        <v>0.31586020999999997</v>
      </c>
      <c r="AP346" s="34">
        <v>5.4227820000000003E-2</v>
      </c>
      <c r="AQ346" s="34">
        <v>4.6665820000000004E-2</v>
      </c>
      <c r="AR346" s="34">
        <v>0.21496657</v>
      </c>
      <c r="AS346" s="34">
        <v>0</v>
      </c>
      <c r="AT346" s="34">
        <f t="shared" si="255"/>
        <v>0.32336228</v>
      </c>
      <c r="AU346" s="34">
        <v>0</v>
      </c>
      <c r="AV346" s="34">
        <v>9.0336310000000003E-2</v>
      </c>
      <c r="AW346" s="34">
        <v>0.23302597</v>
      </c>
      <c r="AX346" s="34">
        <v>0</v>
      </c>
      <c r="AY346" s="34">
        <f t="shared" si="256"/>
        <v>0.31556625999999999</v>
      </c>
      <c r="AZ346" s="34">
        <v>0</v>
      </c>
      <c r="BA346" s="34">
        <v>0.31556625999999999</v>
      </c>
      <c r="BB346" s="34">
        <v>0</v>
      </c>
      <c r="BC346" s="34">
        <v>0</v>
      </c>
    </row>
    <row r="347" spans="1:55" s="55" customFormat="1" ht="32.25" customHeight="1" x14ac:dyDescent="0.25">
      <c r="A347" s="85" t="s">
        <v>235</v>
      </c>
      <c r="B347" s="96" t="s">
        <v>301</v>
      </c>
      <c r="C347" s="97" t="s">
        <v>302</v>
      </c>
      <c r="D347" s="88">
        <v>1.6873670519999999</v>
      </c>
      <c r="E347" s="29">
        <f t="shared" si="261"/>
        <v>1.691832228</v>
      </c>
      <c r="F347" s="29">
        <f t="shared" si="261"/>
        <v>4.4999999999999997E-3</v>
      </c>
      <c r="G347" s="29">
        <f t="shared" si="261"/>
        <v>0.78560269199999999</v>
      </c>
      <c r="H347" s="29">
        <f t="shared" si="261"/>
        <v>0.90172953599999994</v>
      </c>
      <c r="I347" s="29">
        <f t="shared" si="262"/>
        <v>0</v>
      </c>
      <c r="J347" s="29">
        <f t="shared" si="268"/>
        <v>0</v>
      </c>
      <c r="K347" s="29">
        <v>0</v>
      </c>
      <c r="L347" s="29">
        <v>0</v>
      </c>
      <c r="M347" s="29">
        <v>0</v>
      </c>
      <c r="N347" s="29">
        <v>0</v>
      </c>
      <c r="O347" s="29">
        <f t="shared" si="247"/>
        <v>0.36389690399999997</v>
      </c>
      <c r="P347" s="29">
        <v>4.4999999999999997E-3</v>
      </c>
      <c r="Q347" s="29">
        <v>8.3372483999999997E-2</v>
      </c>
      <c r="R347" s="29">
        <v>0.27602441999999999</v>
      </c>
      <c r="S347" s="29">
        <v>0</v>
      </c>
      <c r="T347" s="30">
        <f t="shared" si="253"/>
        <v>0.29959994400000001</v>
      </c>
      <c r="U347" s="30">
        <v>0</v>
      </c>
      <c r="V347" s="30">
        <v>6.4153548000000005E-2</v>
      </c>
      <c r="W347" s="30">
        <v>0.235446396</v>
      </c>
      <c r="X347" s="30">
        <v>0</v>
      </c>
      <c r="Y347" s="30">
        <f t="shared" si="254"/>
        <v>1.0283353799999999</v>
      </c>
      <c r="Z347" s="30">
        <v>0</v>
      </c>
      <c r="AA347" s="30">
        <v>0.63807665999999996</v>
      </c>
      <c r="AB347" s="30">
        <v>0.39025872</v>
      </c>
      <c r="AC347" s="34">
        <v>0</v>
      </c>
      <c r="AD347" s="36">
        <v>1.4061392100000001</v>
      </c>
      <c r="AE347" s="36">
        <f t="shared" si="263"/>
        <v>1.4524304400000001</v>
      </c>
      <c r="AF347" s="36">
        <f t="shared" si="263"/>
        <v>4.632025E-2</v>
      </c>
      <c r="AG347" s="36">
        <f t="shared" si="263"/>
        <v>0.65466891000000005</v>
      </c>
      <c r="AH347" s="36">
        <f t="shared" si="263"/>
        <v>0.7514412800000001</v>
      </c>
      <c r="AI347" s="36">
        <f t="shared" si="264"/>
        <v>0</v>
      </c>
      <c r="AJ347" s="36">
        <f t="shared" si="252"/>
        <v>0</v>
      </c>
      <c r="AK347" s="36">
        <v>0</v>
      </c>
      <c r="AL347" s="36">
        <v>0</v>
      </c>
      <c r="AM347" s="36">
        <v>0</v>
      </c>
      <c r="AN347" s="36">
        <v>0</v>
      </c>
      <c r="AO347" s="34">
        <f t="shared" si="246"/>
        <v>0.34581767000000002</v>
      </c>
      <c r="AP347" s="34">
        <v>4.632025E-2</v>
      </c>
      <c r="AQ347" s="34">
        <v>6.9477070000000002E-2</v>
      </c>
      <c r="AR347" s="34">
        <v>0.23002035000000001</v>
      </c>
      <c r="AS347" s="34">
        <v>0</v>
      </c>
      <c r="AT347" s="34">
        <f t="shared" si="255"/>
        <v>0.24966662000000001</v>
      </c>
      <c r="AU347" s="34">
        <v>0</v>
      </c>
      <c r="AV347" s="34">
        <v>5.3461290000000002E-2</v>
      </c>
      <c r="AW347" s="34">
        <v>0.19620533000000001</v>
      </c>
      <c r="AX347" s="34">
        <v>0</v>
      </c>
      <c r="AY347" s="34">
        <f t="shared" si="256"/>
        <v>0.85694614999999996</v>
      </c>
      <c r="AZ347" s="34">
        <v>0</v>
      </c>
      <c r="BA347" s="34">
        <v>0.53173055000000002</v>
      </c>
      <c r="BB347" s="34">
        <v>0.32521559999999999</v>
      </c>
      <c r="BC347" s="34">
        <v>0</v>
      </c>
    </row>
    <row r="348" spans="1:55" s="55" customFormat="1" ht="32.25" customHeight="1" x14ac:dyDescent="0.25">
      <c r="A348" s="85" t="s">
        <v>235</v>
      </c>
      <c r="B348" s="96" t="s">
        <v>303</v>
      </c>
      <c r="C348" s="97" t="s">
        <v>304</v>
      </c>
      <c r="D348" s="88">
        <v>13.139512440000001</v>
      </c>
      <c r="E348" s="29">
        <f t="shared" si="261"/>
        <v>2.5609956000000003E-2</v>
      </c>
      <c r="F348" s="29">
        <f t="shared" si="261"/>
        <v>2.5609956000000003E-2</v>
      </c>
      <c r="G348" s="29">
        <f t="shared" si="261"/>
        <v>0</v>
      </c>
      <c r="H348" s="29">
        <f t="shared" si="261"/>
        <v>0</v>
      </c>
      <c r="I348" s="29">
        <f t="shared" si="262"/>
        <v>0</v>
      </c>
      <c r="J348" s="29">
        <f t="shared" si="268"/>
        <v>0</v>
      </c>
      <c r="K348" s="29">
        <v>0</v>
      </c>
      <c r="L348" s="29">
        <v>0</v>
      </c>
      <c r="M348" s="29">
        <v>0</v>
      </c>
      <c r="N348" s="29">
        <v>0</v>
      </c>
      <c r="O348" s="29">
        <f t="shared" si="247"/>
        <v>0</v>
      </c>
      <c r="P348" s="29">
        <v>0</v>
      </c>
      <c r="Q348" s="29">
        <v>0</v>
      </c>
      <c r="R348" s="29">
        <v>0</v>
      </c>
      <c r="S348" s="29">
        <v>0</v>
      </c>
      <c r="T348" s="30">
        <f t="shared" si="253"/>
        <v>8.9999999999999993E-3</v>
      </c>
      <c r="U348" s="30">
        <v>8.9999999999999993E-3</v>
      </c>
      <c r="V348" s="30">
        <v>0</v>
      </c>
      <c r="W348" s="30">
        <v>0</v>
      </c>
      <c r="X348" s="30">
        <v>0</v>
      </c>
      <c r="Y348" s="30">
        <f t="shared" si="254"/>
        <v>1.6609956000000002E-2</v>
      </c>
      <c r="Z348" s="30">
        <v>1.6609956000000002E-2</v>
      </c>
      <c r="AA348" s="30">
        <v>0</v>
      </c>
      <c r="AB348" s="30">
        <v>0</v>
      </c>
      <c r="AC348" s="34">
        <v>0</v>
      </c>
      <c r="AD348" s="36">
        <v>10.949593700000001</v>
      </c>
      <c r="AE348" s="36">
        <f t="shared" si="263"/>
        <v>0</v>
      </c>
      <c r="AF348" s="36">
        <f t="shared" si="263"/>
        <v>0</v>
      </c>
      <c r="AG348" s="36">
        <f t="shared" si="263"/>
        <v>0</v>
      </c>
      <c r="AH348" s="36">
        <f t="shared" si="263"/>
        <v>0</v>
      </c>
      <c r="AI348" s="36">
        <f t="shared" si="264"/>
        <v>0</v>
      </c>
      <c r="AJ348" s="36">
        <f t="shared" si="252"/>
        <v>0</v>
      </c>
      <c r="AK348" s="36">
        <v>0</v>
      </c>
      <c r="AL348" s="36">
        <v>0</v>
      </c>
      <c r="AM348" s="36">
        <v>0</v>
      </c>
      <c r="AN348" s="36">
        <v>0</v>
      </c>
      <c r="AO348" s="34">
        <f t="shared" si="246"/>
        <v>0</v>
      </c>
      <c r="AP348" s="34">
        <v>0</v>
      </c>
      <c r="AQ348" s="34">
        <v>0</v>
      </c>
      <c r="AR348" s="34">
        <v>0</v>
      </c>
      <c r="AS348" s="34">
        <v>0</v>
      </c>
      <c r="AT348" s="34">
        <f t="shared" si="255"/>
        <v>0</v>
      </c>
      <c r="AU348" s="34">
        <v>0</v>
      </c>
      <c r="AV348" s="34">
        <v>0</v>
      </c>
      <c r="AW348" s="34">
        <v>0</v>
      </c>
      <c r="AX348" s="34">
        <v>0</v>
      </c>
      <c r="AY348" s="34">
        <f t="shared" si="256"/>
        <v>0</v>
      </c>
      <c r="AZ348" s="34">
        <v>0</v>
      </c>
      <c r="BA348" s="34">
        <v>0</v>
      </c>
      <c r="BB348" s="34">
        <v>0</v>
      </c>
      <c r="BC348" s="34">
        <v>0</v>
      </c>
    </row>
    <row r="349" spans="1:55" s="55" customFormat="1" ht="35.25" customHeight="1" x14ac:dyDescent="0.25">
      <c r="A349" s="85" t="s">
        <v>235</v>
      </c>
      <c r="B349" s="96" t="s">
        <v>441</v>
      </c>
      <c r="C349" s="108" t="s">
        <v>270</v>
      </c>
      <c r="D349" s="88">
        <v>0</v>
      </c>
      <c r="E349" s="29">
        <f t="shared" si="261"/>
        <v>0.258426084</v>
      </c>
      <c r="F349" s="29">
        <f t="shared" si="261"/>
        <v>0</v>
      </c>
      <c r="G349" s="29">
        <f t="shared" si="261"/>
        <v>0.12662362799999999</v>
      </c>
      <c r="H349" s="29">
        <f t="shared" si="261"/>
        <v>0.13180245600000001</v>
      </c>
      <c r="I349" s="29">
        <f t="shared" si="262"/>
        <v>0</v>
      </c>
      <c r="J349" s="29">
        <f t="shared" si="268"/>
        <v>0.258426084</v>
      </c>
      <c r="K349" s="29">
        <v>0</v>
      </c>
      <c r="L349" s="29">
        <v>0.12662362799999999</v>
      </c>
      <c r="M349" s="29">
        <v>0.13180245600000001</v>
      </c>
      <c r="N349" s="29">
        <v>0</v>
      </c>
      <c r="O349" s="29">
        <f t="shared" si="247"/>
        <v>0</v>
      </c>
      <c r="P349" s="29">
        <v>0</v>
      </c>
      <c r="Q349" s="29">
        <v>0</v>
      </c>
      <c r="R349" s="29">
        <v>0</v>
      </c>
      <c r="S349" s="29">
        <v>0</v>
      </c>
      <c r="T349" s="30">
        <f t="shared" si="253"/>
        <v>0</v>
      </c>
      <c r="U349" s="30">
        <v>0</v>
      </c>
      <c r="V349" s="30">
        <v>0</v>
      </c>
      <c r="W349" s="30">
        <v>0</v>
      </c>
      <c r="X349" s="30">
        <v>0</v>
      </c>
      <c r="Y349" s="30">
        <f t="shared" si="254"/>
        <v>0</v>
      </c>
      <c r="Z349" s="30">
        <v>0</v>
      </c>
      <c r="AA349" s="30">
        <v>0</v>
      </c>
      <c r="AB349" s="30">
        <v>0</v>
      </c>
      <c r="AC349" s="34">
        <v>0</v>
      </c>
      <c r="AD349" s="36">
        <v>0</v>
      </c>
      <c r="AE349" s="36">
        <f t="shared" si="263"/>
        <v>0.21535506999999998</v>
      </c>
      <c r="AF349" s="36">
        <f t="shared" si="263"/>
        <v>0</v>
      </c>
      <c r="AG349" s="36">
        <f t="shared" si="263"/>
        <v>0.10551969</v>
      </c>
      <c r="AH349" s="36">
        <f t="shared" si="263"/>
        <v>0.10983538</v>
      </c>
      <c r="AI349" s="36">
        <f t="shared" si="264"/>
        <v>0</v>
      </c>
      <c r="AJ349" s="36">
        <f t="shared" si="252"/>
        <v>0.21535506999999998</v>
      </c>
      <c r="AK349" s="36">
        <v>0</v>
      </c>
      <c r="AL349" s="36">
        <v>0.10551969</v>
      </c>
      <c r="AM349" s="36">
        <v>0.10983538</v>
      </c>
      <c r="AN349" s="36">
        <v>0</v>
      </c>
      <c r="AO349" s="34">
        <f t="shared" si="246"/>
        <v>0</v>
      </c>
      <c r="AP349" s="34">
        <v>0</v>
      </c>
      <c r="AQ349" s="34">
        <v>0</v>
      </c>
      <c r="AR349" s="34">
        <v>0</v>
      </c>
      <c r="AS349" s="34">
        <v>0</v>
      </c>
      <c r="AT349" s="34">
        <f t="shared" si="255"/>
        <v>0</v>
      </c>
      <c r="AU349" s="34">
        <v>0</v>
      </c>
      <c r="AV349" s="34">
        <v>0</v>
      </c>
      <c r="AW349" s="34">
        <v>0</v>
      </c>
      <c r="AX349" s="34">
        <v>0</v>
      </c>
      <c r="AY349" s="34">
        <f t="shared" si="256"/>
        <v>0</v>
      </c>
      <c r="AZ349" s="34">
        <v>0</v>
      </c>
      <c r="BA349" s="34">
        <v>0</v>
      </c>
      <c r="BB349" s="34">
        <v>0</v>
      </c>
      <c r="BC349" s="34">
        <v>0</v>
      </c>
    </row>
    <row r="350" spans="1:55" s="55" customFormat="1" ht="28.5" customHeight="1" x14ac:dyDescent="0.25">
      <c r="A350" s="85" t="s">
        <v>235</v>
      </c>
      <c r="B350" s="96" t="s">
        <v>442</v>
      </c>
      <c r="C350" s="108" t="s">
        <v>272</v>
      </c>
      <c r="D350" s="88">
        <v>0</v>
      </c>
      <c r="E350" s="29">
        <f t="shared" si="261"/>
        <v>0.19101264000000001</v>
      </c>
      <c r="F350" s="29">
        <f t="shared" si="261"/>
        <v>0</v>
      </c>
      <c r="G350" s="29">
        <f t="shared" si="261"/>
        <v>7.9704852000000007E-2</v>
      </c>
      <c r="H350" s="29">
        <f t="shared" si="261"/>
        <v>0.111307788</v>
      </c>
      <c r="I350" s="29">
        <f t="shared" si="262"/>
        <v>0</v>
      </c>
      <c r="J350" s="29">
        <f t="shared" si="268"/>
        <v>0.19101264000000001</v>
      </c>
      <c r="K350" s="29">
        <v>0</v>
      </c>
      <c r="L350" s="29">
        <v>7.9704852000000007E-2</v>
      </c>
      <c r="M350" s="29">
        <v>0.111307788</v>
      </c>
      <c r="N350" s="29">
        <v>0</v>
      </c>
      <c r="O350" s="29">
        <f t="shared" si="247"/>
        <v>0</v>
      </c>
      <c r="P350" s="29">
        <v>0</v>
      </c>
      <c r="Q350" s="29">
        <v>0</v>
      </c>
      <c r="R350" s="29">
        <v>0</v>
      </c>
      <c r="S350" s="29">
        <v>0</v>
      </c>
      <c r="T350" s="30">
        <f t="shared" si="253"/>
        <v>0</v>
      </c>
      <c r="U350" s="30">
        <v>0</v>
      </c>
      <c r="V350" s="30">
        <v>0</v>
      </c>
      <c r="W350" s="30">
        <v>0</v>
      </c>
      <c r="X350" s="30">
        <v>0</v>
      </c>
      <c r="Y350" s="30">
        <f t="shared" si="254"/>
        <v>0</v>
      </c>
      <c r="Z350" s="30">
        <v>0</v>
      </c>
      <c r="AA350" s="30">
        <v>0</v>
      </c>
      <c r="AB350" s="30">
        <v>0</v>
      </c>
      <c r="AC350" s="34">
        <v>0</v>
      </c>
      <c r="AD350" s="36">
        <v>0</v>
      </c>
      <c r="AE350" s="36">
        <f t="shared" si="263"/>
        <v>0.15917719999999999</v>
      </c>
      <c r="AF350" s="36">
        <f t="shared" si="263"/>
        <v>0</v>
      </c>
      <c r="AG350" s="36">
        <f t="shared" si="263"/>
        <v>6.6420709999999994E-2</v>
      </c>
      <c r="AH350" s="36">
        <f t="shared" si="263"/>
        <v>9.2756489999999997E-2</v>
      </c>
      <c r="AI350" s="36">
        <f t="shared" si="264"/>
        <v>0</v>
      </c>
      <c r="AJ350" s="36">
        <f t="shared" si="252"/>
        <v>0.15917719999999999</v>
      </c>
      <c r="AK350" s="36">
        <v>0</v>
      </c>
      <c r="AL350" s="36">
        <v>6.6420709999999994E-2</v>
      </c>
      <c r="AM350" s="36">
        <v>9.2756489999999997E-2</v>
      </c>
      <c r="AN350" s="36">
        <v>0</v>
      </c>
      <c r="AO350" s="34">
        <f t="shared" si="246"/>
        <v>0</v>
      </c>
      <c r="AP350" s="34">
        <v>0</v>
      </c>
      <c r="AQ350" s="34">
        <v>0</v>
      </c>
      <c r="AR350" s="34">
        <v>0</v>
      </c>
      <c r="AS350" s="34">
        <v>0</v>
      </c>
      <c r="AT350" s="34">
        <f t="shared" si="255"/>
        <v>0</v>
      </c>
      <c r="AU350" s="34">
        <v>0</v>
      </c>
      <c r="AV350" s="34">
        <v>0</v>
      </c>
      <c r="AW350" s="34">
        <v>0</v>
      </c>
      <c r="AX350" s="34">
        <v>0</v>
      </c>
      <c r="AY350" s="34">
        <f t="shared" si="256"/>
        <v>0</v>
      </c>
      <c r="AZ350" s="34">
        <v>0</v>
      </c>
      <c r="BA350" s="34">
        <v>0</v>
      </c>
      <c r="BB350" s="34">
        <v>0</v>
      </c>
      <c r="BC350" s="34">
        <v>0</v>
      </c>
    </row>
    <row r="351" spans="1:55" s="55" customFormat="1" ht="28.5" customHeight="1" x14ac:dyDescent="0.25">
      <c r="A351" s="85" t="s">
        <v>235</v>
      </c>
      <c r="B351" s="96" t="s">
        <v>655</v>
      </c>
      <c r="C351" s="108" t="s">
        <v>906</v>
      </c>
      <c r="D351" s="88">
        <v>0</v>
      </c>
      <c r="E351" s="29">
        <f t="shared" si="261"/>
        <v>0.69586594800000001</v>
      </c>
      <c r="F351" s="29">
        <f t="shared" si="261"/>
        <v>0</v>
      </c>
      <c r="G351" s="29">
        <f t="shared" si="261"/>
        <v>0.35129239199999995</v>
      </c>
      <c r="H351" s="29">
        <f t="shared" si="261"/>
        <v>0.344573556</v>
      </c>
      <c r="I351" s="29">
        <f t="shared" si="262"/>
        <v>0</v>
      </c>
      <c r="J351" s="29">
        <f t="shared" si="268"/>
        <v>0.38220278399999996</v>
      </c>
      <c r="K351" s="29">
        <v>0</v>
      </c>
      <c r="L351" s="29">
        <f>168.61372*1.2/1000</f>
        <v>0.20233646399999999</v>
      </c>
      <c r="M351" s="29">
        <f>149.8886*1.2/1000</f>
        <v>0.17986632</v>
      </c>
      <c r="N351" s="29">
        <v>0</v>
      </c>
      <c r="O351" s="29">
        <f t="shared" si="247"/>
        <v>0.31366316399999999</v>
      </c>
      <c r="P351" s="29">
        <v>0</v>
      </c>
      <c r="Q351" s="29">
        <f>124.12994*1.2/1000</f>
        <v>0.14895592799999999</v>
      </c>
      <c r="R351" s="29">
        <f>137.25603*1.2/1000</f>
        <v>0.16470723600000001</v>
      </c>
      <c r="S351" s="29">
        <v>0</v>
      </c>
      <c r="T351" s="30">
        <f t="shared" si="253"/>
        <v>0</v>
      </c>
      <c r="U351" s="30">
        <v>0</v>
      </c>
      <c r="V351" s="30">
        <v>0</v>
      </c>
      <c r="W351" s="30">
        <v>0</v>
      </c>
      <c r="X351" s="30">
        <v>0</v>
      </c>
      <c r="Y351" s="30">
        <f t="shared" si="254"/>
        <v>0</v>
      </c>
      <c r="Z351" s="30">
        <v>0</v>
      </c>
      <c r="AA351" s="30">
        <v>0</v>
      </c>
      <c r="AB351" s="30">
        <v>0</v>
      </c>
      <c r="AC351" s="34">
        <v>0</v>
      </c>
      <c r="AD351" s="36">
        <v>0</v>
      </c>
      <c r="AE351" s="36">
        <f t="shared" si="263"/>
        <v>0.26138597000000002</v>
      </c>
      <c r="AF351" s="36">
        <f t="shared" si="263"/>
        <v>0</v>
      </c>
      <c r="AG351" s="36">
        <f t="shared" si="263"/>
        <v>0.12412994000000001</v>
      </c>
      <c r="AH351" s="36">
        <f t="shared" si="263"/>
        <v>0.13725603</v>
      </c>
      <c r="AI351" s="36">
        <f t="shared" si="264"/>
        <v>0</v>
      </c>
      <c r="AJ351" s="36">
        <f t="shared" si="252"/>
        <v>0</v>
      </c>
      <c r="AK351" s="36">
        <v>0</v>
      </c>
      <c r="AL351" s="36">
        <v>0</v>
      </c>
      <c r="AM351" s="36">
        <v>0</v>
      </c>
      <c r="AN351" s="36">
        <v>0</v>
      </c>
      <c r="AO351" s="34">
        <f t="shared" si="246"/>
        <v>0.26138597000000002</v>
      </c>
      <c r="AP351" s="34">
        <v>0</v>
      </c>
      <c r="AQ351" s="34">
        <f>124.12994/1000</f>
        <v>0.12412994000000001</v>
      </c>
      <c r="AR351" s="34">
        <f>137.25603/1000</f>
        <v>0.13725603</v>
      </c>
      <c r="AS351" s="34">
        <v>0</v>
      </c>
      <c r="AT351" s="34">
        <f t="shared" si="255"/>
        <v>0</v>
      </c>
      <c r="AU351" s="34">
        <v>0</v>
      </c>
      <c r="AV351" s="34">
        <v>0</v>
      </c>
      <c r="AW351" s="34">
        <v>0</v>
      </c>
      <c r="AX351" s="34">
        <v>0</v>
      </c>
      <c r="AY351" s="34">
        <f t="shared" si="256"/>
        <v>0</v>
      </c>
      <c r="AZ351" s="34">
        <v>0</v>
      </c>
      <c r="BA351" s="34">
        <v>0</v>
      </c>
      <c r="BB351" s="34">
        <v>0</v>
      </c>
      <c r="BC351" s="34">
        <v>0</v>
      </c>
    </row>
    <row r="352" spans="1:55" s="55" customFormat="1" ht="49.5" customHeight="1" x14ac:dyDescent="0.25">
      <c r="A352" s="85" t="s">
        <v>235</v>
      </c>
      <c r="B352" s="96" t="s">
        <v>444</v>
      </c>
      <c r="C352" s="108" t="s">
        <v>445</v>
      </c>
      <c r="D352" s="88">
        <v>0</v>
      </c>
      <c r="E352" s="29">
        <f t="shared" si="261"/>
        <v>0.83938006799999998</v>
      </c>
      <c r="F352" s="29">
        <f t="shared" si="261"/>
        <v>0</v>
      </c>
      <c r="G352" s="29">
        <f t="shared" si="261"/>
        <v>0.30618955199999998</v>
      </c>
      <c r="H352" s="29">
        <f t="shared" si="261"/>
        <v>0.533190516</v>
      </c>
      <c r="I352" s="29">
        <f t="shared" si="262"/>
        <v>0</v>
      </c>
      <c r="J352" s="29">
        <f t="shared" si="268"/>
        <v>0.78641545199999996</v>
      </c>
      <c r="K352" s="29">
        <v>0</v>
      </c>
      <c r="L352" s="29">
        <v>0.25386609599999999</v>
      </c>
      <c r="M352" s="29">
        <v>0.53254935599999997</v>
      </c>
      <c r="N352" s="29">
        <v>0</v>
      </c>
      <c r="O352" s="29">
        <f t="shared" si="247"/>
        <v>5.2964615999999999E-2</v>
      </c>
      <c r="P352" s="29">
        <v>0</v>
      </c>
      <c r="Q352" s="29">
        <v>5.2323455999999997E-2</v>
      </c>
      <c r="R352" s="29">
        <v>6.4115999999999999E-4</v>
      </c>
      <c r="S352" s="29">
        <v>0</v>
      </c>
      <c r="T352" s="30">
        <f t="shared" si="253"/>
        <v>0</v>
      </c>
      <c r="U352" s="30">
        <v>0</v>
      </c>
      <c r="V352" s="30">
        <v>0</v>
      </c>
      <c r="W352" s="30">
        <v>0</v>
      </c>
      <c r="X352" s="30">
        <v>0</v>
      </c>
      <c r="Y352" s="30">
        <f t="shared" si="254"/>
        <v>0</v>
      </c>
      <c r="Z352" s="30">
        <v>0</v>
      </c>
      <c r="AA352" s="30">
        <v>0</v>
      </c>
      <c r="AB352" s="30">
        <v>0</v>
      </c>
      <c r="AC352" s="34">
        <v>0</v>
      </c>
      <c r="AD352" s="36">
        <v>0</v>
      </c>
      <c r="AE352" s="36">
        <f t="shared" si="263"/>
        <v>2.3693220999999998</v>
      </c>
      <c r="AF352" s="36">
        <f t="shared" si="263"/>
        <v>3.6344710000000002E-2</v>
      </c>
      <c r="AG352" s="36">
        <f t="shared" si="263"/>
        <v>1.8886519599999998</v>
      </c>
      <c r="AH352" s="36">
        <f t="shared" si="263"/>
        <v>0.44432543000000002</v>
      </c>
      <c r="AI352" s="36">
        <f t="shared" si="264"/>
        <v>0</v>
      </c>
      <c r="AJ352" s="36">
        <f t="shared" si="252"/>
        <v>2.3251849199999999</v>
      </c>
      <c r="AK352" s="36">
        <v>3.6344710000000002E-2</v>
      </c>
      <c r="AL352" s="36">
        <v>1.8450490799999999</v>
      </c>
      <c r="AM352" s="36">
        <v>0.44379113000000003</v>
      </c>
      <c r="AN352" s="36">
        <v>0</v>
      </c>
      <c r="AO352" s="34">
        <f t="shared" si="246"/>
        <v>4.4137179999999998E-2</v>
      </c>
      <c r="AP352" s="34">
        <v>0</v>
      </c>
      <c r="AQ352" s="34">
        <v>4.3602879999999997E-2</v>
      </c>
      <c r="AR352" s="34">
        <v>5.3430000000000003E-4</v>
      </c>
      <c r="AS352" s="34">
        <v>0</v>
      </c>
      <c r="AT352" s="34">
        <f t="shared" si="255"/>
        <v>0</v>
      </c>
      <c r="AU352" s="34">
        <v>0</v>
      </c>
      <c r="AV352" s="34">
        <v>0</v>
      </c>
      <c r="AW352" s="34">
        <v>0</v>
      </c>
      <c r="AX352" s="34">
        <v>0</v>
      </c>
      <c r="AY352" s="34">
        <f t="shared" si="256"/>
        <v>0</v>
      </c>
      <c r="AZ352" s="34">
        <v>0</v>
      </c>
      <c r="BA352" s="34">
        <v>0</v>
      </c>
      <c r="BB352" s="34">
        <v>0</v>
      </c>
      <c r="BC352" s="34">
        <v>0</v>
      </c>
    </row>
    <row r="353" spans="1:55" s="55" customFormat="1" ht="33.75" customHeight="1" x14ac:dyDescent="0.25">
      <c r="A353" s="85" t="s">
        <v>235</v>
      </c>
      <c r="B353" s="96" t="s">
        <v>446</v>
      </c>
      <c r="C353" s="108" t="s">
        <v>447</v>
      </c>
      <c r="D353" s="88">
        <v>0</v>
      </c>
      <c r="E353" s="29">
        <f t="shared" si="261"/>
        <v>0.95315850000000013</v>
      </c>
      <c r="F353" s="29">
        <f t="shared" si="261"/>
        <v>0</v>
      </c>
      <c r="G353" s="29">
        <f t="shared" si="261"/>
        <v>0.54534249600000007</v>
      </c>
      <c r="H353" s="29">
        <f t="shared" si="261"/>
        <v>0.40781600400000001</v>
      </c>
      <c r="I353" s="29">
        <f t="shared" si="262"/>
        <v>0</v>
      </c>
      <c r="J353" s="29">
        <f t="shared" si="268"/>
        <v>0.8458059120000001</v>
      </c>
      <c r="K353" s="29">
        <v>0</v>
      </c>
      <c r="L353" s="29">
        <v>0.45347749200000004</v>
      </c>
      <c r="M353" s="29">
        <v>0.39232842000000001</v>
      </c>
      <c r="N353" s="29">
        <v>0</v>
      </c>
      <c r="O353" s="29">
        <f t="shared" si="247"/>
        <v>0.107352588</v>
      </c>
      <c r="P353" s="29">
        <v>0</v>
      </c>
      <c r="Q353" s="29">
        <v>9.1865004E-2</v>
      </c>
      <c r="R353" s="29">
        <v>1.5487583999999999E-2</v>
      </c>
      <c r="S353" s="29">
        <v>0</v>
      </c>
      <c r="T353" s="30">
        <f t="shared" si="253"/>
        <v>0</v>
      </c>
      <c r="U353" s="30">
        <v>0</v>
      </c>
      <c r="V353" s="30">
        <v>0</v>
      </c>
      <c r="W353" s="30">
        <v>0</v>
      </c>
      <c r="X353" s="30">
        <v>0</v>
      </c>
      <c r="Y353" s="30">
        <f t="shared" si="254"/>
        <v>0</v>
      </c>
      <c r="Z353" s="30">
        <v>0</v>
      </c>
      <c r="AA353" s="30">
        <v>0</v>
      </c>
      <c r="AB353" s="30">
        <v>0</v>
      </c>
      <c r="AC353" s="34">
        <v>0</v>
      </c>
      <c r="AD353" s="36">
        <v>0</v>
      </c>
      <c r="AE353" s="36">
        <f t="shared" si="263"/>
        <v>2.1942462699999998</v>
      </c>
      <c r="AF353" s="36">
        <f t="shared" si="263"/>
        <v>0.10550049</v>
      </c>
      <c r="AG353" s="36">
        <f t="shared" si="263"/>
        <v>1.74889911</v>
      </c>
      <c r="AH353" s="36">
        <f t="shared" si="263"/>
        <v>0.33984667000000002</v>
      </c>
      <c r="AI353" s="36">
        <f t="shared" si="264"/>
        <v>0</v>
      </c>
      <c r="AJ353" s="36">
        <f t="shared" si="252"/>
        <v>2.1047857799999998</v>
      </c>
      <c r="AK353" s="36">
        <v>0.10550049</v>
      </c>
      <c r="AL353" s="36">
        <v>1.6723449399999999</v>
      </c>
      <c r="AM353" s="36">
        <v>0.32694035000000005</v>
      </c>
      <c r="AN353" s="36">
        <v>0</v>
      </c>
      <c r="AO353" s="34">
        <f t="shared" si="246"/>
        <v>8.9460490000000004E-2</v>
      </c>
      <c r="AP353" s="34">
        <v>0</v>
      </c>
      <c r="AQ353" s="34">
        <v>7.6554170000000005E-2</v>
      </c>
      <c r="AR353" s="34">
        <v>1.2906319999999999E-2</v>
      </c>
      <c r="AS353" s="34">
        <v>0</v>
      </c>
      <c r="AT353" s="34">
        <f t="shared" si="255"/>
        <v>0</v>
      </c>
      <c r="AU353" s="34">
        <v>0</v>
      </c>
      <c r="AV353" s="34">
        <v>0</v>
      </c>
      <c r="AW353" s="34">
        <v>0</v>
      </c>
      <c r="AX353" s="34">
        <v>0</v>
      </c>
      <c r="AY353" s="34">
        <f t="shared" si="256"/>
        <v>0</v>
      </c>
      <c r="AZ353" s="34">
        <v>0</v>
      </c>
      <c r="BA353" s="34">
        <v>0</v>
      </c>
      <c r="BB353" s="34">
        <v>0</v>
      </c>
      <c r="BC353" s="34">
        <v>0</v>
      </c>
    </row>
    <row r="354" spans="1:55" s="55" customFormat="1" ht="49.5" customHeight="1" x14ac:dyDescent="0.25">
      <c r="A354" s="85" t="s">
        <v>235</v>
      </c>
      <c r="B354" s="96" t="s">
        <v>448</v>
      </c>
      <c r="C354" s="108" t="s">
        <v>449</v>
      </c>
      <c r="D354" s="88">
        <v>0</v>
      </c>
      <c r="E354" s="29">
        <f t="shared" si="261"/>
        <v>2.9019923999999999E-2</v>
      </c>
      <c r="F354" s="29">
        <f t="shared" si="261"/>
        <v>2.9019923999999999E-2</v>
      </c>
      <c r="G354" s="29">
        <f t="shared" si="261"/>
        <v>0</v>
      </c>
      <c r="H354" s="29">
        <f t="shared" si="261"/>
        <v>0</v>
      </c>
      <c r="I354" s="29">
        <f t="shared" si="262"/>
        <v>0</v>
      </c>
      <c r="J354" s="29">
        <f t="shared" si="268"/>
        <v>2.24712E-2</v>
      </c>
      <c r="K354" s="29">
        <v>2.24712E-2</v>
      </c>
      <c r="L354" s="29">
        <v>0</v>
      </c>
      <c r="M354" s="29">
        <v>0</v>
      </c>
      <c r="N354" s="29">
        <v>0</v>
      </c>
      <c r="O354" s="29">
        <f t="shared" si="247"/>
        <v>0</v>
      </c>
      <c r="P354" s="29">
        <v>0</v>
      </c>
      <c r="Q354" s="29">
        <v>0</v>
      </c>
      <c r="R354" s="29">
        <v>0</v>
      </c>
      <c r="S354" s="29">
        <v>0</v>
      </c>
      <c r="T354" s="30">
        <f t="shared" si="253"/>
        <v>6.5487239999999997E-3</v>
      </c>
      <c r="U354" s="30">
        <v>6.5487239999999997E-3</v>
      </c>
      <c r="V354" s="30">
        <v>0</v>
      </c>
      <c r="W354" s="30">
        <v>0</v>
      </c>
      <c r="X354" s="30">
        <v>0</v>
      </c>
      <c r="Y354" s="30">
        <f t="shared" si="254"/>
        <v>0</v>
      </c>
      <c r="Z354" s="30">
        <v>0</v>
      </c>
      <c r="AA354" s="30">
        <v>0</v>
      </c>
      <c r="AB354" s="30">
        <v>0</v>
      </c>
      <c r="AC354" s="34">
        <v>0</v>
      </c>
      <c r="AD354" s="36">
        <v>0</v>
      </c>
      <c r="AE354" s="36">
        <f t="shared" si="263"/>
        <v>0</v>
      </c>
      <c r="AF354" s="36">
        <f t="shared" si="263"/>
        <v>0</v>
      </c>
      <c r="AG354" s="36">
        <f t="shared" si="263"/>
        <v>0</v>
      </c>
      <c r="AH354" s="36">
        <f t="shared" si="263"/>
        <v>0</v>
      </c>
      <c r="AI354" s="36">
        <f t="shared" si="264"/>
        <v>0</v>
      </c>
      <c r="AJ354" s="36">
        <f t="shared" ref="AJ354:AJ382" si="269">AK354+AL354+AM354+AN354</f>
        <v>0</v>
      </c>
      <c r="AK354" s="36">
        <v>0</v>
      </c>
      <c r="AL354" s="36">
        <v>0</v>
      </c>
      <c r="AM354" s="36">
        <v>0</v>
      </c>
      <c r="AN354" s="36">
        <v>0</v>
      </c>
      <c r="AO354" s="34">
        <f t="shared" si="246"/>
        <v>0</v>
      </c>
      <c r="AP354" s="34">
        <v>0</v>
      </c>
      <c r="AQ354" s="34">
        <v>0</v>
      </c>
      <c r="AR354" s="34">
        <v>0</v>
      </c>
      <c r="AS354" s="34">
        <v>0</v>
      </c>
      <c r="AT354" s="34">
        <f t="shared" si="255"/>
        <v>0</v>
      </c>
      <c r="AU354" s="34">
        <v>0</v>
      </c>
      <c r="AV354" s="34">
        <v>0</v>
      </c>
      <c r="AW354" s="34">
        <v>0</v>
      </c>
      <c r="AX354" s="34">
        <v>0</v>
      </c>
      <c r="AY354" s="34">
        <f t="shared" si="256"/>
        <v>0</v>
      </c>
      <c r="AZ354" s="34">
        <v>0</v>
      </c>
      <c r="BA354" s="34">
        <v>0</v>
      </c>
      <c r="BB354" s="34">
        <v>0</v>
      </c>
      <c r="BC354" s="34">
        <v>0</v>
      </c>
    </row>
    <row r="355" spans="1:55" s="55" customFormat="1" ht="33.75" customHeight="1" x14ac:dyDescent="0.25">
      <c r="A355" s="115" t="s">
        <v>235</v>
      </c>
      <c r="B355" s="96" t="s">
        <v>545</v>
      </c>
      <c r="C355" s="108" t="s">
        <v>546</v>
      </c>
      <c r="D355" s="88">
        <v>0</v>
      </c>
      <c r="E355" s="29">
        <f t="shared" si="261"/>
        <v>0.186618648</v>
      </c>
      <c r="F355" s="29">
        <f t="shared" si="261"/>
        <v>0</v>
      </c>
      <c r="G355" s="29">
        <f t="shared" si="261"/>
        <v>9.9699155999999983E-2</v>
      </c>
      <c r="H355" s="29">
        <f t="shared" si="261"/>
        <v>8.6919492000000001E-2</v>
      </c>
      <c r="I355" s="29">
        <f t="shared" si="262"/>
        <v>0</v>
      </c>
      <c r="J355" s="29">
        <f t="shared" si="268"/>
        <v>0</v>
      </c>
      <c r="K355" s="29">
        <v>0</v>
      </c>
      <c r="L355" s="29">
        <v>0</v>
      </c>
      <c r="M355" s="29">
        <v>0</v>
      </c>
      <c r="N355" s="29">
        <v>0</v>
      </c>
      <c r="O355" s="29">
        <f t="shared" si="247"/>
        <v>0.186618648</v>
      </c>
      <c r="P355" s="29">
        <v>0</v>
      </c>
      <c r="Q355" s="29">
        <v>9.9699155999999983E-2</v>
      </c>
      <c r="R355" s="29">
        <v>8.6919492000000001E-2</v>
      </c>
      <c r="S355" s="29">
        <v>0</v>
      </c>
      <c r="T355" s="30">
        <f>U355+V355+W355+X355</f>
        <v>0</v>
      </c>
      <c r="U355" s="30">
        <v>0</v>
      </c>
      <c r="V355" s="30">
        <v>0</v>
      </c>
      <c r="W355" s="30">
        <v>0</v>
      </c>
      <c r="X355" s="30">
        <v>0</v>
      </c>
      <c r="Y355" s="30">
        <f>Z355+AA355+AB355+AC355</f>
        <v>0</v>
      </c>
      <c r="Z355" s="30">
        <v>0</v>
      </c>
      <c r="AA355" s="30">
        <v>0</v>
      </c>
      <c r="AB355" s="30">
        <v>0</v>
      </c>
      <c r="AC355" s="34">
        <v>0</v>
      </c>
      <c r="AD355" s="36">
        <v>0</v>
      </c>
      <c r="AE355" s="36">
        <f t="shared" si="263"/>
        <v>0.15551554000000001</v>
      </c>
      <c r="AF355" s="36">
        <f t="shared" si="263"/>
        <v>0</v>
      </c>
      <c r="AG355" s="36">
        <f t="shared" si="263"/>
        <v>8.3082629999999991E-2</v>
      </c>
      <c r="AH355" s="36">
        <f t="shared" si="263"/>
        <v>7.2432910000000003E-2</v>
      </c>
      <c r="AI355" s="36">
        <f t="shared" si="264"/>
        <v>0</v>
      </c>
      <c r="AJ355" s="36">
        <f t="shared" si="269"/>
        <v>0</v>
      </c>
      <c r="AK355" s="36">
        <v>0</v>
      </c>
      <c r="AL355" s="36">
        <v>0</v>
      </c>
      <c r="AM355" s="36">
        <v>0</v>
      </c>
      <c r="AN355" s="36">
        <v>0</v>
      </c>
      <c r="AO355" s="34">
        <f t="shared" si="246"/>
        <v>0.15551554000000001</v>
      </c>
      <c r="AP355" s="34">
        <v>0</v>
      </c>
      <c r="AQ355" s="34">
        <v>8.3082629999999991E-2</v>
      </c>
      <c r="AR355" s="34">
        <v>7.2432910000000003E-2</v>
      </c>
      <c r="AS355" s="34">
        <v>0</v>
      </c>
      <c r="AT355" s="34">
        <f>AU355+AV355+AW355+AX355</f>
        <v>0</v>
      </c>
      <c r="AU355" s="34">
        <v>0</v>
      </c>
      <c r="AV355" s="34">
        <v>0</v>
      </c>
      <c r="AW355" s="34">
        <v>0</v>
      </c>
      <c r="AX355" s="34">
        <v>0</v>
      </c>
      <c r="AY355" s="34">
        <f>AZ355+BA355+BB355+BC355</f>
        <v>0</v>
      </c>
      <c r="AZ355" s="34">
        <v>0</v>
      </c>
      <c r="BA355" s="34">
        <v>0</v>
      </c>
      <c r="BB355" s="34">
        <v>0</v>
      </c>
      <c r="BC355" s="34">
        <v>0</v>
      </c>
    </row>
    <row r="356" spans="1:55" s="55" customFormat="1" ht="33.75" customHeight="1" x14ac:dyDescent="0.25">
      <c r="A356" s="115" t="s">
        <v>235</v>
      </c>
      <c r="B356" s="96" t="s">
        <v>547</v>
      </c>
      <c r="C356" s="108" t="s">
        <v>548</v>
      </c>
      <c r="D356" s="88">
        <v>0</v>
      </c>
      <c r="E356" s="29">
        <f t="shared" si="261"/>
        <v>0.121102536</v>
      </c>
      <c r="F356" s="29">
        <f t="shared" si="261"/>
        <v>0</v>
      </c>
      <c r="G356" s="29">
        <f t="shared" si="261"/>
        <v>6.6615335999999997E-2</v>
      </c>
      <c r="H356" s="29">
        <f t="shared" si="261"/>
        <v>5.44872E-2</v>
      </c>
      <c r="I356" s="29">
        <f t="shared" si="262"/>
        <v>0</v>
      </c>
      <c r="J356" s="29">
        <f t="shared" si="268"/>
        <v>0</v>
      </c>
      <c r="K356" s="29">
        <v>0</v>
      </c>
      <c r="L356" s="29">
        <v>0</v>
      </c>
      <c r="M356" s="29">
        <v>0</v>
      </c>
      <c r="N356" s="29">
        <v>0</v>
      </c>
      <c r="O356" s="29">
        <f t="shared" si="247"/>
        <v>0.121102536</v>
      </c>
      <c r="P356" s="29">
        <v>0</v>
      </c>
      <c r="Q356" s="29">
        <v>6.6615335999999997E-2</v>
      </c>
      <c r="R356" s="29">
        <v>5.44872E-2</v>
      </c>
      <c r="S356" s="29">
        <v>0</v>
      </c>
      <c r="T356" s="30">
        <f t="shared" ref="T356:T389" si="270">U356+V356+W356+X356</f>
        <v>0</v>
      </c>
      <c r="U356" s="30">
        <v>0</v>
      </c>
      <c r="V356" s="30">
        <v>0</v>
      </c>
      <c r="W356" s="30">
        <v>0</v>
      </c>
      <c r="X356" s="30">
        <v>0</v>
      </c>
      <c r="Y356" s="30">
        <f t="shared" ref="Y356:Y389" si="271">Z356+AA356+AB356+AC356</f>
        <v>0</v>
      </c>
      <c r="Z356" s="30">
        <v>0</v>
      </c>
      <c r="AA356" s="30">
        <v>0</v>
      </c>
      <c r="AB356" s="30">
        <v>0</v>
      </c>
      <c r="AC356" s="34">
        <v>0</v>
      </c>
      <c r="AD356" s="36">
        <v>0</v>
      </c>
      <c r="AE356" s="36">
        <f t="shared" si="263"/>
        <v>0.10091878</v>
      </c>
      <c r="AF356" s="36">
        <f t="shared" si="263"/>
        <v>0</v>
      </c>
      <c r="AG356" s="36">
        <f t="shared" si="263"/>
        <v>5.5512779999999998E-2</v>
      </c>
      <c r="AH356" s="36">
        <f t="shared" si="263"/>
        <v>4.5406000000000002E-2</v>
      </c>
      <c r="AI356" s="36">
        <f t="shared" si="264"/>
        <v>0</v>
      </c>
      <c r="AJ356" s="36">
        <f t="shared" si="269"/>
        <v>0</v>
      </c>
      <c r="AK356" s="36">
        <v>0</v>
      </c>
      <c r="AL356" s="36">
        <v>0</v>
      </c>
      <c r="AM356" s="36">
        <v>0</v>
      </c>
      <c r="AN356" s="36">
        <v>0</v>
      </c>
      <c r="AO356" s="34">
        <f t="shared" ref="AO356:AO366" si="272">AP356+AQ356+AR356+AS356</f>
        <v>0.10091878</v>
      </c>
      <c r="AP356" s="34">
        <v>0</v>
      </c>
      <c r="AQ356" s="34">
        <v>5.5512779999999998E-2</v>
      </c>
      <c r="AR356" s="34">
        <v>4.5406000000000002E-2</v>
      </c>
      <c r="AS356" s="34">
        <v>0</v>
      </c>
      <c r="AT356" s="34">
        <f t="shared" ref="AT356:AT389" si="273">AU356+AV356+AW356+AX356</f>
        <v>0</v>
      </c>
      <c r="AU356" s="34">
        <v>0</v>
      </c>
      <c r="AV356" s="34">
        <v>0</v>
      </c>
      <c r="AW356" s="34">
        <v>0</v>
      </c>
      <c r="AX356" s="34">
        <v>0</v>
      </c>
      <c r="AY356" s="34">
        <f t="shared" ref="AY356:AY389" si="274">AZ356+BA356+BB356+BC356</f>
        <v>0</v>
      </c>
      <c r="AZ356" s="34">
        <v>0</v>
      </c>
      <c r="BA356" s="34">
        <v>0</v>
      </c>
      <c r="BB356" s="34">
        <v>0</v>
      </c>
      <c r="BC356" s="34">
        <v>0</v>
      </c>
    </row>
    <row r="357" spans="1:55" s="55" customFormat="1" ht="33.75" customHeight="1" x14ac:dyDescent="0.25">
      <c r="A357" s="115" t="s">
        <v>235</v>
      </c>
      <c r="B357" s="96" t="s">
        <v>549</v>
      </c>
      <c r="C357" s="108" t="s">
        <v>550</v>
      </c>
      <c r="D357" s="88">
        <v>0</v>
      </c>
      <c r="E357" s="29">
        <f t="shared" si="261"/>
        <v>0.137132016</v>
      </c>
      <c r="F357" s="29">
        <f t="shared" si="261"/>
        <v>0</v>
      </c>
      <c r="G357" s="29">
        <f t="shared" si="261"/>
        <v>6.011934E-2</v>
      </c>
      <c r="H357" s="29">
        <f t="shared" si="261"/>
        <v>7.7012675999999988E-2</v>
      </c>
      <c r="I357" s="29">
        <f t="shared" si="262"/>
        <v>0</v>
      </c>
      <c r="J357" s="29">
        <f t="shared" si="268"/>
        <v>0</v>
      </c>
      <c r="K357" s="29">
        <v>0</v>
      </c>
      <c r="L357" s="29">
        <v>0</v>
      </c>
      <c r="M357" s="29">
        <v>0</v>
      </c>
      <c r="N357" s="29">
        <v>0</v>
      </c>
      <c r="O357" s="29">
        <f t="shared" si="247"/>
        <v>0.137132016</v>
      </c>
      <c r="P357" s="29">
        <v>0</v>
      </c>
      <c r="Q357" s="29">
        <v>6.011934E-2</v>
      </c>
      <c r="R357" s="29">
        <v>7.7012675999999988E-2</v>
      </c>
      <c r="S357" s="29">
        <v>0</v>
      </c>
      <c r="T357" s="30">
        <f t="shared" si="270"/>
        <v>0</v>
      </c>
      <c r="U357" s="30">
        <v>0</v>
      </c>
      <c r="V357" s="30">
        <v>0</v>
      </c>
      <c r="W357" s="30">
        <v>0</v>
      </c>
      <c r="X357" s="30">
        <v>0</v>
      </c>
      <c r="Y357" s="30">
        <f t="shared" si="271"/>
        <v>0</v>
      </c>
      <c r="Z357" s="30">
        <v>0</v>
      </c>
      <c r="AA357" s="30">
        <v>0</v>
      </c>
      <c r="AB357" s="30">
        <v>0</v>
      </c>
      <c r="AC357" s="34">
        <v>0</v>
      </c>
      <c r="AD357" s="36">
        <v>0</v>
      </c>
      <c r="AE357" s="36">
        <f t="shared" si="263"/>
        <v>0.11427667999999999</v>
      </c>
      <c r="AF357" s="36">
        <f t="shared" si="263"/>
        <v>0</v>
      </c>
      <c r="AG357" s="36">
        <f t="shared" si="263"/>
        <v>5.0099450000000004E-2</v>
      </c>
      <c r="AH357" s="36">
        <f t="shared" si="263"/>
        <v>6.4177229999999988E-2</v>
      </c>
      <c r="AI357" s="36">
        <f t="shared" si="264"/>
        <v>0</v>
      </c>
      <c r="AJ357" s="36">
        <f t="shared" si="269"/>
        <v>0</v>
      </c>
      <c r="AK357" s="36">
        <v>0</v>
      </c>
      <c r="AL357" s="36">
        <v>0</v>
      </c>
      <c r="AM357" s="36">
        <v>0</v>
      </c>
      <c r="AN357" s="36">
        <v>0</v>
      </c>
      <c r="AO357" s="34">
        <f t="shared" si="272"/>
        <v>0.11427667999999999</v>
      </c>
      <c r="AP357" s="34">
        <v>0</v>
      </c>
      <c r="AQ357" s="34">
        <v>5.0099450000000004E-2</v>
      </c>
      <c r="AR357" s="34">
        <v>6.4177229999999988E-2</v>
      </c>
      <c r="AS357" s="34">
        <v>0</v>
      </c>
      <c r="AT357" s="34">
        <f t="shared" si="273"/>
        <v>0</v>
      </c>
      <c r="AU357" s="34">
        <v>0</v>
      </c>
      <c r="AV357" s="34">
        <v>0</v>
      </c>
      <c r="AW357" s="34">
        <v>0</v>
      </c>
      <c r="AX357" s="34">
        <v>0</v>
      </c>
      <c r="AY357" s="34">
        <f t="shared" si="274"/>
        <v>0</v>
      </c>
      <c r="AZ357" s="34">
        <v>0</v>
      </c>
      <c r="BA357" s="34">
        <v>0</v>
      </c>
      <c r="BB357" s="34">
        <v>0</v>
      </c>
      <c r="BC357" s="34">
        <v>0</v>
      </c>
    </row>
    <row r="358" spans="1:55" s="55" customFormat="1" ht="33.75" customHeight="1" x14ac:dyDescent="0.25">
      <c r="A358" s="115" t="s">
        <v>235</v>
      </c>
      <c r="B358" s="96" t="s">
        <v>551</v>
      </c>
      <c r="C358" s="108" t="s">
        <v>815</v>
      </c>
      <c r="D358" s="88">
        <v>0</v>
      </c>
      <c r="E358" s="29">
        <f t="shared" si="261"/>
        <v>2.1207599999999997E-2</v>
      </c>
      <c r="F358" s="29">
        <f t="shared" si="261"/>
        <v>2.1207599999999997E-2</v>
      </c>
      <c r="G358" s="29">
        <f t="shared" si="261"/>
        <v>0</v>
      </c>
      <c r="H358" s="29">
        <f t="shared" si="261"/>
        <v>0</v>
      </c>
      <c r="I358" s="29">
        <f t="shared" si="262"/>
        <v>0</v>
      </c>
      <c r="J358" s="29">
        <f t="shared" si="268"/>
        <v>0</v>
      </c>
      <c r="K358" s="29">
        <v>0</v>
      </c>
      <c r="L358" s="29">
        <v>0</v>
      </c>
      <c r="M358" s="29">
        <v>0</v>
      </c>
      <c r="N358" s="29">
        <v>0</v>
      </c>
      <c r="O358" s="29">
        <f t="shared" si="247"/>
        <v>2.1207599999999997E-2</v>
      </c>
      <c r="P358" s="29">
        <v>2.1207599999999997E-2</v>
      </c>
      <c r="Q358" s="29">
        <v>0</v>
      </c>
      <c r="R358" s="29">
        <v>0</v>
      </c>
      <c r="S358" s="29">
        <v>0</v>
      </c>
      <c r="T358" s="30">
        <f t="shared" si="270"/>
        <v>0</v>
      </c>
      <c r="U358" s="30">
        <v>0</v>
      </c>
      <c r="V358" s="30">
        <v>0</v>
      </c>
      <c r="W358" s="30">
        <v>0</v>
      </c>
      <c r="X358" s="30">
        <v>0</v>
      </c>
      <c r="Y358" s="30">
        <f t="shared" si="271"/>
        <v>0</v>
      </c>
      <c r="Z358" s="30">
        <v>0</v>
      </c>
      <c r="AA358" s="30">
        <v>0</v>
      </c>
      <c r="AB358" s="30">
        <v>0</v>
      </c>
      <c r="AC358" s="34">
        <v>0</v>
      </c>
      <c r="AD358" s="36">
        <v>0</v>
      </c>
      <c r="AE358" s="36">
        <f t="shared" si="263"/>
        <v>0</v>
      </c>
      <c r="AF358" s="36">
        <f t="shared" si="263"/>
        <v>0</v>
      </c>
      <c r="AG358" s="36">
        <f t="shared" si="263"/>
        <v>0</v>
      </c>
      <c r="AH358" s="36">
        <f t="shared" si="263"/>
        <v>0</v>
      </c>
      <c r="AI358" s="36">
        <f t="shared" si="264"/>
        <v>0</v>
      </c>
      <c r="AJ358" s="36">
        <f t="shared" si="269"/>
        <v>0</v>
      </c>
      <c r="AK358" s="36">
        <v>0</v>
      </c>
      <c r="AL358" s="36">
        <v>0</v>
      </c>
      <c r="AM358" s="36">
        <v>0</v>
      </c>
      <c r="AN358" s="36">
        <v>0</v>
      </c>
      <c r="AO358" s="34">
        <f t="shared" si="272"/>
        <v>0</v>
      </c>
      <c r="AP358" s="34">
        <v>0</v>
      </c>
      <c r="AQ358" s="34">
        <v>0</v>
      </c>
      <c r="AR358" s="34">
        <v>0</v>
      </c>
      <c r="AS358" s="34">
        <v>0</v>
      </c>
      <c r="AT358" s="34">
        <f t="shared" si="273"/>
        <v>0</v>
      </c>
      <c r="AU358" s="34">
        <v>0</v>
      </c>
      <c r="AV358" s="34">
        <v>0</v>
      </c>
      <c r="AW358" s="34">
        <v>0</v>
      </c>
      <c r="AX358" s="34">
        <v>0</v>
      </c>
      <c r="AY358" s="34">
        <f t="shared" si="274"/>
        <v>0</v>
      </c>
      <c r="AZ358" s="34">
        <v>0</v>
      </c>
      <c r="BA358" s="34">
        <v>0</v>
      </c>
      <c r="BB358" s="34">
        <v>0</v>
      </c>
      <c r="BC358" s="34">
        <v>0</v>
      </c>
    </row>
    <row r="359" spans="1:55" s="55" customFormat="1" ht="33.75" customHeight="1" x14ac:dyDescent="0.25">
      <c r="A359" s="115" t="s">
        <v>235</v>
      </c>
      <c r="B359" s="96" t="s">
        <v>656</v>
      </c>
      <c r="C359" s="108" t="s">
        <v>816</v>
      </c>
      <c r="D359" s="88">
        <v>0</v>
      </c>
      <c r="E359" s="29">
        <f t="shared" si="261"/>
        <v>0.20513985599999998</v>
      </c>
      <c r="F359" s="29">
        <f t="shared" si="261"/>
        <v>1.0010400000000001E-2</v>
      </c>
      <c r="G359" s="29">
        <f t="shared" si="261"/>
        <v>7.8107759999999998E-2</v>
      </c>
      <c r="H359" s="29">
        <f t="shared" si="261"/>
        <v>0.11702169599999998</v>
      </c>
      <c r="I359" s="29">
        <f t="shared" si="262"/>
        <v>0</v>
      </c>
      <c r="J359" s="29">
        <f t="shared" si="268"/>
        <v>0</v>
      </c>
      <c r="K359" s="29">
        <v>0</v>
      </c>
      <c r="L359" s="29">
        <v>0</v>
      </c>
      <c r="M359" s="29">
        <v>0</v>
      </c>
      <c r="N359" s="29">
        <v>0</v>
      </c>
      <c r="O359" s="29">
        <f t="shared" si="247"/>
        <v>1.0010400000000001E-2</v>
      </c>
      <c r="P359" s="29">
        <f>8.342*1.2/1000</f>
        <v>1.0010400000000001E-2</v>
      </c>
      <c r="Q359" s="29">
        <v>0</v>
      </c>
      <c r="R359" s="29">
        <v>0</v>
      </c>
      <c r="S359" s="29">
        <v>0</v>
      </c>
      <c r="T359" s="30">
        <f t="shared" si="270"/>
        <v>0.19512945599999998</v>
      </c>
      <c r="U359" s="30">
        <v>0</v>
      </c>
      <c r="V359" s="30">
        <v>7.8107759999999998E-2</v>
      </c>
      <c r="W359" s="30">
        <v>0.11702169599999998</v>
      </c>
      <c r="X359" s="30">
        <v>0</v>
      </c>
      <c r="Y359" s="30">
        <f t="shared" si="271"/>
        <v>0</v>
      </c>
      <c r="Z359" s="30">
        <v>0</v>
      </c>
      <c r="AA359" s="30">
        <v>0</v>
      </c>
      <c r="AB359" s="30">
        <v>0</v>
      </c>
      <c r="AC359" s="34">
        <v>0</v>
      </c>
      <c r="AD359" s="36">
        <v>0</v>
      </c>
      <c r="AE359" s="36">
        <f t="shared" si="263"/>
        <v>0.17094988</v>
      </c>
      <c r="AF359" s="36">
        <f t="shared" si="263"/>
        <v>8.3420000000000005E-3</v>
      </c>
      <c r="AG359" s="36">
        <f t="shared" si="263"/>
        <v>6.5089800000000003E-2</v>
      </c>
      <c r="AH359" s="36">
        <f t="shared" si="263"/>
        <v>9.7518079999999993E-2</v>
      </c>
      <c r="AI359" s="36">
        <f t="shared" si="264"/>
        <v>0</v>
      </c>
      <c r="AJ359" s="36">
        <f t="shared" si="269"/>
        <v>0</v>
      </c>
      <c r="AK359" s="36">
        <v>0</v>
      </c>
      <c r="AL359" s="36">
        <v>0</v>
      </c>
      <c r="AM359" s="36">
        <v>0</v>
      </c>
      <c r="AN359" s="36">
        <v>0</v>
      </c>
      <c r="AO359" s="34">
        <f t="shared" si="272"/>
        <v>0</v>
      </c>
      <c r="AP359" s="34">
        <v>0</v>
      </c>
      <c r="AQ359" s="34">
        <v>0</v>
      </c>
      <c r="AR359" s="34">
        <v>0</v>
      </c>
      <c r="AS359" s="34">
        <v>0</v>
      </c>
      <c r="AT359" s="34">
        <f t="shared" si="273"/>
        <v>0.17094988</v>
      </c>
      <c r="AU359" s="34">
        <v>8.3420000000000005E-3</v>
      </c>
      <c r="AV359" s="34">
        <v>6.5089800000000003E-2</v>
      </c>
      <c r="AW359" s="34">
        <v>9.7518079999999993E-2</v>
      </c>
      <c r="AX359" s="34">
        <v>0</v>
      </c>
      <c r="AY359" s="34">
        <f t="shared" si="274"/>
        <v>0</v>
      </c>
      <c r="AZ359" s="34">
        <v>0</v>
      </c>
      <c r="BA359" s="34">
        <v>0</v>
      </c>
      <c r="BB359" s="34">
        <v>0</v>
      </c>
      <c r="BC359" s="34">
        <v>0</v>
      </c>
    </row>
    <row r="360" spans="1:55" s="55" customFormat="1" ht="33.75" customHeight="1" x14ac:dyDescent="0.25">
      <c r="A360" s="115" t="s">
        <v>235</v>
      </c>
      <c r="B360" s="96" t="s">
        <v>554</v>
      </c>
      <c r="C360" s="108" t="s">
        <v>552</v>
      </c>
      <c r="D360" s="88">
        <v>0</v>
      </c>
      <c r="E360" s="29">
        <f t="shared" si="261"/>
        <v>6.4778316000000002E-2</v>
      </c>
      <c r="F360" s="29">
        <f t="shared" si="261"/>
        <v>2.1398399999999998E-2</v>
      </c>
      <c r="G360" s="29">
        <f t="shared" si="261"/>
        <v>4.3379915999999998E-2</v>
      </c>
      <c r="H360" s="29">
        <f t="shared" si="261"/>
        <v>0</v>
      </c>
      <c r="I360" s="29">
        <f t="shared" si="262"/>
        <v>0</v>
      </c>
      <c r="J360" s="29">
        <f t="shared" si="268"/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f t="shared" si="247"/>
        <v>2.1398399999999998E-2</v>
      </c>
      <c r="P360" s="29">
        <f>17.832*1.2/1000</f>
        <v>2.1398399999999998E-2</v>
      </c>
      <c r="Q360" s="29">
        <v>0</v>
      </c>
      <c r="R360" s="29">
        <v>0</v>
      </c>
      <c r="S360" s="29">
        <v>0</v>
      </c>
      <c r="T360" s="30">
        <f t="shared" si="270"/>
        <v>4.3379915999999998E-2</v>
      </c>
      <c r="U360" s="30">
        <v>0</v>
      </c>
      <c r="V360" s="30">
        <v>4.3379915999999998E-2</v>
      </c>
      <c r="W360" s="30">
        <v>0</v>
      </c>
      <c r="X360" s="30">
        <v>0</v>
      </c>
      <c r="Y360" s="30">
        <f t="shared" si="271"/>
        <v>0</v>
      </c>
      <c r="Z360" s="30">
        <v>0</v>
      </c>
      <c r="AA360" s="30">
        <v>0</v>
      </c>
      <c r="AB360" s="30">
        <v>0</v>
      </c>
      <c r="AC360" s="34">
        <v>0</v>
      </c>
      <c r="AD360" s="36">
        <v>0</v>
      </c>
      <c r="AE360" s="36">
        <f t="shared" si="263"/>
        <v>0</v>
      </c>
      <c r="AF360" s="36">
        <f t="shared" si="263"/>
        <v>0</v>
      </c>
      <c r="AG360" s="36">
        <f t="shared" si="263"/>
        <v>0</v>
      </c>
      <c r="AH360" s="36">
        <f t="shared" si="263"/>
        <v>0</v>
      </c>
      <c r="AI360" s="36">
        <f t="shared" si="264"/>
        <v>0</v>
      </c>
      <c r="AJ360" s="36">
        <f t="shared" si="269"/>
        <v>0</v>
      </c>
      <c r="AK360" s="36">
        <v>0</v>
      </c>
      <c r="AL360" s="36">
        <v>0</v>
      </c>
      <c r="AM360" s="36">
        <v>0</v>
      </c>
      <c r="AN360" s="36">
        <v>0</v>
      </c>
      <c r="AO360" s="34">
        <f t="shared" si="272"/>
        <v>0</v>
      </c>
      <c r="AP360" s="34">
        <v>0</v>
      </c>
      <c r="AQ360" s="34">
        <v>0</v>
      </c>
      <c r="AR360" s="34">
        <v>0</v>
      </c>
      <c r="AS360" s="34">
        <v>0</v>
      </c>
      <c r="AT360" s="34">
        <f t="shared" si="273"/>
        <v>0</v>
      </c>
      <c r="AU360" s="34">
        <v>0</v>
      </c>
      <c r="AV360" s="34">
        <v>0</v>
      </c>
      <c r="AW360" s="34">
        <v>0</v>
      </c>
      <c r="AX360" s="34">
        <v>0</v>
      </c>
      <c r="AY360" s="34">
        <f t="shared" si="274"/>
        <v>0</v>
      </c>
      <c r="AZ360" s="34">
        <v>0</v>
      </c>
      <c r="BA360" s="34">
        <v>0</v>
      </c>
      <c r="BB360" s="34">
        <v>0</v>
      </c>
      <c r="BC360" s="34">
        <v>0</v>
      </c>
    </row>
    <row r="361" spans="1:55" s="55" customFormat="1" ht="33.75" customHeight="1" x14ac:dyDescent="0.25">
      <c r="A361" s="115" t="s">
        <v>235</v>
      </c>
      <c r="B361" s="96" t="s">
        <v>556</v>
      </c>
      <c r="C361" s="108" t="s">
        <v>553</v>
      </c>
      <c r="D361" s="88">
        <v>0</v>
      </c>
      <c r="E361" s="29">
        <f t="shared" si="261"/>
        <v>9.1442843999999995E-2</v>
      </c>
      <c r="F361" s="29">
        <f t="shared" si="261"/>
        <v>0</v>
      </c>
      <c r="G361" s="29">
        <f t="shared" si="261"/>
        <v>3.5654951999999997E-2</v>
      </c>
      <c r="H361" s="29">
        <f t="shared" si="261"/>
        <v>5.5787891999999999E-2</v>
      </c>
      <c r="I361" s="29">
        <f t="shared" si="262"/>
        <v>0</v>
      </c>
      <c r="J361" s="29">
        <f t="shared" si="268"/>
        <v>0</v>
      </c>
      <c r="K361" s="29">
        <v>0</v>
      </c>
      <c r="L361" s="29">
        <v>0</v>
      </c>
      <c r="M361" s="29">
        <v>0</v>
      </c>
      <c r="N361" s="29">
        <v>0</v>
      </c>
      <c r="O361" s="29">
        <f t="shared" si="247"/>
        <v>9.1442843999999995E-2</v>
      </c>
      <c r="P361" s="29">
        <v>0</v>
      </c>
      <c r="Q361" s="29">
        <v>3.5654951999999997E-2</v>
      </c>
      <c r="R361" s="29">
        <v>5.5787891999999999E-2</v>
      </c>
      <c r="S361" s="29">
        <v>0</v>
      </c>
      <c r="T361" s="30">
        <f t="shared" si="270"/>
        <v>0</v>
      </c>
      <c r="U361" s="30">
        <v>0</v>
      </c>
      <c r="V361" s="30">
        <v>0</v>
      </c>
      <c r="W361" s="30">
        <v>0</v>
      </c>
      <c r="X361" s="30">
        <v>0</v>
      </c>
      <c r="Y361" s="30">
        <f t="shared" si="271"/>
        <v>0</v>
      </c>
      <c r="Z361" s="30">
        <v>0</v>
      </c>
      <c r="AA361" s="30">
        <v>0</v>
      </c>
      <c r="AB361" s="30">
        <v>0</v>
      </c>
      <c r="AC361" s="34">
        <v>0</v>
      </c>
      <c r="AD361" s="36">
        <v>0</v>
      </c>
      <c r="AE361" s="36">
        <f t="shared" si="263"/>
        <v>7.6202370000000005E-2</v>
      </c>
      <c r="AF361" s="36">
        <f t="shared" si="263"/>
        <v>0</v>
      </c>
      <c r="AG361" s="36">
        <f t="shared" si="263"/>
        <v>2.971246E-2</v>
      </c>
      <c r="AH361" s="36">
        <f t="shared" si="263"/>
        <v>4.6489910000000002E-2</v>
      </c>
      <c r="AI361" s="36">
        <f t="shared" si="264"/>
        <v>0</v>
      </c>
      <c r="AJ361" s="36">
        <f t="shared" si="269"/>
        <v>0</v>
      </c>
      <c r="AK361" s="36">
        <v>0</v>
      </c>
      <c r="AL361" s="36">
        <v>0</v>
      </c>
      <c r="AM361" s="36">
        <v>0</v>
      </c>
      <c r="AN361" s="36">
        <v>0</v>
      </c>
      <c r="AO361" s="34">
        <f t="shared" si="272"/>
        <v>7.6202370000000005E-2</v>
      </c>
      <c r="AP361" s="34">
        <v>0</v>
      </c>
      <c r="AQ361" s="34">
        <v>2.971246E-2</v>
      </c>
      <c r="AR361" s="34">
        <v>4.6489910000000002E-2</v>
      </c>
      <c r="AS361" s="34">
        <v>0</v>
      </c>
      <c r="AT361" s="34">
        <f t="shared" si="273"/>
        <v>0</v>
      </c>
      <c r="AU361" s="34">
        <v>0</v>
      </c>
      <c r="AV361" s="34">
        <v>0</v>
      </c>
      <c r="AW361" s="34">
        <v>0</v>
      </c>
      <c r="AX361" s="34">
        <v>0</v>
      </c>
      <c r="AY361" s="34">
        <f t="shared" si="274"/>
        <v>0</v>
      </c>
      <c r="AZ361" s="34">
        <v>0</v>
      </c>
      <c r="BA361" s="34">
        <v>0</v>
      </c>
      <c r="BB361" s="34">
        <v>0</v>
      </c>
      <c r="BC361" s="34">
        <v>0</v>
      </c>
    </row>
    <row r="362" spans="1:55" s="55" customFormat="1" ht="33.75" customHeight="1" x14ac:dyDescent="0.25">
      <c r="A362" s="115" t="s">
        <v>235</v>
      </c>
      <c r="B362" s="96" t="s">
        <v>557</v>
      </c>
      <c r="C362" s="108" t="s">
        <v>558</v>
      </c>
      <c r="D362" s="88">
        <v>0</v>
      </c>
      <c r="E362" s="29">
        <f t="shared" si="261"/>
        <v>3.2500559999999998E-2</v>
      </c>
      <c r="F362" s="29">
        <f t="shared" si="261"/>
        <v>0</v>
      </c>
      <c r="G362" s="29">
        <f t="shared" si="261"/>
        <v>1.5975359999999997E-2</v>
      </c>
      <c r="H362" s="29">
        <f t="shared" si="261"/>
        <v>1.65252E-2</v>
      </c>
      <c r="I362" s="29">
        <f t="shared" si="262"/>
        <v>0</v>
      </c>
      <c r="J362" s="29">
        <f t="shared" si="268"/>
        <v>0</v>
      </c>
      <c r="K362" s="29">
        <v>0</v>
      </c>
      <c r="L362" s="29">
        <v>0</v>
      </c>
      <c r="M362" s="29">
        <v>0</v>
      </c>
      <c r="N362" s="29">
        <v>0</v>
      </c>
      <c r="O362" s="29">
        <f t="shared" si="247"/>
        <v>3.2500559999999998E-2</v>
      </c>
      <c r="P362" s="29">
        <v>0</v>
      </c>
      <c r="Q362" s="29">
        <v>1.5975359999999997E-2</v>
      </c>
      <c r="R362" s="29">
        <v>1.65252E-2</v>
      </c>
      <c r="S362" s="29">
        <v>0</v>
      </c>
      <c r="T362" s="30">
        <f t="shared" si="270"/>
        <v>0</v>
      </c>
      <c r="U362" s="30">
        <v>0</v>
      </c>
      <c r="V362" s="30">
        <v>0</v>
      </c>
      <c r="W362" s="30">
        <v>0</v>
      </c>
      <c r="X362" s="30">
        <v>0</v>
      </c>
      <c r="Y362" s="30">
        <f t="shared" si="271"/>
        <v>0</v>
      </c>
      <c r="Z362" s="30">
        <v>0</v>
      </c>
      <c r="AA362" s="30">
        <v>0</v>
      </c>
      <c r="AB362" s="30">
        <v>0</v>
      </c>
      <c r="AC362" s="34">
        <v>0</v>
      </c>
      <c r="AD362" s="36">
        <v>0</v>
      </c>
      <c r="AE362" s="36">
        <f t="shared" si="263"/>
        <v>2.7083799999999998E-2</v>
      </c>
      <c r="AF362" s="36">
        <f t="shared" si="263"/>
        <v>0</v>
      </c>
      <c r="AG362" s="36">
        <f t="shared" si="263"/>
        <v>1.3312799999999998E-2</v>
      </c>
      <c r="AH362" s="36">
        <f t="shared" si="263"/>
        <v>1.3771E-2</v>
      </c>
      <c r="AI362" s="36">
        <f t="shared" si="264"/>
        <v>0</v>
      </c>
      <c r="AJ362" s="36">
        <f t="shared" si="269"/>
        <v>0</v>
      </c>
      <c r="AK362" s="36">
        <v>0</v>
      </c>
      <c r="AL362" s="36">
        <v>0</v>
      </c>
      <c r="AM362" s="36">
        <v>0</v>
      </c>
      <c r="AN362" s="36">
        <v>0</v>
      </c>
      <c r="AO362" s="34">
        <f t="shared" si="272"/>
        <v>2.7083799999999998E-2</v>
      </c>
      <c r="AP362" s="34">
        <v>0</v>
      </c>
      <c r="AQ362" s="34">
        <v>1.3312799999999998E-2</v>
      </c>
      <c r="AR362" s="34">
        <v>1.3771E-2</v>
      </c>
      <c r="AS362" s="34">
        <v>0</v>
      </c>
      <c r="AT362" s="34">
        <f t="shared" si="273"/>
        <v>0</v>
      </c>
      <c r="AU362" s="34">
        <v>0</v>
      </c>
      <c r="AV362" s="34">
        <v>0</v>
      </c>
      <c r="AW362" s="34">
        <v>0</v>
      </c>
      <c r="AX362" s="34">
        <v>0</v>
      </c>
      <c r="AY362" s="34">
        <f t="shared" si="274"/>
        <v>0</v>
      </c>
      <c r="AZ362" s="34">
        <v>0</v>
      </c>
      <c r="BA362" s="34">
        <v>0</v>
      </c>
      <c r="BB362" s="34">
        <v>0</v>
      </c>
      <c r="BC362" s="34">
        <v>0</v>
      </c>
    </row>
    <row r="363" spans="1:55" s="55" customFormat="1" ht="33.75" customHeight="1" x14ac:dyDescent="0.25">
      <c r="A363" s="115" t="s">
        <v>235</v>
      </c>
      <c r="B363" s="96" t="s">
        <v>559</v>
      </c>
      <c r="C363" s="108" t="s">
        <v>560</v>
      </c>
      <c r="D363" s="88">
        <v>0</v>
      </c>
      <c r="E363" s="29">
        <f t="shared" si="261"/>
        <v>7.6437720000000001E-3</v>
      </c>
      <c r="F363" s="29">
        <f t="shared" si="261"/>
        <v>0</v>
      </c>
      <c r="G363" s="29">
        <f t="shared" si="261"/>
        <v>2.5317720000000003E-3</v>
      </c>
      <c r="H363" s="29">
        <f t="shared" si="261"/>
        <v>5.1119999999999994E-3</v>
      </c>
      <c r="I363" s="29">
        <f t="shared" si="262"/>
        <v>0</v>
      </c>
      <c r="J363" s="29">
        <f t="shared" si="268"/>
        <v>0</v>
      </c>
      <c r="K363" s="29">
        <v>0</v>
      </c>
      <c r="L363" s="29">
        <v>0</v>
      </c>
      <c r="M363" s="29">
        <v>0</v>
      </c>
      <c r="N363" s="29">
        <v>0</v>
      </c>
      <c r="O363" s="29">
        <f t="shared" si="247"/>
        <v>7.6437720000000001E-3</v>
      </c>
      <c r="P363" s="29">
        <v>0</v>
      </c>
      <c r="Q363" s="29">
        <v>2.5317720000000003E-3</v>
      </c>
      <c r="R363" s="29">
        <v>5.1119999999999994E-3</v>
      </c>
      <c r="S363" s="29">
        <v>0</v>
      </c>
      <c r="T363" s="30">
        <f t="shared" si="270"/>
        <v>0</v>
      </c>
      <c r="U363" s="30">
        <v>0</v>
      </c>
      <c r="V363" s="30">
        <v>0</v>
      </c>
      <c r="W363" s="30">
        <v>0</v>
      </c>
      <c r="X363" s="30">
        <v>0</v>
      </c>
      <c r="Y363" s="30">
        <f t="shared" si="271"/>
        <v>0</v>
      </c>
      <c r="Z363" s="30">
        <v>0</v>
      </c>
      <c r="AA363" s="30">
        <v>0</v>
      </c>
      <c r="AB363" s="30">
        <v>0</v>
      </c>
      <c r="AC363" s="34">
        <v>0</v>
      </c>
      <c r="AD363" s="36">
        <v>0</v>
      </c>
      <c r="AE363" s="36">
        <f t="shared" si="263"/>
        <v>6.3698100000000001E-3</v>
      </c>
      <c r="AF363" s="36">
        <f t="shared" si="263"/>
        <v>0</v>
      </c>
      <c r="AG363" s="36">
        <f t="shared" si="263"/>
        <v>2.1098100000000002E-3</v>
      </c>
      <c r="AH363" s="36">
        <f t="shared" si="263"/>
        <v>4.2599999999999999E-3</v>
      </c>
      <c r="AI363" s="36">
        <f t="shared" si="264"/>
        <v>0</v>
      </c>
      <c r="AJ363" s="36">
        <f t="shared" si="269"/>
        <v>0</v>
      </c>
      <c r="AK363" s="36">
        <v>0</v>
      </c>
      <c r="AL363" s="36">
        <v>0</v>
      </c>
      <c r="AM363" s="36">
        <v>0</v>
      </c>
      <c r="AN363" s="36">
        <v>0</v>
      </c>
      <c r="AO363" s="34">
        <f t="shared" si="272"/>
        <v>6.3698100000000001E-3</v>
      </c>
      <c r="AP363" s="34">
        <v>0</v>
      </c>
      <c r="AQ363" s="34">
        <v>2.1098100000000002E-3</v>
      </c>
      <c r="AR363" s="34">
        <v>4.2599999999999999E-3</v>
      </c>
      <c r="AS363" s="34">
        <v>0</v>
      </c>
      <c r="AT363" s="34">
        <f t="shared" si="273"/>
        <v>0</v>
      </c>
      <c r="AU363" s="34">
        <v>0</v>
      </c>
      <c r="AV363" s="34">
        <v>0</v>
      </c>
      <c r="AW363" s="34">
        <v>0</v>
      </c>
      <c r="AX363" s="34">
        <v>0</v>
      </c>
      <c r="AY363" s="34">
        <f t="shared" si="274"/>
        <v>0</v>
      </c>
      <c r="AZ363" s="34">
        <v>0</v>
      </c>
      <c r="BA363" s="34">
        <v>0</v>
      </c>
      <c r="BB363" s="34">
        <v>0</v>
      </c>
      <c r="BC363" s="34">
        <v>0</v>
      </c>
    </row>
    <row r="364" spans="1:55" s="55" customFormat="1" ht="33.75" customHeight="1" x14ac:dyDescent="0.25">
      <c r="A364" s="115" t="s">
        <v>235</v>
      </c>
      <c r="B364" s="96" t="s">
        <v>561</v>
      </c>
      <c r="C364" s="108" t="s">
        <v>555</v>
      </c>
      <c r="D364" s="88">
        <v>0</v>
      </c>
      <c r="E364" s="29">
        <f t="shared" si="261"/>
        <v>8.6806644000000002E-2</v>
      </c>
      <c r="F364" s="29">
        <f t="shared" si="261"/>
        <v>0</v>
      </c>
      <c r="G364" s="29">
        <f t="shared" si="261"/>
        <v>6.2433599999999999E-2</v>
      </c>
      <c r="H364" s="29">
        <f t="shared" si="261"/>
        <v>2.4373044E-2</v>
      </c>
      <c r="I364" s="29">
        <f t="shared" si="262"/>
        <v>0</v>
      </c>
      <c r="J364" s="29">
        <f t="shared" si="268"/>
        <v>1.3557600000000001E-2</v>
      </c>
      <c r="K364" s="29">
        <v>0</v>
      </c>
      <c r="L364" s="29">
        <f>11.298/1000*1.2</f>
        <v>1.3557600000000001E-2</v>
      </c>
      <c r="M364" s="29">
        <v>0</v>
      </c>
      <c r="N364" s="29">
        <v>0</v>
      </c>
      <c r="O364" s="29">
        <f t="shared" si="247"/>
        <v>7.3249043999999999E-2</v>
      </c>
      <c r="P364" s="29">
        <v>0</v>
      </c>
      <c r="Q364" s="29">
        <v>4.8875999999999996E-2</v>
      </c>
      <c r="R364" s="29">
        <v>2.4373044E-2</v>
      </c>
      <c r="S364" s="29">
        <v>0</v>
      </c>
      <c r="T364" s="30">
        <f t="shared" si="270"/>
        <v>0</v>
      </c>
      <c r="U364" s="30">
        <v>0</v>
      </c>
      <c r="V364" s="30">
        <v>0</v>
      </c>
      <c r="W364" s="30">
        <v>0</v>
      </c>
      <c r="X364" s="30">
        <v>0</v>
      </c>
      <c r="Y364" s="30">
        <f t="shared" si="271"/>
        <v>0</v>
      </c>
      <c r="Z364" s="30">
        <v>0</v>
      </c>
      <c r="AA364" s="30">
        <v>0</v>
      </c>
      <c r="AB364" s="30">
        <v>0</v>
      </c>
      <c r="AC364" s="34">
        <v>0</v>
      </c>
      <c r="AD364" s="36">
        <v>0</v>
      </c>
      <c r="AE364" s="36">
        <f t="shared" si="263"/>
        <v>7.233887E-2</v>
      </c>
      <c r="AF364" s="36">
        <f t="shared" si="263"/>
        <v>0</v>
      </c>
      <c r="AG364" s="36">
        <f t="shared" si="263"/>
        <v>5.2027999999999998E-2</v>
      </c>
      <c r="AH364" s="36">
        <f t="shared" si="263"/>
        <v>2.0310870000000002E-2</v>
      </c>
      <c r="AI364" s="36">
        <f t="shared" si="264"/>
        <v>0</v>
      </c>
      <c r="AJ364" s="36">
        <f t="shared" si="269"/>
        <v>0</v>
      </c>
      <c r="AK364" s="36">
        <v>0</v>
      </c>
      <c r="AL364" s="36">
        <v>0</v>
      </c>
      <c r="AM364" s="36">
        <v>0</v>
      </c>
      <c r="AN364" s="36">
        <v>0</v>
      </c>
      <c r="AO364" s="34">
        <f t="shared" si="272"/>
        <v>7.233887E-2</v>
      </c>
      <c r="AP364" s="34">
        <v>0</v>
      </c>
      <c r="AQ364" s="34">
        <v>5.2027999999999998E-2</v>
      </c>
      <c r="AR364" s="34">
        <v>2.0310870000000002E-2</v>
      </c>
      <c r="AS364" s="34">
        <v>0</v>
      </c>
      <c r="AT364" s="34">
        <f t="shared" si="273"/>
        <v>0</v>
      </c>
      <c r="AU364" s="34">
        <v>0</v>
      </c>
      <c r="AV364" s="34">
        <v>0</v>
      </c>
      <c r="AW364" s="34">
        <v>0</v>
      </c>
      <c r="AX364" s="34">
        <v>0</v>
      </c>
      <c r="AY364" s="34">
        <f t="shared" si="274"/>
        <v>0</v>
      </c>
      <c r="AZ364" s="34">
        <v>0</v>
      </c>
      <c r="BA364" s="34">
        <v>0</v>
      </c>
      <c r="BB364" s="34">
        <v>0</v>
      </c>
      <c r="BC364" s="34">
        <v>0</v>
      </c>
    </row>
    <row r="365" spans="1:55" s="55" customFormat="1" ht="33.75" customHeight="1" x14ac:dyDescent="0.25">
      <c r="A365" s="115" t="s">
        <v>235</v>
      </c>
      <c r="B365" s="96" t="s">
        <v>563</v>
      </c>
      <c r="C365" s="108" t="s">
        <v>562</v>
      </c>
      <c r="D365" s="88">
        <v>0</v>
      </c>
      <c r="E365" s="29">
        <f t="shared" si="261"/>
        <v>0.14407621199999998</v>
      </c>
      <c r="F365" s="29">
        <f t="shared" si="261"/>
        <v>0</v>
      </c>
      <c r="G365" s="29">
        <f t="shared" si="261"/>
        <v>0.10459559999999998</v>
      </c>
      <c r="H365" s="29">
        <f t="shared" si="261"/>
        <v>3.9480611999999991E-2</v>
      </c>
      <c r="I365" s="29">
        <f t="shared" si="262"/>
        <v>0</v>
      </c>
      <c r="J365" s="29">
        <f t="shared" si="268"/>
        <v>2.2714799999999997E-2</v>
      </c>
      <c r="K365" s="29">
        <v>0</v>
      </c>
      <c r="L365" s="29">
        <f>18.929/1000*1.2</f>
        <v>2.2714799999999997E-2</v>
      </c>
      <c r="M365" s="29">
        <v>0</v>
      </c>
      <c r="N365" s="29">
        <v>0</v>
      </c>
      <c r="O365" s="29">
        <f t="shared" si="247"/>
        <v>0.12136141199999997</v>
      </c>
      <c r="P365" s="29">
        <v>0</v>
      </c>
      <c r="Q365" s="29">
        <v>8.188079999999999E-2</v>
      </c>
      <c r="R365" s="29">
        <v>3.9480611999999991E-2</v>
      </c>
      <c r="S365" s="29">
        <v>0</v>
      </c>
      <c r="T365" s="30">
        <f t="shared" si="270"/>
        <v>0</v>
      </c>
      <c r="U365" s="30">
        <v>0</v>
      </c>
      <c r="V365" s="30">
        <v>0</v>
      </c>
      <c r="W365" s="30">
        <v>0</v>
      </c>
      <c r="X365" s="30">
        <v>0</v>
      </c>
      <c r="Y365" s="30">
        <f t="shared" si="271"/>
        <v>0</v>
      </c>
      <c r="Z365" s="30">
        <v>0</v>
      </c>
      <c r="AA365" s="30">
        <v>0</v>
      </c>
      <c r="AB365" s="30">
        <v>0</v>
      </c>
      <c r="AC365" s="34">
        <v>0</v>
      </c>
      <c r="AD365" s="36">
        <v>0</v>
      </c>
      <c r="AE365" s="36">
        <f t="shared" si="263"/>
        <v>0.12006350999999998</v>
      </c>
      <c r="AF365" s="36">
        <f t="shared" si="263"/>
        <v>0</v>
      </c>
      <c r="AG365" s="36">
        <f t="shared" si="263"/>
        <v>8.716299999999999E-2</v>
      </c>
      <c r="AH365" s="36">
        <f t="shared" si="263"/>
        <v>3.2900509999999994E-2</v>
      </c>
      <c r="AI365" s="36">
        <f t="shared" si="264"/>
        <v>0</v>
      </c>
      <c r="AJ365" s="36">
        <f t="shared" si="269"/>
        <v>0</v>
      </c>
      <c r="AK365" s="36">
        <v>0</v>
      </c>
      <c r="AL365" s="36">
        <v>0</v>
      </c>
      <c r="AM365" s="36">
        <v>0</v>
      </c>
      <c r="AN365" s="36">
        <v>0</v>
      </c>
      <c r="AO365" s="34">
        <f t="shared" si="272"/>
        <v>0.12006350999999998</v>
      </c>
      <c r="AP365" s="34">
        <v>0</v>
      </c>
      <c r="AQ365" s="34">
        <v>8.716299999999999E-2</v>
      </c>
      <c r="AR365" s="34">
        <v>3.2900509999999994E-2</v>
      </c>
      <c r="AS365" s="34">
        <v>0</v>
      </c>
      <c r="AT365" s="34">
        <f t="shared" si="273"/>
        <v>0</v>
      </c>
      <c r="AU365" s="34">
        <v>0</v>
      </c>
      <c r="AV365" s="34">
        <v>0</v>
      </c>
      <c r="AW365" s="34">
        <v>0</v>
      </c>
      <c r="AX365" s="34">
        <v>0</v>
      </c>
      <c r="AY365" s="34">
        <f t="shared" si="274"/>
        <v>0</v>
      </c>
      <c r="AZ365" s="34">
        <v>0</v>
      </c>
      <c r="BA365" s="34">
        <v>0</v>
      </c>
      <c r="BB365" s="34">
        <v>0</v>
      </c>
      <c r="BC365" s="34">
        <v>0</v>
      </c>
    </row>
    <row r="366" spans="1:55" s="55" customFormat="1" ht="33.75" customHeight="1" x14ac:dyDescent="0.25">
      <c r="A366" s="115" t="s">
        <v>235</v>
      </c>
      <c r="B366" s="96" t="s">
        <v>565</v>
      </c>
      <c r="C366" s="108" t="s">
        <v>564</v>
      </c>
      <c r="D366" s="88">
        <v>0</v>
      </c>
      <c r="E366" s="29">
        <f t="shared" si="261"/>
        <v>0.23216722799999998</v>
      </c>
      <c r="F366" s="29">
        <f t="shared" si="261"/>
        <v>0</v>
      </c>
      <c r="G366" s="29">
        <f t="shared" si="261"/>
        <v>0.16800359999999998</v>
      </c>
      <c r="H366" s="29">
        <f t="shared" si="261"/>
        <v>6.4163628E-2</v>
      </c>
      <c r="I366" s="29">
        <f t="shared" si="262"/>
        <v>0</v>
      </c>
      <c r="J366" s="29">
        <f t="shared" si="268"/>
        <v>3.6483599999999998E-2</v>
      </c>
      <c r="K366" s="29">
        <v>0</v>
      </c>
      <c r="L366" s="29">
        <f>30.403/1000*1.2</f>
        <v>3.6483599999999998E-2</v>
      </c>
      <c r="M366" s="29">
        <v>0</v>
      </c>
      <c r="N366" s="29">
        <v>0</v>
      </c>
      <c r="O366" s="29">
        <f t="shared" si="247"/>
        <v>0.19568362799999997</v>
      </c>
      <c r="P366" s="29">
        <v>0</v>
      </c>
      <c r="Q366" s="29">
        <v>0.13151999999999997</v>
      </c>
      <c r="R366" s="29">
        <v>6.4163628E-2</v>
      </c>
      <c r="S366" s="29">
        <v>0</v>
      </c>
      <c r="T366" s="30">
        <f t="shared" si="270"/>
        <v>0</v>
      </c>
      <c r="U366" s="30">
        <v>0</v>
      </c>
      <c r="V366" s="30">
        <v>0</v>
      </c>
      <c r="W366" s="30">
        <v>0</v>
      </c>
      <c r="X366" s="30">
        <v>0</v>
      </c>
      <c r="Y366" s="30">
        <f t="shared" si="271"/>
        <v>0</v>
      </c>
      <c r="Z366" s="30">
        <v>0</v>
      </c>
      <c r="AA366" s="30">
        <v>0</v>
      </c>
      <c r="AB366" s="30">
        <v>0</v>
      </c>
      <c r="AC366" s="34">
        <v>0</v>
      </c>
      <c r="AD366" s="36">
        <v>0</v>
      </c>
      <c r="AE366" s="36">
        <f t="shared" si="263"/>
        <v>0.19347269</v>
      </c>
      <c r="AF366" s="36">
        <f t="shared" si="263"/>
        <v>0</v>
      </c>
      <c r="AG366" s="36">
        <f t="shared" si="263"/>
        <v>0.14000299999999999</v>
      </c>
      <c r="AH366" s="36">
        <f t="shared" si="263"/>
        <v>5.346969E-2</v>
      </c>
      <c r="AI366" s="36">
        <f t="shared" si="264"/>
        <v>0</v>
      </c>
      <c r="AJ366" s="36">
        <f t="shared" si="269"/>
        <v>0</v>
      </c>
      <c r="AK366" s="36">
        <v>0</v>
      </c>
      <c r="AL366" s="36">
        <v>0</v>
      </c>
      <c r="AM366" s="36">
        <v>0</v>
      </c>
      <c r="AN366" s="36">
        <v>0</v>
      </c>
      <c r="AO366" s="34">
        <f t="shared" si="272"/>
        <v>0.19347269</v>
      </c>
      <c r="AP366" s="34">
        <v>0</v>
      </c>
      <c r="AQ366" s="34">
        <v>0.14000299999999999</v>
      </c>
      <c r="AR366" s="34">
        <v>5.346969E-2</v>
      </c>
      <c r="AS366" s="34">
        <v>0</v>
      </c>
      <c r="AT366" s="34">
        <f t="shared" si="273"/>
        <v>0</v>
      </c>
      <c r="AU366" s="34">
        <v>0</v>
      </c>
      <c r="AV366" s="34">
        <v>0</v>
      </c>
      <c r="AW366" s="34">
        <v>0</v>
      </c>
      <c r="AX366" s="34">
        <v>0</v>
      </c>
      <c r="AY366" s="34">
        <f t="shared" si="274"/>
        <v>0</v>
      </c>
      <c r="AZ366" s="34">
        <v>0</v>
      </c>
      <c r="BA366" s="34">
        <v>0</v>
      </c>
      <c r="BB366" s="34">
        <v>0</v>
      </c>
      <c r="BC366" s="34">
        <v>0</v>
      </c>
    </row>
    <row r="367" spans="1:55" s="55" customFormat="1" ht="33.75" customHeight="1" x14ac:dyDescent="0.25">
      <c r="A367" s="115" t="s">
        <v>235</v>
      </c>
      <c r="B367" s="96" t="s">
        <v>657</v>
      </c>
      <c r="C367" s="108" t="s">
        <v>566</v>
      </c>
      <c r="D367" s="88">
        <v>0</v>
      </c>
      <c r="E367" s="29">
        <f t="shared" si="261"/>
        <v>0.41532865199999996</v>
      </c>
      <c r="F367" s="29">
        <f t="shared" si="261"/>
        <v>0</v>
      </c>
      <c r="G367" s="29">
        <f t="shared" si="261"/>
        <v>0.26410226399999998</v>
      </c>
      <c r="H367" s="29">
        <f t="shared" si="261"/>
        <v>0.15122638799999999</v>
      </c>
      <c r="I367" s="29">
        <f t="shared" si="262"/>
        <v>0</v>
      </c>
      <c r="J367" s="29">
        <f t="shared" si="268"/>
        <v>0</v>
      </c>
      <c r="K367" s="29">
        <v>0</v>
      </c>
      <c r="L367" s="29">
        <v>0</v>
      </c>
      <c r="M367" s="29">
        <v>0</v>
      </c>
      <c r="N367" s="29">
        <v>0</v>
      </c>
      <c r="O367" s="29">
        <v>0</v>
      </c>
      <c r="P367" s="29">
        <v>0</v>
      </c>
      <c r="Q367" s="29">
        <v>0</v>
      </c>
      <c r="R367" s="29">
        <v>0</v>
      </c>
      <c r="S367" s="29">
        <v>0</v>
      </c>
      <c r="T367" s="30">
        <f t="shared" si="270"/>
        <v>0.41532865199999996</v>
      </c>
      <c r="U367" s="30">
        <v>0</v>
      </c>
      <c r="V367" s="30">
        <v>0.26410226399999998</v>
      </c>
      <c r="W367" s="30">
        <v>0.15122638799999999</v>
      </c>
      <c r="X367" s="30">
        <v>0</v>
      </c>
      <c r="Y367" s="30">
        <f t="shared" si="271"/>
        <v>0</v>
      </c>
      <c r="Z367" s="30">
        <v>0</v>
      </c>
      <c r="AA367" s="30">
        <v>0</v>
      </c>
      <c r="AB367" s="30">
        <v>0</v>
      </c>
      <c r="AC367" s="34">
        <v>0</v>
      </c>
      <c r="AD367" s="36">
        <v>0</v>
      </c>
      <c r="AE367" s="36">
        <f t="shared" si="263"/>
        <v>0.36422356</v>
      </c>
      <c r="AF367" s="36">
        <f t="shared" si="263"/>
        <v>1.811635E-2</v>
      </c>
      <c r="AG367" s="36">
        <f t="shared" si="263"/>
        <v>0.22008522</v>
      </c>
      <c r="AH367" s="36">
        <f t="shared" si="263"/>
        <v>0.12602199</v>
      </c>
      <c r="AI367" s="36">
        <f t="shared" si="264"/>
        <v>0</v>
      </c>
      <c r="AJ367" s="36">
        <v>0</v>
      </c>
      <c r="AK367" s="36">
        <v>0</v>
      </c>
      <c r="AL367" s="36">
        <v>0</v>
      </c>
      <c r="AM367" s="36">
        <v>0</v>
      </c>
      <c r="AN367" s="36">
        <v>0</v>
      </c>
      <c r="AO367" s="34">
        <v>0</v>
      </c>
      <c r="AP367" s="34">
        <v>0</v>
      </c>
      <c r="AQ367" s="34">
        <v>0</v>
      </c>
      <c r="AR367" s="34">
        <v>0</v>
      </c>
      <c r="AS367" s="34">
        <v>0</v>
      </c>
      <c r="AT367" s="34">
        <f t="shared" si="273"/>
        <v>0.36422356</v>
      </c>
      <c r="AU367" s="34">
        <v>1.811635E-2</v>
      </c>
      <c r="AV367" s="34">
        <v>0.22008522</v>
      </c>
      <c r="AW367" s="34">
        <v>0.12602199</v>
      </c>
      <c r="AX367" s="34">
        <v>0</v>
      </c>
      <c r="AY367" s="34">
        <f t="shared" si="274"/>
        <v>0</v>
      </c>
      <c r="AZ367" s="34">
        <v>0</v>
      </c>
      <c r="BA367" s="34">
        <v>0</v>
      </c>
      <c r="BB367" s="34">
        <v>0</v>
      </c>
      <c r="BC367" s="34">
        <v>0</v>
      </c>
    </row>
    <row r="368" spans="1:55" s="55" customFormat="1" ht="33.75" customHeight="1" x14ac:dyDescent="0.25">
      <c r="A368" s="115" t="s">
        <v>235</v>
      </c>
      <c r="B368" s="96" t="s">
        <v>659</v>
      </c>
      <c r="C368" s="108" t="s">
        <v>658</v>
      </c>
      <c r="D368" s="88">
        <v>0</v>
      </c>
      <c r="E368" s="29">
        <f t="shared" si="261"/>
        <v>0.203527872</v>
      </c>
      <c r="F368" s="29">
        <f t="shared" si="261"/>
        <v>0</v>
      </c>
      <c r="G368" s="29">
        <f t="shared" si="261"/>
        <v>0.153138624</v>
      </c>
      <c r="H368" s="29">
        <f t="shared" si="261"/>
        <v>5.0389247999999998E-2</v>
      </c>
      <c r="I368" s="29">
        <f t="shared" si="262"/>
        <v>0</v>
      </c>
      <c r="J368" s="29">
        <f t="shared" si="268"/>
        <v>0</v>
      </c>
      <c r="K368" s="29">
        <v>0</v>
      </c>
      <c r="L368" s="29">
        <v>0</v>
      </c>
      <c r="M368" s="29">
        <v>0</v>
      </c>
      <c r="N368" s="29">
        <v>0</v>
      </c>
      <c r="O368" s="29">
        <v>0</v>
      </c>
      <c r="P368" s="29">
        <v>0</v>
      </c>
      <c r="Q368" s="29">
        <v>0</v>
      </c>
      <c r="R368" s="29">
        <v>0</v>
      </c>
      <c r="S368" s="29">
        <v>0</v>
      </c>
      <c r="T368" s="30">
        <f t="shared" si="270"/>
        <v>0.203527872</v>
      </c>
      <c r="U368" s="30">
        <v>0</v>
      </c>
      <c r="V368" s="30">
        <v>0.153138624</v>
      </c>
      <c r="W368" s="30">
        <v>5.0389247999999998E-2</v>
      </c>
      <c r="X368" s="30">
        <v>0</v>
      </c>
      <c r="Y368" s="30">
        <f t="shared" si="271"/>
        <v>0</v>
      </c>
      <c r="Z368" s="30">
        <v>0</v>
      </c>
      <c r="AA368" s="30">
        <v>0</v>
      </c>
      <c r="AB368" s="30">
        <v>0</v>
      </c>
      <c r="AC368" s="34">
        <v>0</v>
      </c>
      <c r="AD368" s="36">
        <v>0</v>
      </c>
      <c r="AE368" s="36">
        <f t="shared" si="263"/>
        <v>0.18864391000000003</v>
      </c>
      <c r="AF368" s="36">
        <f t="shared" si="263"/>
        <v>1.9037350000000001E-2</v>
      </c>
      <c r="AG368" s="36">
        <f t="shared" si="263"/>
        <v>0.12761552000000001</v>
      </c>
      <c r="AH368" s="36">
        <f t="shared" si="263"/>
        <v>4.199104E-2</v>
      </c>
      <c r="AI368" s="36">
        <f t="shared" si="264"/>
        <v>0</v>
      </c>
      <c r="AJ368" s="36">
        <v>0</v>
      </c>
      <c r="AK368" s="36">
        <v>0</v>
      </c>
      <c r="AL368" s="36">
        <v>0</v>
      </c>
      <c r="AM368" s="36">
        <v>0</v>
      </c>
      <c r="AN368" s="36">
        <v>0</v>
      </c>
      <c r="AO368" s="34">
        <v>0</v>
      </c>
      <c r="AP368" s="34">
        <v>0</v>
      </c>
      <c r="AQ368" s="34">
        <v>0</v>
      </c>
      <c r="AR368" s="34">
        <v>0</v>
      </c>
      <c r="AS368" s="34">
        <v>0</v>
      </c>
      <c r="AT368" s="34">
        <f t="shared" si="273"/>
        <v>0.18864391000000003</v>
      </c>
      <c r="AU368" s="34">
        <v>1.9037350000000001E-2</v>
      </c>
      <c r="AV368" s="34">
        <v>0.12761552000000001</v>
      </c>
      <c r="AW368" s="34">
        <v>4.199104E-2</v>
      </c>
      <c r="AX368" s="34">
        <v>0</v>
      </c>
      <c r="AY368" s="34">
        <f t="shared" si="274"/>
        <v>0</v>
      </c>
      <c r="AZ368" s="34">
        <v>0</v>
      </c>
      <c r="BA368" s="34">
        <v>0</v>
      </c>
      <c r="BB368" s="34">
        <v>0</v>
      </c>
      <c r="BC368" s="34">
        <v>0</v>
      </c>
    </row>
    <row r="369" spans="1:55" s="55" customFormat="1" ht="33.75" customHeight="1" x14ac:dyDescent="0.25">
      <c r="A369" s="115" t="s">
        <v>235</v>
      </c>
      <c r="B369" s="96" t="s">
        <v>661</v>
      </c>
      <c r="C369" s="108" t="s">
        <v>817</v>
      </c>
      <c r="D369" s="88">
        <v>0</v>
      </c>
      <c r="E369" s="29">
        <f t="shared" si="261"/>
        <v>0.20667837599999997</v>
      </c>
      <c r="F369" s="29">
        <f t="shared" si="261"/>
        <v>1.0010400000000001E-2</v>
      </c>
      <c r="G369" s="29">
        <f t="shared" si="261"/>
        <v>7.9485803999999993E-2</v>
      </c>
      <c r="H369" s="29">
        <f t="shared" si="261"/>
        <v>0.11718217199999999</v>
      </c>
      <c r="I369" s="29">
        <f t="shared" si="262"/>
        <v>0</v>
      </c>
      <c r="J369" s="29">
        <f t="shared" si="268"/>
        <v>0</v>
      </c>
      <c r="K369" s="29">
        <v>0</v>
      </c>
      <c r="L369" s="29">
        <v>0</v>
      </c>
      <c r="M369" s="29">
        <v>0</v>
      </c>
      <c r="N369" s="29">
        <v>0</v>
      </c>
      <c r="O369" s="29">
        <f t="shared" ref="O369" si="275">P369+Q369+R369+S369</f>
        <v>1.0010400000000001E-2</v>
      </c>
      <c r="P369" s="29">
        <f>8.342*1.2/1000</f>
        <v>1.0010400000000001E-2</v>
      </c>
      <c r="Q369" s="29">
        <v>0</v>
      </c>
      <c r="R369" s="29">
        <v>0</v>
      </c>
      <c r="S369" s="29">
        <v>0</v>
      </c>
      <c r="T369" s="30">
        <f t="shared" si="270"/>
        <v>0.19666797599999997</v>
      </c>
      <c r="U369" s="30">
        <v>0</v>
      </c>
      <c r="V369" s="30">
        <v>7.9485803999999993E-2</v>
      </c>
      <c r="W369" s="30">
        <v>0.11718217199999999</v>
      </c>
      <c r="X369" s="30">
        <v>0</v>
      </c>
      <c r="Y369" s="30">
        <f t="shared" si="271"/>
        <v>0</v>
      </c>
      <c r="Z369" s="30">
        <v>0</v>
      </c>
      <c r="AA369" s="30">
        <v>0</v>
      </c>
      <c r="AB369" s="30">
        <v>0</v>
      </c>
      <c r="AC369" s="34">
        <v>0</v>
      </c>
      <c r="AD369" s="36">
        <v>0</v>
      </c>
      <c r="AE369" s="36">
        <f t="shared" si="263"/>
        <v>0.17223198000000001</v>
      </c>
      <c r="AF369" s="36">
        <f t="shared" si="263"/>
        <v>8.3420000000000005E-3</v>
      </c>
      <c r="AG369" s="36">
        <f t="shared" si="263"/>
        <v>6.6238169999999999E-2</v>
      </c>
      <c r="AH369" s="36">
        <f t="shared" si="263"/>
        <v>9.7651809999999992E-2</v>
      </c>
      <c r="AI369" s="36">
        <f t="shared" si="264"/>
        <v>0</v>
      </c>
      <c r="AJ369" s="36">
        <v>0</v>
      </c>
      <c r="AK369" s="36">
        <v>0</v>
      </c>
      <c r="AL369" s="36">
        <v>0</v>
      </c>
      <c r="AM369" s="36">
        <v>0</v>
      </c>
      <c r="AN369" s="36">
        <v>0</v>
      </c>
      <c r="AO369" s="34">
        <v>0</v>
      </c>
      <c r="AP369" s="34">
        <v>0</v>
      </c>
      <c r="AQ369" s="34">
        <v>0</v>
      </c>
      <c r="AR369" s="34">
        <v>0</v>
      </c>
      <c r="AS369" s="34">
        <v>0</v>
      </c>
      <c r="AT369" s="34">
        <f t="shared" si="273"/>
        <v>0.17223198000000001</v>
      </c>
      <c r="AU369" s="34">
        <v>8.3420000000000005E-3</v>
      </c>
      <c r="AV369" s="34">
        <v>6.6238169999999999E-2</v>
      </c>
      <c r="AW369" s="34">
        <v>9.7651809999999992E-2</v>
      </c>
      <c r="AX369" s="34">
        <v>0</v>
      </c>
      <c r="AY369" s="34">
        <f t="shared" si="274"/>
        <v>0</v>
      </c>
      <c r="AZ369" s="34">
        <v>0</v>
      </c>
      <c r="BA369" s="34">
        <v>0</v>
      </c>
      <c r="BB369" s="34">
        <v>0</v>
      </c>
      <c r="BC369" s="34">
        <v>0</v>
      </c>
    </row>
    <row r="370" spans="1:55" s="55" customFormat="1" ht="33.75" customHeight="1" x14ac:dyDescent="0.25">
      <c r="A370" s="115" t="s">
        <v>235</v>
      </c>
      <c r="B370" s="96" t="s">
        <v>818</v>
      </c>
      <c r="C370" s="108" t="s">
        <v>660</v>
      </c>
      <c r="D370" s="88">
        <v>0</v>
      </c>
      <c r="E370" s="29">
        <f t="shared" si="261"/>
        <v>6.0949667999999999E-2</v>
      </c>
      <c r="F370" s="29">
        <f t="shared" si="261"/>
        <v>0</v>
      </c>
      <c r="G370" s="29">
        <f t="shared" si="261"/>
        <v>1.3516788E-2</v>
      </c>
      <c r="H370" s="29">
        <f t="shared" si="261"/>
        <v>4.7432879999999997E-2</v>
      </c>
      <c r="I370" s="29">
        <f t="shared" si="262"/>
        <v>0</v>
      </c>
      <c r="J370" s="29">
        <f t="shared" si="268"/>
        <v>0</v>
      </c>
      <c r="K370" s="29">
        <v>0</v>
      </c>
      <c r="L370" s="29">
        <v>0</v>
      </c>
      <c r="M370" s="29">
        <v>0</v>
      </c>
      <c r="N370" s="29">
        <v>0</v>
      </c>
      <c r="O370" s="29">
        <v>0</v>
      </c>
      <c r="P370" s="29">
        <v>0</v>
      </c>
      <c r="Q370" s="29">
        <v>0</v>
      </c>
      <c r="R370" s="29">
        <v>0</v>
      </c>
      <c r="S370" s="29">
        <v>0</v>
      </c>
      <c r="T370" s="30">
        <v>0</v>
      </c>
      <c r="U370" s="30">
        <v>0</v>
      </c>
      <c r="V370" s="30">
        <v>0</v>
      </c>
      <c r="W370" s="30">
        <v>0</v>
      </c>
      <c r="X370" s="30">
        <v>0</v>
      </c>
      <c r="Y370" s="30">
        <f t="shared" si="271"/>
        <v>6.0949667999999999E-2</v>
      </c>
      <c r="Z370" s="30">
        <v>0</v>
      </c>
      <c r="AA370" s="30">
        <v>1.3516788E-2</v>
      </c>
      <c r="AB370" s="30">
        <v>4.7432879999999997E-2</v>
      </c>
      <c r="AC370" s="34">
        <v>0</v>
      </c>
      <c r="AD370" s="36">
        <v>0</v>
      </c>
      <c r="AE370" s="36">
        <f t="shared" si="263"/>
        <v>5.0791389999999999E-2</v>
      </c>
      <c r="AF370" s="36">
        <f t="shared" si="263"/>
        <v>0</v>
      </c>
      <c r="AG370" s="36">
        <f t="shared" si="263"/>
        <v>1.126399E-2</v>
      </c>
      <c r="AH370" s="36">
        <f t="shared" si="263"/>
        <v>3.9527399999999997E-2</v>
      </c>
      <c r="AI370" s="36">
        <f t="shared" si="264"/>
        <v>0</v>
      </c>
      <c r="AJ370" s="36">
        <v>0</v>
      </c>
      <c r="AK370" s="36">
        <v>0</v>
      </c>
      <c r="AL370" s="36">
        <v>0</v>
      </c>
      <c r="AM370" s="36">
        <v>0</v>
      </c>
      <c r="AN370" s="36">
        <v>0</v>
      </c>
      <c r="AO370" s="34">
        <v>0</v>
      </c>
      <c r="AP370" s="34">
        <v>0</v>
      </c>
      <c r="AQ370" s="34">
        <v>0</v>
      </c>
      <c r="AR370" s="34">
        <v>0</v>
      </c>
      <c r="AS370" s="34">
        <v>0</v>
      </c>
      <c r="AT370" s="34">
        <v>0</v>
      </c>
      <c r="AU370" s="34">
        <v>0</v>
      </c>
      <c r="AV370" s="34">
        <v>0</v>
      </c>
      <c r="AW370" s="34">
        <v>0</v>
      </c>
      <c r="AX370" s="34">
        <v>0</v>
      </c>
      <c r="AY370" s="34">
        <f t="shared" si="274"/>
        <v>5.0791389999999999E-2</v>
      </c>
      <c r="AZ370" s="34">
        <v>0</v>
      </c>
      <c r="BA370" s="34">
        <v>1.126399E-2</v>
      </c>
      <c r="BB370" s="34">
        <v>3.9527399999999997E-2</v>
      </c>
      <c r="BC370" s="34">
        <v>0</v>
      </c>
    </row>
    <row r="371" spans="1:55" s="55" customFormat="1" ht="33.75" customHeight="1" x14ac:dyDescent="0.25">
      <c r="A371" s="115" t="s">
        <v>235</v>
      </c>
      <c r="B371" s="96" t="s">
        <v>819</v>
      </c>
      <c r="C371" s="108" t="s">
        <v>662</v>
      </c>
      <c r="D371" s="88">
        <v>0</v>
      </c>
      <c r="E371" s="29">
        <f t="shared" si="261"/>
        <v>1.717308E-2</v>
      </c>
      <c r="F371" s="29">
        <f t="shared" si="261"/>
        <v>1.717308E-2</v>
      </c>
      <c r="G371" s="29">
        <f t="shared" si="261"/>
        <v>0</v>
      </c>
      <c r="H371" s="29">
        <f t="shared" si="261"/>
        <v>0</v>
      </c>
      <c r="I371" s="29">
        <f t="shared" si="262"/>
        <v>0</v>
      </c>
      <c r="J371" s="29">
        <f t="shared" si="268"/>
        <v>0</v>
      </c>
      <c r="K371" s="29">
        <v>0</v>
      </c>
      <c r="L371" s="29">
        <v>0</v>
      </c>
      <c r="M371" s="29">
        <v>0</v>
      </c>
      <c r="N371" s="29">
        <v>0</v>
      </c>
      <c r="O371" s="29">
        <v>0</v>
      </c>
      <c r="P371" s="29">
        <v>0</v>
      </c>
      <c r="Q371" s="29">
        <v>0</v>
      </c>
      <c r="R371" s="29">
        <v>0</v>
      </c>
      <c r="S371" s="29">
        <v>0</v>
      </c>
      <c r="T371" s="30">
        <v>0</v>
      </c>
      <c r="U371" s="30">
        <v>0</v>
      </c>
      <c r="V371" s="30">
        <v>0</v>
      </c>
      <c r="W371" s="30">
        <v>0</v>
      </c>
      <c r="X371" s="30">
        <v>0</v>
      </c>
      <c r="Y371" s="30">
        <f t="shared" si="271"/>
        <v>1.717308E-2</v>
      </c>
      <c r="Z371" s="30">
        <v>1.717308E-2</v>
      </c>
      <c r="AA371" s="30">
        <v>0</v>
      </c>
      <c r="AB371" s="30">
        <v>0</v>
      </c>
      <c r="AC371" s="34">
        <v>0</v>
      </c>
      <c r="AD371" s="36">
        <v>0</v>
      </c>
      <c r="AE371" s="36">
        <f t="shared" si="263"/>
        <v>0</v>
      </c>
      <c r="AF371" s="36">
        <f t="shared" si="263"/>
        <v>0</v>
      </c>
      <c r="AG371" s="36">
        <f t="shared" si="263"/>
        <v>0</v>
      </c>
      <c r="AH371" s="36">
        <f t="shared" si="263"/>
        <v>0</v>
      </c>
      <c r="AI371" s="36">
        <f t="shared" si="264"/>
        <v>0</v>
      </c>
      <c r="AJ371" s="36">
        <v>0</v>
      </c>
      <c r="AK371" s="36">
        <v>0</v>
      </c>
      <c r="AL371" s="36">
        <v>0</v>
      </c>
      <c r="AM371" s="36">
        <v>0</v>
      </c>
      <c r="AN371" s="36">
        <v>0</v>
      </c>
      <c r="AO371" s="34">
        <v>0</v>
      </c>
      <c r="AP371" s="34">
        <v>0</v>
      </c>
      <c r="AQ371" s="34">
        <v>0</v>
      </c>
      <c r="AR371" s="34">
        <v>0</v>
      </c>
      <c r="AS371" s="34">
        <v>0</v>
      </c>
      <c r="AT371" s="34">
        <v>0</v>
      </c>
      <c r="AU371" s="34">
        <v>0</v>
      </c>
      <c r="AV371" s="34">
        <v>0</v>
      </c>
      <c r="AW371" s="34">
        <v>0</v>
      </c>
      <c r="AX371" s="34">
        <v>0</v>
      </c>
      <c r="AY371" s="34">
        <f t="shared" si="274"/>
        <v>0</v>
      </c>
      <c r="AZ371" s="34">
        <v>0</v>
      </c>
      <c r="BA371" s="34">
        <v>0</v>
      </c>
      <c r="BB371" s="34">
        <v>0</v>
      </c>
      <c r="BC371" s="34">
        <v>0</v>
      </c>
    </row>
    <row r="372" spans="1:55" s="55" customFormat="1" ht="33.75" customHeight="1" x14ac:dyDescent="0.25">
      <c r="A372" s="115" t="s">
        <v>235</v>
      </c>
      <c r="B372" s="96" t="s">
        <v>820</v>
      </c>
      <c r="C372" s="108" t="s">
        <v>821</v>
      </c>
      <c r="D372" s="88">
        <v>0</v>
      </c>
      <c r="E372" s="29">
        <f t="shared" si="261"/>
        <v>0.33914888399999998</v>
      </c>
      <c r="F372" s="29">
        <f t="shared" si="261"/>
        <v>0</v>
      </c>
      <c r="G372" s="29">
        <f t="shared" si="261"/>
        <v>0.10191989999999999</v>
      </c>
      <c r="H372" s="29">
        <f t="shared" si="261"/>
        <v>0.237228984</v>
      </c>
      <c r="I372" s="29">
        <f t="shared" si="262"/>
        <v>0</v>
      </c>
      <c r="J372" s="29">
        <f t="shared" si="268"/>
        <v>0</v>
      </c>
      <c r="K372" s="29">
        <v>0</v>
      </c>
      <c r="L372" s="29">
        <v>0</v>
      </c>
      <c r="M372" s="29">
        <v>0</v>
      </c>
      <c r="N372" s="29">
        <v>0</v>
      </c>
      <c r="O372" s="29">
        <v>0</v>
      </c>
      <c r="P372" s="29">
        <v>0</v>
      </c>
      <c r="Q372" s="29">
        <v>0</v>
      </c>
      <c r="R372" s="29">
        <v>0</v>
      </c>
      <c r="S372" s="29">
        <v>0</v>
      </c>
      <c r="T372" s="30">
        <v>0</v>
      </c>
      <c r="U372" s="30">
        <v>0</v>
      </c>
      <c r="V372" s="30">
        <v>0</v>
      </c>
      <c r="W372" s="30">
        <v>0</v>
      </c>
      <c r="X372" s="30">
        <v>0</v>
      </c>
      <c r="Y372" s="30">
        <f t="shared" si="271"/>
        <v>0.33914888399999998</v>
      </c>
      <c r="Z372" s="30">
        <v>0</v>
      </c>
      <c r="AA372" s="30">
        <v>0.10191989999999999</v>
      </c>
      <c r="AB372" s="30">
        <v>0.237228984</v>
      </c>
      <c r="AC372" s="34">
        <v>0</v>
      </c>
      <c r="AD372" s="36">
        <v>0</v>
      </c>
      <c r="AE372" s="36">
        <f t="shared" si="263"/>
        <v>0.28262407000000001</v>
      </c>
      <c r="AF372" s="36">
        <f t="shared" si="263"/>
        <v>0</v>
      </c>
      <c r="AG372" s="36">
        <f t="shared" si="263"/>
        <v>8.4933250000000002E-2</v>
      </c>
      <c r="AH372" s="36">
        <f t="shared" si="263"/>
        <v>0.19769081999999999</v>
      </c>
      <c r="AI372" s="36">
        <f t="shared" si="264"/>
        <v>0</v>
      </c>
      <c r="AJ372" s="36">
        <v>0</v>
      </c>
      <c r="AK372" s="36">
        <v>0</v>
      </c>
      <c r="AL372" s="36">
        <v>0</v>
      </c>
      <c r="AM372" s="36">
        <v>0</v>
      </c>
      <c r="AN372" s="36">
        <v>0</v>
      </c>
      <c r="AO372" s="34">
        <v>0</v>
      </c>
      <c r="AP372" s="34">
        <v>0</v>
      </c>
      <c r="AQ372" s="34">
        <v>0</v>
      </c>
      <c r="AR372" s="34">
        <v>0</v>
      </c>
      <c r="AS372" s="34">
        <v>0</v>
      </c>
      <c r="AT372" s="34">
        <v>0</v>
      </c>
      <c r="AU372" s="34">
        <v>0</v>
      </c>
      <c r="AV372" s="34">
        <v>0</v>
      </c>
      <c r="AW372" s="34">
        <v>0</v>
      </c>
      <c r="AX372" s="34">
        <v>0</v>
      </c>
      <c r="AY372" s="34">
        <f t="shared" si="274"/>
        <v>0.28262407000000001</v>
      </c>
      <c r="AZ372" s="34">
        <v>0</v>
      </c>
      <c r="BA372" s="34">
        <v>8.4933250000000002E-2</v>
      </c>
      <c r="BB372" s="34">
        <v>0.19769081999999999</v>
      </c>
      <c r="BC372" s="34">
        <v>0</v>
      </c>
    </row>
    <row r="373" spans="1:55" s="55" customFormat="1" ht="33.75" customHeight="1" x14ac:dyDescent="0.25">
      <c r="A373" s="115" t="s">
        <v>235</v>
      </c>
      <c r="B373" s="96" t="s">
        <v>822</v>
      </c>
      <c r="C373" s="108" t="s">
        <v>823</v>
      </c>
      <c r="D373" s="88">
        <v>0</v>
      </c>
      <c r="E373" s="29">
        <f t="shared" si="261"/>
        <v>0</v>
      </c>
      <c r="F373" s="29">
        <f t="shared" si="261"/>
        <v>0</v>
      </c>
      <c r="G373" s="29">
        <f t="shared" si="261"/>
        <v>0</v>
      </c>
      <c r="H373" s="29">
        <f t="shared" si="261"/>
        <v>0</v>
      </c>
      <c r="I373" s="29">
        <f t="shared" si="262"/>
        <v>0</v>
      </c>
      <c r="J373" s="29">
        <f t="shared" si="268"/>
        <v>0</v>
      </c>
      <c r="K373" s="29">
        <v>0</v>
      </c>
      <c r="L373" s="29">
        <v>0</v>
      </c>
      <c r="M373" s="29">
        <v>0</v>
      </c>
      <c r="N373" s="29">
        <v>0</v>
      </c>
      <c r="O373" s="29">
        <v>0</v>
      </c>
      <c r="P373" s="29">
        <v>0</v>
      </c>
      <c r="Q373" s="29">
        <v>0</v>
      </c>
      <c r="R373" s="29">
        <v>0</v>
      </c>
      <c r="S373" s="29">
        <v>0</v>
      </c>
      <c r="T373" s="30">
        <v>0</v>
      </c>
      <c r="U373" s="30">
        <v>0</v>
      </c>
      <c r="V373" s="30">
        <v>0</v>
      </c>
      <c r="W373" s="30">
        <v>0</v>
      </c>
      <c r="X373" s="30">
        <v>0</v>
      </c>
      <c r="Y373" s="30">
        <f t="shared" si="271"/>
        <v>0</v>
      </c>
      <c r="Z373" s="30">
        <v>0</v>
      </c>
      <c r="AA373" s="30">
        <v>0</v>
      </c>
      <c r="AB373" s="30">
        <v>0</v>
      </c>
      <c r="AC373" s="34">
        <v>0</v>
      </c>
      <c r="AD373" s="36">
        <v>0</v>
      </c>
      <c r="AE373" s="36">
        <f t="shared" si="263"/>
        <v>4.9132429999999998E-2</v>
      </c>
      <c r="AF373" s="36">
        <f t="shared" si="263"/>
        <v>4.9132429999999998E-2</v>
      </c>
      <c r="AG373" s="36">
        <f t="shared" si="263"/>
        <v>0</v>
      </c>
      <c r="AH373" s="36">
        <f t="shared" si="263"/>
        <v>0</v>
      </c>
      <c r="AI373" s="36">
        <f t="shared" si="264"/>
        <v>0</v>
      </c>
      <c r="AJ373" s="36">
        <v>0</v>
      </c>
      <c r="AK373" s="36">
        <v>0</v>
      </c>
      <c r="AL373" s="36">
        <v>0</v>
      </c>
      <c r="AM373" s="36">
        <v>0</v>
      </c>
      <c r="AN373" s="36">
        <v>0</v>
      </c>
      <c r="AO373" s="34">
        <v>0</v>
      </c>
      <c r="AP373" s="34">
        <v>0</v>
      </c>
      <c r="AQ373" s="34">
        <v>0</v>
      </c>
      <c r="AR373" s="34">
        <v>0</v>
      </c>
      <c r="AS373" s="34">
        <v>0</v>
      </c>
      <c r="AT373" s="34">
        <v>0</v>
      </c>
      <c r="AU373" s="34">
        <v>0</v>
      </c>
      <c r="AV373" s="34">
        <v>0</v>
      </c>
      <c r="AW373" s="34">
        <v>0</v>
      </c>
      <c r="AX373" s="34">
        <v>0</v>
      </c>
      <c r="AY373" s="34">
        <f t="shared" si="274"/>
        <v>4.9132429999999998E-2</v>
      </c>
      <c r="AZ373" s="34">
        <v>4.9132429999999998E-2</v>
      </c>
      <c r="BA373" s="34">
        <v>0</v>
      </c>
      <c r="BB373" s="34">
        <v>0</v>
      </c>
      <c r="BC373" s="34">
        <v>0</v>
      </c>
    </row>
    <row r="374" spans="1:55" s="55" customFormat="1" ht="33.75" customHeight="1" x14ac:dyDescent="0.25">
      <c r="A374" s="115" t="s">
        <v>235</v>
      </c>
      <c r="B374" s="96" t="s">
        <v>824</v>
      </c>
      <c r="C374" s="108" t="s">
        <v>443</v>
      </c>
      <c r="D374" s="88">
        <v>0</v>
      </c>
      <c r="E374" s="29">
        <f>F374+G374+H374</f>
        <v>0.289420236</v>
      </c>
      <c r="F374" s="29">
        <v>0</v>
      </c>
      <c r="G374" s="29">
        <f t="shared" si="261"/>
        <v>0.12329923199999999</v>
      </c>
      <c r="H374" s="29">
        <f t="shared" si="261"/>
        <v>0.16612100399999999</v>
      </c>
      <c r="I374" s="29">
        <v>0</v>
      </c>
      <c r="J374" s="29">
        <f t="shared" si="268"/>
        <v>0</v>
      </c>
      <c r="K374" s="29">
        <v>0</v>
      </c>
      <c r="L374" s="29">
        <v>0</v>
      </c>
      <c r="M374" s="29">
        <v>0</v>
      </c>
      <c r="N374" s="29">
        <v>0</v>
      </c>
      <c r="O374" s="29">
        <f>P374+Q374+R374+S374</f>
        <v>0.289420236</v>
      </c>
      <c r="P374" s="29">
        <v>0</v>
      </c>
      <c r="Q374" s="29">
        <v>0.12329923199999999</v>
      </c>
      <c r="R374" s="29">
        <v>0.16612100399999999</v>
      </c>
      <c r="S374" s="29">
        <v>0</v>
      </c>
      <c r="T374" s="30">
        <v>0</v>
      </c>
      <c r="U374" s="30">
        <v>0</v>
      </c>
      <c r="V374" s="30">
        <v>0</v>
      </c>
      <c r="W374" s="30">
        <v>0</v>
      </c>
      <c r="X374" s="30">
        <v>0</v>
      </c>
      <c r="Y374" s="30">
        <f>Z374</f>
        <v>0</v>
      </c>
      <c r="Z374" s="30">
        <v>0</v>
      </c>
      <c r="AA374" s="30">
        <v>0</v>
      </c>
      <c r="AB374" s="30">
        <v>0</v>
      </c>
      <c r="AC374" s="34">
        <v>0</v>
      </c>
      <c r="AD374" s="36">
        <v>0</v>
      </c>
      <c r="AE374" s="36">
        <f t="shared" si="263"/>
        <v>0.24118352999999998</v>
      </c>
      <c r="AF374" s="36">
        <f t="shared" si="263"/>
        <v>0</v>
      </c>
      <c r="AG374" s="36">
        <f t="shared" si="263"/>
        <v>0.10274936</v>
      </c>
      <c r="AH374" s="36">
        <f t="shared" si="263"/>
        <v>0.13843417</v>
      </c>
      <c r="AI374" s="36">
        <f t="shared" si="264"/>
        <v>0</v>
      </c>
      <c r="AJ374" s="36">
        <v>0</v>
      </c>
      <c r="AK374" s="36">
        <v>0</v>
      </c>
      <c r="AL374" s="36">
        <v>0</v>
      </c>
      <c r="AM374" s="36">
        <v>0</v>
      </c>
      <c r="AN374" s="36">
        <v>0</v>
      </c>
      <c r="AO374" s="34">
        <f>AP374+AQ374+AR374+AS374</f>
        <v>0.24118352999999998</v>
      </c>
      <c r="AP374" s="34">
        <v>0</v>
      </c>
      <c r="AQ374" s="34">
        <f>102.74936/1000</f>
        <v>0.10274936</v>
      </c>
      <c r="AR374" s="34">
        <f>138.43417/1000</f>
        <v>0.13843417</v>
      </c>
      <c r="AS374" s="34">
        <v>0</v>
      </c>
      <c r="AT374" s="34">
        <v>0</v>
      </c>
      <c r="AU374" s="34">
        <v>0</v>
      </c>
      <c r="AV374" s="34">
        <v>0</v>
      </c>
      <c r="AW374" s="34">
        <v>0</v>
      </c>
      <c r="AX374" s="34">
        <v>0</v>
      </c>
      <c r="AY374" s="34">
        <f t="shared" si="274"/>
        <v>0</v>
      </c>
      <c r="AZ374" s="34">
        <v>0</v>
      </c>
      <c r="BA374" s="34">
        <v>0</v>
      </c>
      <c r="BB374" s="34">
        <v>0</v>
      </c>
      <c r="BC374" s="34">
        <v>0</v>
      </c>
    </row>
    <row r="375" spans="1:55" s="55" customFormat="1" ht="33.75" customHeight="1" x14ac:dyDescent="0.25">
      <c r="A375" s="115" t="s">
        <v>235</v>
      </c>
      <c r="B375" s="96" t="s">
        <v>861</v>
      </c>
      <c r="C375" s="108" t="s">
        <v>862</v>
      </c>
      <c r="D375" s="88">
        <v>0</v>
      </c>
      <c r="E375" s="29">
        <f t="shared" si="261"/>
        <v>3.4351199999999998E-2</v>
      </c>
      <c r="F375" s="29">
        <f t="shared" si="261"/>
        <v>3.4351199999999998E-2</v>
      </c>
      <c r="G375" s="29">
        <f t="shared" si="261"/>
        <v>0</v>
      </c>
      <c r="H375" s="29">
        <f t="shared" si="261"/>
        <v>0</v>
      </c>
      <c r="I375" s="29">
        <f t="shared" si="262"/>
        <v>0</v>
      </c>
      <c r="J375" s="29">
        <f t="shared" si="268"/>
        <v>0</v>
      </c>
      <c r="K375" s="29">
        <v>0</v>
      </c>
      <c r="L375" s="29">
        <v>0</v>
      </c>
      <c r="M375" s="29">
        <v>0</v>
      </c>
      <c r="N375" s="29">
        <v>0</v>
      </c>
      <c r="O375" s="29">
        <v>0</v>
      </c>
      <c r="P375" s="29">
        <v>0</v>
      </c>
      <c r="Q375" s="29">
        <v>0</v>
      </c>
      <c r="R375" s="29">
        <v>0</v>
      </c>
      <c r="S375" s="29">
        <v>0</v>
      </c>
      <c r="T375" s="30">
        <v>0</v>
      </c>
      <c r="U375" s="30">
        <v>0</v>
      </c>
      <c r="V375" s="30">
        <v>0</v>
      </c>
      <c r="W375" s="30">
        <v>0</v>
      </c>
      <c r="X375" s="30">
        <v>0</v>
      </c>
      <c r="Y375" s="30">
        <f t="shared" ref="Y375:Y379" si="276">Z375</f>
        <v>3.4351199999999998E-2</v>
      </c>
      <c r="Z375" s="30">
        <v>3.4351199999999998E-2</v>
      </c>
      <c r="AA375" s="30">
        <v>0</v>
      </c>
      <c r="AB375" s="30">
        <v>0</v>
      </c>
      <c r="AC375" s="34">
        <v>0</v>
      </c>
      <c r="AD375" s="36">
        <v>0</v>
      </c>
      <c r="AE375" s="36">
        <f t="shared" si="263"/>
        <v>0</v>
      </c>
      <c r="AF375" s="36">
        <f t="shared" si="263"/>
        <v>0</v>
      </c>
      <c r="AG375" s="36">
        <f t="shared" si="263"/>
        <v>0</v>
      </c>
      <c r="AH375" s="36">
        <f t="shared" si="263"/>
        <v>0</v>
      </c>
      <c r="AI375" s="36">
        <f t="shared" si="264"/>
        <v>0</v>
      </c>
      <c r="AJ375" s="36">
        <v>0</v>
      </c>
      <c r="AK375" s="36">
        <v>0</v>
      </c>
      <c r="AL375" s="36">
        <v>0</v>
      </c>
      <c r="AM375" s="36">
        <v>0</v>
      </c>
      <c r="AN375" s="36">
        <v>0</v>
      </c>
      <c r="AO375" s="34">
        <v>0</v>
      </c>
      <c r="AP375" s="34">
        <v>0</v>
      </c>
      <c r="AQ375" s="34">
        <v>0</v>
      </c>
      <c r="AR375" s="34">
        <v>0</v>
      </c>
      <c r="AS375" s="34">
        <v>0</v>
      </c>
      <c r="AT375" s="34">
        <v>0</v>
      </c>
      <c r="AU375" s="34">
        <v>0</v>
      </c>
      <c r="AV375" s="34">
        <v>0</v>
      </c>
      <c r="AW375" s="34">
        <v>0</v>
      </c>
      <c r="AX375" s="34">
        <v>0</v>
      </c>
      <c r="AY375" s="34">
        <f t="shared" si="274"/>
        <v>0</v>
      </c>
      <c r="AZ375" s="34">
        <v>0</v>
      </c>
      <c r="BA375" s="34">
        <v>0</v>
      </c>
      <c r="BB375" s="34">
        <v>0</v>
      </c>
      <c r="BC375" s="34">
        <v>0</v>
      </c>
    </row>
    <row r="376" spans="1:55" s="55" customFormat="1" ht="33.75" customHeight="1" x14ac:dyDescent="0.25">
      <c r="A376" s="115" t="s">
        <v>235</v>
      </c>
      <c r="B376" s="96" t="s">
        <v>863</v>
      </c>
      <c r="C376" s="108" t="s">
        <v>864</v>
      </c>
      <c r="D376" s="88">
        <v>0</v>
      </c>
      <c r="E376" s="29">
        <f t="shared" si="261"/>
        <v>2.9909999999999999E-2</v>
      </c>
      <c r="F376" s="29">
        <f t="shared" si="261"/>
        <v>2.9909999999999999E-2</v>
      </c>
      <c r="G376" s="29">
        <f t="shared" si="261"/>
        <v>0</v>
      </c>
      <c r="H376" s="29">
        <f t="shared" si="261"/>
        <v>0</v>
      </c>
      <c r="I376" s="29">
        <f t="shared" si="262"/>
        <v>0</v>
      </c>
      <c r="J376" s="29">
        <f t="shared" si="268"/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30">
        <v>0</v>
      </c>
      <c r="U376" s="30">
        <v>0</v>
      </c>
      <c r="V376" s="30">
        <v>0</v>
      </c>
      <c r="W376" s="30">
        <v>0</v>
      </c>
      <c r="X376" s="30">
        <v>0</v>
      </c>
      <c r="Y376" s="30">
        <f t="shared" si="276"/>
        <v>2.9909999999999999E-2</v>
      </c>
      <c r="Z376" s="30">
        <v>2.9909999999999999E-2</v>
      </c>
      <c r="AA376" s="30">
        <v>0</v>
      </c>
      <c r="AB376" s="30">
        <v>0</v>
      </c>
      <c r="AC376" s="34">
        <v>0</v>
      </c>
      <c r="AD376" s="36">
        <v>0</v>
      </c>
      <c r="AE376" s="36">
        <f t="shared" si="263"/>
        <v>0</v>
      </c>
      <c r="AF376" s="36">
        <f t="shared" si="263"/>
        <v>0</v>
      </c>
      <c r="AG376" s="36">
        <f t="shared" si="263"/>
        <v>0</v>
      </c>
      <c r="AH376" s="36">
        <f t="shared" si="263"/>
        <v>0</v>
      </c>
      <c r="AI376" s="36">
        <f t="shared" si="264"/>
        <v>0</v>
      </c>
      <c r="AJ376" s="36">
        <v>0</v>
      </c>
      <c r="AK376" s="36">
        <v>0</v>
      </c>
      <c r="AL376" s="36">
        <v>0</v>
      </c>
      <c r="AM376" s="36">
        <v>0</v>
      </c>
      <c r="AN376" s="36">
        <v>0</v>
      </c>
      <c r="AO376" s="34">
        <v>0</v>
      </c>
      <c r="AP376" s="34">
        <v>0</v>
      </c>
      <c r="AQ376" s="34">
        <v>0</v>
      </c>
      <c r="AR376" s="34">
        <v>0</v>
      </c>
      <c r="AS376" s="34">
        <v>0</v>
      </c>
      <c r="AT376" s="34">
        <v>0</v>
      </c>
      <c r="AU376" s="34">
        <v>0</v>
      </c>
      <c r="AV376" s="34">
        <v>0</v>
      </c>
      <c r="AW376" s="34">
        <v>0</v>
      </c>
      <c r="AX376" s="34">
        <v>0</v>
      </c>
      <c r="AY376" s="34">
        <f t="shared" si="274"/>
        <v>0</v>
      </c>
      <c r="AZ376" s="34">
        <v>0</v>
      </c>
      <c r="BA376" s="34">
        <v>0</v>
      </c>
      <c r="BB376" s="34">
        <v>0</v>
      </c>
      <c r="BC376" s="34">
        <v>0</v>
      </c>
    </row>
    <row r="377" spans="1:55" s="55" customFormat="1" ht="33.75" customHeight="1" x14ac:dyDescent="0.25">
      <c r="A377" s="115" t="s">
        <v>235</v>
      </c>
      <c r="B377" s="96" t="s">
        <v>865</v>
      </c>
      <c r="C377" s="108" t="s">
        <v>866</v>
      </c>
      <c r="D377" s="88">
        <v>0</v>
      </c>
      <c r="E377" s="29">
        <f t="shared" si="261"/>
        <v>3.3596399999999998E-2</v>
      </c>
      <c r="F377" s="29">
        <f t="shared" si="261"/>
        <v>3.3596399999999998E-2</v>
      </c>
      <c r="G377" s="29">
        <f t="shared" si="261"/>
        <v>0</v>
      </c>
      <c r="H377" s="29">
        <f t="shared" si="261"/>
        <v>0</v>
      </c>
      <c r="I377" s="29">
        <f t="shared" si="262"/>
        <v>0</v>
      </c>
      <c r="J377" s="29">
        <f t="shared" si="268"/>
        <v>0</v>
      </c>
      <c r="K377" s="29">
        <v>0</v>
      </c>
      <c r="L377" s="29">
        <v>0</v>
      </c>
      <c r="M377" s="29">
        <v>0</v>
      </c>
      <c r="N377" s="29">
        <v>0</v>
      </c>
      <c r="O377" s="29">
        <v>0</v>
      </c>
      <c r="P377" s="29">
        <v>0</v>
      </c>
      <c r="Q377" s="29">
        <v>0</v>
      </c>
      <c r="R377" s="29">
        <v>0</v>
      </c>
      <c r="S377" s="29">
        <v>0</v>
      </c>
      <c r="T377" s="30">
        <v>0</v>
      </c>
      <c r="U377" s="30">
        <v>0</v>
      </c>
      <c r="V377" s="30">
        <v>0</v>
      </c>
      <c r="W377" s="30">
        <v>0</v>
      </c>
      <c r="X377" s="30">
        <v>0</v>
      </c>
      <c r="Y377" s="30">
        <f t="shared" si="276"/>
        <v>3.3596399999999998E-2</v>
      </c>
      <c r="Z377" s="30">
        <v>3.3596399999999998E-2</v>
      </c>
      <c r="AA377" s="30">
        <v>0</v>
      </c>
      <c r="AB377" s="30">
        <v>0</v>
      </c>
      <c r="AC377" s="34">
        <v>0</v>
      </c>
      <c r="AD377" s="36">
        <v>0</v>
      </c>
      <c r="AE377" s="36">
        <f t="shared" si="263"/>
        <v>0</v>
      </c>
      <c r="AF377" s="36">
        <f t="shared" si="263"/>
        <v>0</v>
      </c>
      <c r="AG377" s="36">
        <f t="shared" si="263"/>
        <v>0</v>
      </c>
      <c r="AH377" s="36">
        <f t="shared" si="263"/>
        <v>0</v>
      </c>
      <c r="AI377" s="36">
        <f t="shared" si="264"/>
        <v>0</v>
      </c>
      <c r="AJ377" s="36">
        <v>0</v>
      </c>
      <c r="AK377" s="36">
        <v>0</v>
      </c>
      <c r="AL377" s="36">
        <v>0</v>
      </c>
      <c r="AM377" s="36">
        <v>0</v>
      </c>
      <c r="AN377" s="36">
        <v>0</v>
      </c>
      <c r="AO377" s="34">
        <v>0</v>
      </c>
      <c r="AP377" s="34">
        <v>0</v>
      </c>
      <c r="AQ377" s="34">
        <v>0</v>
      </c>
      <c r="AR377" s="34">
        <v>0</v>
      </c>
      <c r="AS377" s="34">
        <v>0</v>
      </c>
      <c r="AT377" s="34">
        <v>0</v>
      </c>
      <c r="AU377" s="34">
        <v>0</v>
      </c>
      <c r="AV377" s="34">
        <v>0</v>
      </c>
      <c r="AW377" s="34">
        <v>0</v>
      </c>
      <c r="AX377" s="34">
        <v>0</v>
      </c>
      <c r="AY377" s="34">
        <f t="shared" si="274"/>
        <v>0</v>
      </c>
      <c r="AZ377" s="34">
        <v>0</v>
      </c>
      <c r="BA377" s="34">
        <v>0</v>
      </c>
      <c r="BB377" s="34">
        <v>0</v>
      </c>
      <c r="BC377" s="34">
        <v>0</v>
      </c>
    </row>
    <row r="378" spans="1:55" s="55" customFormat="1" ht="33.75" customHeight="1" x14ac:dyDescent="0.25">
      <c r="A378" s="115" t="s">
        <v>235</v>
      </c>
      <c r="B378" s="96" t="s">
        <v>867</v>
      </c>
      <c r="C378" s="108" t="s">
        <v>868</v>
      </c>
      <c r="D378" s="88">
        <v>0</v>
      </c>
      <c r="E378" s="29">
        <f t="shared" si="261"/>
        <v>3.2171999999999999E-2</v>
      </c>
      <c r="F378" s="29">
        <f t="shared" si="261"/>
        <v>3.2171999999999999E-2</v>
      </c>
      <c r="G378" s="29">
        <f t="shared" si="261"/>
        <v>0</v>
      </c>
      <c r="H378" s="29">
        <f t="shared" si="261"/>
        <v>0</v>
      </c>
      <c r="I378" s="29">
        <f t="shared" si="262"/>
        <v>0</v>
      </c>
      <c r="J378" s="29">
        <f t="shared" si="268"/>
        <v>0</v>
      </c>
      <c r="K378" s="29">
        <v>0</v>
      </c>
      <c r="L378" s="29">
        <v>0</v>
      </c>
      <c r="M378" s="29">
        <v>0</v>
      </c>
      <c r="N378" s="29">
        <v>0</v>
      </c>
      <c r="O378" s="29">
        <v>0</v>
      </c>
      <c r="P378" s="29">
        <v>0</v>
      </c>
      <c r="Q378" s="29">
        <v>0</v>
      </c>
      <c r="R378" s="29">
        <v>0</v>
      </c>
      <c r="S378" s="29">
        <v>0</v>
      </c>
      <c r="T378" s="30">
        <v>0</v>
      </c>
      <c r="U378" s="30">
        <v>0</v>
      </c>
      <c r="V378" s="30">
        <v>0</v>
      </c>
      <c r="W378" s="30">
        <v>0</v>
      </c>
      <c r="X378" s="30">
        <v>0</v>
      </c>
      <c r="Y378" s="30">
        <f t="shared" si="276"/>
        <v>3.2171999999999999E-2</v>
      </c>
      <c r="Z378" s="30">
        <v>3.2171999999999999E-2</v>
      </c>
      <c r="AA378" s="30">
        <v>0</v>
      </c>
      <c r="AB378" s="30">
        <v>0</v>
      </c>
      <c r="AC378" s="34">
        <v>0</v>
      </c>
      <c r="AD378" s="36">
        <v>0</v>
      </c>
      <c r="AE378" s="36">
        <f t="shared" si="263"/>
        <v>0</v>
      </c>
      <c r="AF378" s="36">
        <f t="shared" si="263"/>
        <v>0</v>
      </c>
      <c r="AG378" s="36">
        <f t="shared" si="263"/>
        <v>0</v>
      </c>
      <c r="AH378" s="36">
        <f t="shared" si="263"/>
        <v>0</v>
      </c>
      <c r="AI378" s="36">
        <f t="shared" si="264"/>
        <v>0</v>
      </c>
      <c r="AJ378" s="36">
        <v>0</v>
      </c>
      <c r="AK378" s="36">
        <v>0</v>
      </c>
      <c r="AL378" s="36">
        <v>0</v>
      </c>
      <c r="AM378" s="36">
        <v>0</v>
      </c>
      <c r="AN378" s="36">
        <v>0</v>
      </c>
      <c r="AO378" s="34">
        <v>0</v>
      </c>
      <c r="AP378" s="34">
        <v>0</v>
      </c>
      <c r="AQ378" s="34">
        <v>0</v>
      </c>
      <c r="AR378" s="34">
        <v>0</v>
      </c>
      <c r="AS378" s="34">
        <v>0</v>
      </c>
      <c r="AT378" s="34">
        <v>0</v>
      </c>
      <c r="AU378" s="34">
        <v>0</v>
      </c>
      <c r="AV378" s="34">
        <v>0</v>
      </c>
      <c r="AW378" s="34">
        <v>0</v>
      </c>
      <c r="AX378" s="34">
        <v>0</v>
      </c>
      <c r="AY378" s="34">
        <f t="shared" si="274"/>
        <v>0</v>
      </c>
      <c r="AZ378" s="34">
        <v>0</v>
      </c>
      <c r="BA378" s="34">
        <v>0</v>
      </c>
      <c r="BB378" s="34">
        <v>0</v>
      </c>
      <c r="BC378" s="34">
        <v>0</v>
      </c>
    </row>
    <row r="379" spans="1:55" s="55" customFormat="1" ht="33.75" customHeight="1" x14ac:dyDescent="0.25">
      <c r="A379" s="115" t="s">
        <v>235</v>
      </c>
      <c r="B379" s="96" t="s">
        <v>869</v>
      </c>
      <c r="C379" s="108" t="s">
        <v>870</v>
      </c>
      <c r="D379" s="88">
        <v>0</v>
      </c>
      <c r="E379" s="29">
        <f t="shared" si="261"/>
        <v>3.5188799999999999E-2</v>
      </c>
      <c r="F379" s="29">
        <f t="shared" si="261"/>
        <v>3.5188799999999999E-2</v>
      </c>
      <c r="G379" s="29">
        <f t="shared" si="261"/>
        <v>0</v>
      </c>
      <c r="H379" s="29">
        <f t="shared" si="261"/>
        <v>0</v>
      </c>
      <c r="I379" s="29">
        <f t="shared" si="262"/>
        <v>0</v>
      </c>
      <c r="J379" s="29">
        <f t="shared" si="268"/>
        <v>0</v>
      </c>
      <c r="K379" s="29">
        <v>0</v>
      </c>
      <c r="L379" s="29">
        <v>0</v>
      </c>
      <c r="M379" s="29">
        <v>0</v>
      </c>
      <c r="N379" s="29">
        <v>0</v>
      </c>
      <c r="O379" s="29">
        <v>0</v>
      </c>
      <c r="P379" s="29">
        <v>0</v>
      </c>
      <c r="Q379" s="29">
        <v>0</v>
      </c>
      <c r="R379" s="29">
        <v>0</v>
      </c>
      <c r="S379" s="29">
        <v>0</v>
      </c>
      <c r="T379" s="30">
        <v>0</v>
      </c>
      <c r="U379" s="30">
        <v>0</v>
      </c>
      <c r="V379" s="30">
        <v>0</v>
      </c>
      <c r="W379" s="30">
        <v>0</v>
      </c>
      <c r="X379" s="30">
        <v>0</v>
      </c>
      <c r="Y379" s="30">
        <f t="shared" si="276"/>
        <v>3.5188799999999999E-2</v>
      </c>
      <c r="Z379" s="30">
        <v>3.5188799999999999E-2</v>
      </c>
      <c r="AA379" s="30">
        <v>0</v>
      </c>
      <c r="AB379" s="30">
        <v>0</v>
      </c>
      <c r="AC379" s="34">
        <v>0</v>
      </c>
      <c r="AD379" s="36">
        <v>0</v>
      </c>
      <c r="AE379" s="36">
        <f t="shared" si="263"/>
        <v>0</v>
      </c>
      <c r="AF379" s="36">
        <f t="shared" si="263"/>
        <v>0</v>
      </c>
      <c r="AG379" s="36">
        <f t="shared" si="263"/>
        <v>0</v>
      </c>
      <c r="AH379" s="36">
        <f t="shared" si="263"/>
        <v>0</v>
      </c>
      <c r="AI379" s="36">
        <f t="shared" si="264"/>
        <v>0</v>
      </c>
      <c r="AJ379" s="36">
        <v>0</v>
      </c>
      <c r="AK379" s="36">
        <v>0</v>
      </c>
      <c r="AL379" s="36">
        <v>0</v>
      </c>
      <c r="AM379" s="36">
        <v>0</v>
      </c>
      <c r="AN379" s="36">
        <v>0</v>
      </c>
      <c r="AO379" s="34">
        <v>0</v>
      </c>
      <c r="AP379" s="34">
        <v>0</v>
      </c>
      <c r="AQ379" s="34">
        <v>0</v>
      </c>
      <c r="AR379" s="34">
        <v>0</v>
      </c>
      <c r="AS379" s="34">
        <v>0</v>
      </c>
      <c r="AT379" s="34">
        <v>0</v>
      </c>
      <c r="AU379" s="34">
        <v>0</v>
      </c>
      <c r="AV379" s="34">
        <v>0</v>
      </c>
      <c r="AW379" s="34">
        <v>0</v>
      </c>
      <c r="AX379" s="34">
        <v>0</v>
      </c>
      <c r="AY379" s="34">
        <f t="shared" si="274"/>
        <v>0</v>
      </c>
      <c r="AZ379" s="34">
        <v>0</v>
      </c>
      <c r="BA379" s="34">
        <v>0</v>
      </c>
      <c r="BB379" s="34">
        <v>0</v>
      </c>
      <c r="BC379" s="34">
        <v>0</v>
      </c>
    </row>
    <row r="380" spans="1:55" s="55" customFormat="1" ht="32.25" customHeight="1" x14ac:dyDescent="0.25">
      <c r="A380" s="71" t="s">
        <v>305</v>
      </c>
      <c r="B380" s="78" t="s">
        <v>306</v>
      </c>
      <c r="C380" s="79" t="s">
        <v>101</v>
      </c>
      <c r="D380" s="84">
        <v>0</v>
      </c>
      <c r="E380" s="75">
        <f t="shared" si="261"/>
        <v>0</v>
      </c>
      <c r="F380" s="75">
        <f t="shared" si="261"/>
        <v>0</v>
      </c>
      <c r="G380" s="75">
        <f t="shared" si="261"/>
        <v>0</v>
      </c>
      <c r="H380" s="75">
        <f t="shared" si="261"/>
        <v>0</v>
      </c>
      <c r="I380" s="75">
        <f t="shared" si="262"/>
        <v>0</v>
      </c>
      <c r="J380" s="75">
        <f t="shared" ref="J380:J382" si="277">K380+L380+M380+N380</f>
        <v>0</v>
      </c>
      <c r="K380" s="75">
        <v>0</v>
      </c>
      <c r="L380" s="75">
        <v>0</v>
      </c>
      <c r="M380" s="75">
        <v>0</v>
      </c>
      <c r="N380" s="75">
        <v>0</v>
      </c>
      <c r="O380" s="75">
        <f>P380+Q380+R380+S380</f>
        <v>0</v>
      </c>
      <c r="P380" s="75">
        <v>0</v>
      </c>
      <c r="Q380" s="75">
        <v>0</v>
      </c>
      <c r="R380" s="75">
        <v>0</v>
      </c>
      <c r="S380" s="75">
        <v>0</v>
      </c>
      <c r="T380" s="118">
        <f t="shared" si="270"/>
        <v>0</v>
      </c>
      <c r="U380" s="118">
        <v>0</v>
      </c>
      <c r="V380" s="118">
        <v>0</v>
      </c>
      <c r="W380" s="118">
        <v>0</v>
      </c>
      <c r="X380" s="118">
        <v>0</v>
      </c>
      <c r="Y380" s="118">
        <f t="shared" si="271"/>
        <v>0</v>
      </c>
      <c r="Z380" s="118">
        <v>0</v>
      </c>
      <c r="AA380" s="118">
        <v>0</v>
      </c>
      <c r="AB380" s="118">
        <v>0</v>
      </c>
      <c r="AC380" s="53">
        <v>0</v>
      </c>
      <c r="AD380" s="35">
        <f t="shared" ref="AD380:AD411" si="278">D380/1.2</f>
        <v>0</v>
      </c>
      <c r="AE380" s="35">
        <f t="shared" si="263"/>
        <v>0</v>
      </c>
      <c r="AF380" s="35">
        <f t="shared" si="263"/>
        <v>0</v>
      </c>
      <c r="AG380" s="35">
        <f t="shared" si="263"/>
        <v>0</v>
      </c>
      <c r="AH380" s="35">
        <f t="shared" si="263"/>
        <v>0</v>
      </c>
      <c r="AI380" s="35">
        <f t="shared" si="264"/>
        <v>0</v>
      </c>
      <c r="AJ380" s="35">
        <f t="shared" si="269"/>
        <v>0</v>
      </c>
      <c r="AK380" s="35">
        <v>0</v>
      </c>
      <c r="AL380" s="35">
        <v>0</v>
      </c>
      <c r="AM380" s="35">
        <v>0</v>
      </c>
      <c r="AN380" s="35">
        <v>0</v>
      </c>
      <c r="AO380" s="53">
        <f>AP380+AQ380+AR380+AS380</f>
        <v>0</v>
      </c>
      <c r="AP380" s="53">
        <v>0</v>
      </c>
      <c r="AQ380" s="53">
        <v>0</v>
      </c>
      <c r="AR380" s="53">
        <v>0</v>
      </c>
      <c r="AS380" s="53">
        <v>0</v>
      </c>
      <c r="AT380" s="53">
        <f t="shared" si="273"/>
        <v>0</v>
      </c>
      <c r="AU380" s="53">
        <v>0</v>
      </c>
      <c r="AV380" s="53">
        <v>0</v>
      </c>
      <c r="AW380" s="53">
        <v>0</v>
      </c>
      <c r="AX380" s="53">
        <v>0</v>
      </c>
      <c r="AY380" s="53">
        <f t="shared" si="274"/>
        <v>0</v>
      </c>
      <c r="AZ380" s="53">
        <v>0</v>
      </c>
      <c r="BA380" s="53">
        <v>0</v>
      </c>
      <c r="BB380" s="53">
        <v>0</v>
      </c>
      <c r="BC380" s="53">
        <v>0</v>
      </c>
    </row>
    <row r="381" spans="1:55" s="55" customFormat="1" ht="36" customHeight="1" x14ac:dyDescent="0.25">
      <c r="A381" s="71" t="s">
        <v>57</v>
      </c>
      <c r="B381" s="78" t="s">
        <v>307</v>
      </c>
      <c r="C381" s="79" t="s">
        <v>101</v>
      </c>
      <c r="D381" s="84">
        <v>0</v>
      </c>
      <c r="E381" s="75">
        <f t="shared" si="261"/>
        <v>0</v>
      </c>
      <c r="F381" s="75">
        <f t="shared" si="261"/>
        <v>0</v>
      </c>
      <c r="G381" s="75">
        <f t="shared" si="261"/>
        <v>0</v>
      </c>
      <c r="H381" s="75">
        <f t="shared" si="261"/>
        <v>0</v>
      </c>
      <c r="I381" s="75">
        <f t="shared" si="262"/>
        <v>0</v>
      </c>
      <c r="J381" s="75">
        <f t="shared" si="277"/>
        <v>0</v>
      </c>
      <c r="K381" s="75">
        <v>0</v>
      </c>
      <c r="L381" s="75">
        <v>0</v>
      </c>
      <c r="M381" s="75">
        <v>0</v>
      </c>
      <c r="N381" s="75">
        <v>0</v>
      </c>
      <c r="O381" s="75">
        <f t="shared" ref="O381:O389" si="279">P381+Q381+R381+S381</f>
        <v>0</v>
      </c>
      <c r="P381" s="75">
        <v>0</v>
      </c>
      <c r="Q381" s="75">
        <v>0</v>
      </c>
      <c r="R381" s="75">
        <v>0</v>
      </c>
      <c r="S381" s="75">
        <v>0</v>
      </c>
      <c r="T381" s="118">
        <f t="shared" si="270"/>
        <v>0</v>
      </c>
      <c r="U381" s="118">
        <v>0</v>
      </c>
      <c r="V381" s="118">
        <v>0</v>
      </c>
      <c r="W381" s="118">
        <v>0</v>
      </c>
      <c r="X381" s="118">
        <v>0</v>
      </c>
      <c r="Y381" s="118">
        <f t="shared" si="271"/>
        <v>0</v>
      </c>
      <c r="Z381" s="118">
        <v>0</v>
      </c>
      <c r="AA381" s="118">
        <v>0</v>
      </c>
      <c r="AB381" s="118">
        <v>0</v>
      </c>
      <c r="AC381" s="53">
        <v>0</v>
      </c>
      <c r="AD381" s="35">
        <f t="shared" si="278"/>
        <v>0</v>
      </c>
      <c r="AE381" s="35">
        <f t="shared" si="263"/>
        <v>0</v>
      </c>
      <c r="AF381" s="35">
        <f t="shared" si="263"/>
        <v>0</v>
      </c>
      <c r="AG381" s="35">
        <f t="shared" si="263"/>
        <v>0</v>
      </c>
      <c r="AH381" s="35">
        <f t="shared" si="263"/>
        <v>0</v>
      </c>
      <c r="AI381" s="35">
        <f t="shared" si="264"/>
        <v>0</v>
      </c>
      <c r="AJ381" s="35">
        <f t="shared" si="269"/>
        <v>0</v>
      </c>
      <c r="AK381" s="35">
        <v>0</v>
      </c>
      <c r="AL381" s="35">
        <v>0</v>
      </c>
      <c r="AM381" s="35">
        <v>0</v>
      </c>
      <c r="AN381" s="35">
        <v>0</v>
      </c>
      <c r="AO381" s="53">
        <f t="shared" ref="AO381:AO389" si="280">AP381+AQ381+AR381+AS381</f>
        <v>0</v>
      </c>
      <c r="AP381" s="53">
        <v>0</v>
      </c>
      <c r="AQ381" s="53">
        <v>0</v>
      </c>
      <c r="AR381" s="53">
        <v>0</v>
      </c>
      <c r="AS381" s="53">
        <v>0</v>
      </c>
      <c r="AT381" s="53">
        <f t="shared" si="273"/>
        <v>0</v>
      </c>
      <c r="AU381" s="53">
        <v>0</v>
      </c>
      <c r="AV381" s="53">
        <v>0</v>
      </c>
      <c r="AW381" s="53">
        <v>0</v>
      </c>
      <c r="AX381" s="53">
        <v>0</v>
      </c>
      <c r="AY381" s="53">
        <f t="shared" si="274"/>
        <v>0</v>
      </c>
      <c r="AZ381" s="53">
        <v>0</v>
      </c>
      <c r="BA381" s="53">
        <v>0</v>
      </c>
      <c r="BB381" s="53">
        <v>0</v>
      </c>
      <c r="BC381" s="53">
        <v>0</v>
      </c>
    </row>
    <row r="382" spans="1:55" s="55" customFormat="1" ht="36" customHeight="1" x14ac:dyDescent="0.25">
      <c r="A382" s="71" t="s">
        <v>58</v>
      </c>
      <c r="B382" s="78" t="s">
        <v>308</v>
      </c>
      <c r="C382" s="79" t="s">
        <v>101</v>
      </c>
      <c r="D382" s="84">
        <v>0</v>
      </c>
      <c r="E382" s="75">
        <f t="shared" si="261"/>
        <v>0</v>
      </c>
      <c r="F382" s="75">
        <f t="shared" si="261"/>
        <v>0</v>
      </c>
      <c r="G382" s="75">
        <f t="shared" si="261"/>
        <v>0</v>
      </c>
      <c r="H382" s="75">
        <f t="shared" si="261"/>
        <v>0</v>
      </c>
      <c r="I382" s="75">
        <f t="shared" si="262"/>
        <v>0</v>
      </c>
      <c r="J382" s="75">
        <f t="shared" si="277"/>
        <v>0</v>
      </c>
      <c r="K382" s="75">
        <v>0</v>
      </c>
      <c r="L382" s="75">
        <v>0</v>
      </c>
      <c r="M382" s="75">
        <v>0</v>
      </c>
      <c r="N382" s="75">
        <v>0</v>
      </c>
      <c r="O382" s="75">
        <f t="shared" si="279"/>
        <v>0</v>
      </c>
      <c r="P382" s="75">
        <v>0</v>
      </c>
      <c r="Q382" s="75">
        <v>0</v>
      </c>
      <c r="R382" s="75">
        <v>0</v>
      </c>
      <c r="S382" s="75">
        <v>0</v>
      </c>
      <c r="T382" s="118">
        <f t="shared" si="270"/>
        <v>0</v>
      </c>
      <c r="U382" s="118">
        <v>0</v>
      </c>
      <c r="V382" s="118">
        <v>0</v>
      </c>
      <c r="W382" s="118">
        <v>0</v>
      </c>
      <c r="X382" s="118">
        <v>0</v>
      </c>
      <c r="Y382" s="118">
        <f t="shared" si="271"/>
        <v>0</v>
      </c>
      <c r="Z382" s="118">
        <v>0</v>
      </c>
      <c r="AA382" s="118">
        <v>0</v>
      </c>
      <c r="AB382" s="118">
        <v>0</v>
      </c>
      <c r="AC382" s="53">
        <v>0</v>
      </c>
      <c r="AD382" s="35">
        <f t="shared" si="278"/>
        <v>0</v>
      </c>
      <c r="AE382" s="35">
        <f t="shared" si="263"/>
        <v>0</v>
      </c>
      <c r="AF382" s="35">
        <f t="shared" si="263"/>
        <v>0</v>
      </c>
      <c r="AG382" s="35">
        <f t="shared" si="263"/>
        <v>0</v>
      </c>
      <c r="AH382" s="35">
        <f t="shared" si="263"/>
        <v>0</v>
      </c>
      <c r="AI382" s="35">
        <f t="shared" si="264"/>
        <v>0</v>
      </c>
      <c r="AJ382" s="35">
        <f t="shared" si="269"/>
        <v>0</v>
      </c>
      <c r="AK382" s="35">
        <v>0</v>
      </c>
      <c r="AL382" s="35">
        <v>0</v>
      </c>
      <c r="AM382" s="35">
        <v>0</v>
      </c>
      <c r="AN382" s="35">
        <v>0</v>
      </c>
      <c r="AO382" s="53">
        <f t="shared" si="280"/>
        <v>0</v>
      </c>
      <c r="AP382" s="53">
        <v>0</v>
      </c>
      <c r="AQ382" s="53">
        <v>0</v>
      </c>
      <c r="AR382" s="53">
        <v>0</v>
      </c>
      <c r="AS382" s="53">
        <v>0</v>
      </c>
      <c r="AT382" s="53">
        <f t="shared" si="273"/>
        <v>0</v>
      </c>
      <c r="AU382" s="53">
        <v>0</v>
      </c>
      <c r="AV382" s="53">
        <v>0</v>
      </c>
      <c r="AW382" s="53">
        <v>0</v>
      </c>
      <c r="AX382" s="53">
        <v>0</v>
      </c>
      <c r="AY382" s="53">
        <f t="shared" si="274"/>
        <v>0</v>
      </c>
      <c r="AZ382" s="53">
        <v>0</v>
      </c>
      <c r="BA382" s="53">
        <v>0</v>
      </c>
      <c r="BB382" s="53">
        <v>0</v>
      </c>
      <c r="BC382" s="53">
        <v>0</v>
      </c>
    </row>
    <row r="383" spans="1:55" s="55" customFormat="1" ht="36" customHeight="1" x14ac:dyDescent="0.25">
      <c r="A383" s="71" t="s">
        <v>59</v>
      </c>
      <c r="B383" s="78" t="s">
        <v>309</v>
      </c>
      <c r="C383" s="79" t="s">
        <v>101</v>
      </c>
      <c r="D383" s="84">
        <v>0</v>
      </c>
      <c r="E383" s="75">
        <f t="shared" si="261"/>
        <v>0</v>
      </c>
      <c r="F383" s="75">
        <f t="shared" si="261"/>
        <v>0</v>
      </c>
      <c r="G383" s="75">
        <f t="shared" si="261"/>
        <v>0</v>
      </c>
      <c r="H383" s="75">
        <f t="shared" si="261"/>
        <v>0</v>
      </c>
      <c r="I383" s="75">
        <f t="shared" si="262"/>
        <v>0</v>
      </c>
      <c r="J383" s="75">
        <f t="shared" ref="J383:J449" si="281">K383+L383+M383+N383</f>
        <v>0</v>
      </c>
      <c r="K383" s="75">
        <v>0</v>
      </c>
      <c r="L383" s="75">
        <v>0</v>
      </c>
      <c r="M383" s="75">
        <v>0</v>
      </c>
      <c r="N383" s="75">
        <v>0</v>
      </c>
      <c r="O383" s="75">
        <f t="shared" si="279"/>
        <v>0</v>
      </c>
      <c r="P383" s="75">
        <v>0</v>
      </c>
      <c r="Q383" s="75">
        <v>0</v>
      </c>
      <c r="R383" s="75">
        <v>0</v>
      </c>
      <c r="S383" s="75">
        <v>0</v>
      </c>
      <c r="T383" s="118">
        <f t="shared" si="270"/>
        <v>0</v>
      </c>
      <c r="U383" s="118">
        <v>0</v>
      </c>
      <c r="V383" s="118">
        <v>0</v>
      </c>
      <c r="W383" s="118">
        <v>0</v>
      </c>
      <c r="X383" s="118">
        <v>0</v>
      </c>
      <c r="Y383" s="118">
        <f t="shared" si="271"/>
        <v>0</v>
      </c>
      <c r="Z383" s="118">
        <v>0</v>
      </c>
      <c r="AA383" s="118">
        <v>0</v>
      </c>
      <c r="AB383" s="118">
        <v>0</v>
      </c>
      <c r="AC383" s="53">
        <v>0</v>
      </c>
      <c r="AD383" s="35">
        <f t="shared" si="278"/>
        <v>0</v>
      </c>
      <c r="AE383" s="35">
        <f t="shared" si="263"/>
        <v>0</v>
      </c>
      <c r="AF383" s="35">
        <f t="shared" si="263"/>
        <v>0</v>
      </c>
      <c r="AG383" s="35">
        <f t="shared" si="263"/>
        <v>0</v>
      </c>
      <c r="AH383" s="35">
        <f t="shared" si="263"/>
        <v>0</v>
      </c>
      <c r="AI383" s="35">
        <f t="shared" si="264"/>
        <v>0</v>
      </c>
      <c r="AJ383" s="35">
        <f t="shared" ref="AJ383:AJ449" si="282">AK383+AL383+AM383+AN383</f>
        <v>0</v>
      </c>
      <c r="AK383" s="35">
        <v>0</v>
      </c>
      <c r="AL383" s="35">
        <v>0</v>
      </c>
      <c r="AM383" s="35">
        <v>0</v>
      </c>
      <c r="AN383" s="35">
        <v>0</v>
      </c>
      <c r="AO383" s="53">
        <f t="shared" si="280"/>
        <v>0</v>
      </c>
      <c r="AP383" s="53">
        <v>0</v>
      </c>
      <c r="AQ383" s="53">
        <v>0</v>
      </c>
      <c r="AR383" s="53">
        <v>0</v>
      </c>
      <c r="AS383" s="53">
        <v>0</v>
      </c>
      <c r="AT383" s="53">
        <f t="shared" si="273"/>
        <v>0</v>
      </c>
      <c r="AU383" s="53">
        <v>0</v>
      </c>
      <c r="AV383" s="53">
        <v>0</v>
      </c>
      <c r="AW383" s="53">
        <v>0</v>
      </c>
      <c r="AX383" s="53">
        <v>0</v>
      </c>
      <c r="AY383" s="53">
        <f t="shared" si="274"/>
        <v>0</v>
      </c>
      <c r="AZ383" s="53">
        <v>0</v>
      </c>
      <c r="BA383" s="53">
        <v>0</v>
      </c>
      <c r="BB383" s="53">
        <v>0</v>
      </c>
      <c r="BC383" s="53">
        <v>0</v>
      </c>
    </row>
    <row r="384" spans="1:55" s="55" customFormat="1" ht="36" customHeight="1" x14ac:dyDescent="0.25">
      <c r="A384" s="71" t="s">
        <v>60</v>
      </c>
      <c r="B384" s="78" t="s">
        <v>310</v>
      </c>
      <c r="C384" s="79" t="s">
        <v>101</v>
      </c>
      <c r="D384" s="84">
        <v>0</v>
      </c>
      <c r="E384" s="75">
        <f t="shared" si="261"/>
        <v>0</v>
      </c>
      <c r="F384" s="75">
        <f t="shared" si="261"/>
        <v>0</v>
      </c>
      <c r="G384" s="75">
        <f t="shared" si="261"/>
        <v>0</v>
      </c>
      <c r="H384" s="75">
        <f t="shared" ref="H384:I447" si="283">M384+R384+W384+AB384</f>
        <v>0</v>
      </c>
      <c r="I384" s="75">
        <f t="shared" si="262"/>
        <v>0</v>
      </c>
      <c r="J384" s="75">
        <f t="shared" si="281"/>
        <v>0</v>
      </c>
      <c r="K384" s="75">
        <v>0</v>
      </c>
      <c r="L384" s="75">
        <v>0</v>
      </c>
      <c r="M384" s="75">
        <v>0</v>
      </c>
      <c r="N384" s="75">
        <v>0</v>
      </c>
      <c r="O384" s="75">
        <f t="shared" si="279"/>
        <v>0</v>
      </c>
      <c r="P384" s="75">
        <v>0</v>
      </c>
      <c r="Q384" s="75">
        <v>0</v>
      </c>
      <c r="R384" s="75">
        <v>0</v>
      </c>
      <c r="S384" s="75">
        <v>0</v>
      </c>
      <c r="T384" s="118">
        <f t="shared" si="270"/>
        <v>0</v>
      </c>
      <c r="U384" s="118">
        <v>0</v>
      </c>
      <c r="V384" s="118">
        <v>0</v>
      </c>
      <c r="W384" s="118">
        <v>0</v>
      </c>
      <c r="X384" s="118">
        <v>0</v>
      </c>
      <c r="Y384" s="118">
        <f t="shared" si="271"/>
        <v>0</v>
      </c>
      <c r="Z384" s="118">
        <v>0</v>
      </c>
      <c r="AA384" s="118">
        <v>0</v>
      </c>
      <c r="AB384" s="118">
        <v>0</v>
      </c>
      <c r="AC384" s="53">
        <v>0</v>
      </c>
      <c r="AD384" s="35">
        <f t="shared" si="278"/>
        <v>0</v>
      </c>
      <c r="AE384" s="35">
        <f t="shared" si="263"/>
        <v>0</v>
      </c>
      <c r="AF384" s="35">
        <f t="shared" si="263"/>
        <v>0</v>
      </c>
      <c r="AG384" s="35">
        <f t="shared" si="263"/>
        <v>0</v>
      </c>
      <c r="AH384" s="35">
        <f t="shared" ref="AH384:AI447" si="284">AM384+AR384+AW384+BB384</f>
        <v>0</v>
      </c>
      <c r="AI384" s="35">
        <f t="shared" si="264"/>
        <v>0</v>
      </c>
      <c r="AJ384" s="35">
        <f t="shared" si="282"/>
        <v>0</v>
      </c>
      <c r="AK384" s="35">
        <v>0</v>
      </c>
      <c r="AL384" s="35">
        <v>0</v>
      </c>
      <c r="AM384" s="35">
        <v>0</v>
      </c>
      <c r="AN384" s="35">
        <v>0</v>
      </c>
      <c r="AO384" s="53">
        <f t="shared" si="280"/>
        <v>0</v>
      </c>
      <c r="AP384" s="53">
        <v>0</v>
      </c>
      <c r="AQ384" s="53">
        <v>0</v>
      </c>
      <c r="AR384" s="53">
        <v>0</v>
      </c>
      <c r="AS384" s="53">
        <v>0</v>
      </c>
      <c r="AT384" s="53">
        <f t="shared" si="273"/>
        <v>0</v>
      </c>
      <c r="AU384" s="53">
        <v>0</v>
      </c>
      <c r="AV384" s="53">
        <v>0</v>
      </c>
      <c r="AW384" s="53">
        <v>0</v>
      </c>
      <c r="AX384" s="53">
        <v>0</v>
      </c>
      <c r="AY384" s="53">
        <f t="shared" si="274"/>
        <v>0</v>
      </c>
      <c r="AZ384" s="53">
        <v>0</v>
      </c>
      <c r="BA384" s="53">
        <v>0</v>
      </c>
      <c r="BB384" s="53">
        <v>0</v>
      </c>
      <c r="BC384" s="53">
        <v>0</v>
      </c>
    </row>
    <row r="385" spans="1:55" s="55" customFormat="1" ht="36" customHeight="1" x14ac:dyDescent="0.25">
      <c r="A385" s="71" t="s">
        <v>61</v>
      </c>
      <c r="B385" s="78" t="s">
        <v>311</v>
      </c>
      <c r="C385" s="79" t="s">
        <v>101</v>
      </c>
      <c r="D385" s="84">
        <v>0</v>
      </c>
      <c r="E385" s="75">
        <f t="shared" ref="E385:I448" si="285">J385+O385+T385+Y385</f>
        <v>0</v>
      </c>
      <c r="F385" s="75">
        <f t="shared" si="285"/>
        <v>0</v>
      </c>
      <c r="G385" s="75">
        <f t="shared" si="285"/>
        <v>0</v>
      </c>
      <c r="H385" s="75">
        <f t="shared" si="283"/>
        <v>0</v>
      </c>
      <c r="I385" s="75">
        <f t="shared" si="283"/>
        <v>0</v>
      </c>
      <c r="J385" s="75">
        <f t="shared" si="281"/>
        <v>0</v>
      </c>
      <c r="K385" s="75">
        <v>0</v>
      </c>
      <c r="L385" s="75">
        <v>0</v>
      </c>
      <c r="M385" s="75">
        <v>0</v>
      </c>
      <c r="N385" s="75">
        <v>0</v>
      </c>
      <c r="O385" s="75">
        <f t="shared" si="279"/>
        <v>0</v>
      </c>
      <c r="P385" s="75">
        <v>0</v>
      </c>
      <c r="Q385" s="75">
        <v>0</v>
      </c>
      <c r="R385" s="75">
        <v>0</v>
      </c>
      <c r="S385" s="75">
        <v>0</v>
      </c>
      <c r="T385" s="118">
        <f t="shared" si="270"/>
        <v>0</v>
      </c>
      <c r="U385" s="118">
        <v>0</v>
      </c>
      <c r="V385" s="118">
        <v>0</v>
      </c>
      <c r="W385" s="118">
        <v>0</v>
      </c>
      <c r="X385" s="118">
        <v>0</v>
      </c>
      <c r="Y385" s="118">
        <f t="shared" si="271"/>
        <v>0</v>
      </c>
      <c r="Z385" s="118">
        <v>0</v>
      </c>
      <c r="AA385" s="118">
        <v>0</v>
      </c>
      <c r="AB385" s="118">
        <v>0</v>
      </c>
      <c r="AC385" s="53">
        <v>0</v>
      </c>
      <c r="AD385" s="35">
        <f t="shared" si="278"/>
        <v>0</v>
      </c>
      <c r="AE385" s="35">
        <f t="shared" ref="AE385:AI448" si="286">AJ385+AO385+AT385+AY385</f>
        <v>0</v>
      </c>
      <c r="AF385" s="35">
        <f t="shared" si="286"/>
        <v>0</v>
      </c>
      <c r="AG385" s="35">
        <f t="shared" si="286"/>
        <v>0</v>
      </c>
      <c r="AH385" s="35">
        <f t="shared" si="284"/>
        <v>0</v>
      </c>
      <c r="AI385" s="35">
        <f t="shared" si="284"/>
        <v>0</v>
      </c>
      <c r="AJ385" s="35">
        <f t="shared" si="282"/>
        <v>0</v>
      </c>
      <c r="AK385" s="35">
        <v>0</v>
      </c>
      <c r="AL385" s="35">
        <v>0</v>
      </c>
      <c r="AM385" s="35">
        <v>0</v>
      </c>
      <c r="AN385" s="35">
        <v>0</v>
      </c>
      <c r="AO385" s="53">
        <f t="shared" si="280"/>
        <v>0</v>
      </c>
      <c r="AP385" s="53">
        <v>0</v>
      </c>
      <c r="AQ385" s="53">
        <v>0</v>
      </c>
      <c r="AR385" s="53">
        <v>0</v>
      </c>
      <c r="AS385" s="53">
        <v>0</v>
      </c>
      <c r="AT385" s="53">
        <f t="shared" si="273"/>
        <v>0</v>
      </c>
      <c r="AU385" s="53">
        <v>0</v>
      </c>
      <c r="AV385" s="53">
        <v>0</v>
      </c>
      <c r="AW385" s="53">
        <v>0</v>
      </c>
      <c r="AX385" s="53">
        <v>0</v>
      </c>
      <c r="AY385" s="53">
        <f t="shared" si="274"/>
        <v>0</v>
      </c>
      <c r="AZ385" s="53">
        <v>0</v>
      </c>
      <c r="BA385" s="53">
        <v>0</v>
      </c>
      <c r="BB385" s="53">
        <v>0</v>
      </c>
      <c r="BC385" s="53">
        <v>0</v>
      </c>
    </row>
    <row r="386" spans="1:55" s="55" customFormat="1" ht="36" customHeight="1" x14ac:dyDescent="0.25">
      <c r="A386" s="71" t="s">
        <v>62</v>
      </c>
      <c r="B386" s="78" t="s">
        <v>312</v>
      </c>
      <c r="C386" s="79" t="s">
        <v>101</v>
      </c>
      <c r="D386" s="84">
        <v>0</v>
      </c>
      <c r="E386" s="75">
        <f t="shared" si="285"/>
        <v>0</v>
      </c>
      <c r="F386" s="75">
        <f t="shared" si="285"/>
        <v>0</v>
      </c>
      <c r="G386" s="75">
        <f t="shared" si="285"/>
        <v>0</v>
      </c>
      <c r="H386" s="75">
        <f t="shared" si="283"/>
        <v>0</v>
      </c>
      <c r="I386" s="75">
        <f t="shared" si="283"/>
        <v>0</v>
      </c>
      <c r="J386" s="75">
        <f t="shared" si="281"/>
        <v>0</v>
      </c>
      <c r="K386" s="75">
        <v>0</v>
      </c>
      <c r="L386" s="75">
        <v>0</v>
      </c>
      <c r="M386" s="75">
        <v>0</v>
      </c>
      <c r="N386" s="75">
        <v>0</v>
      </c>
      <c r="O386" s="75">
        <f t="shared" si="279"/>
        <v>0</v>
      </c>
      <c r="P386" s="75">
        <v>0</v>
      </c>
      <c r="Q386" s="75">
        <v>0</v>
      </c>
      <c r="R386" s="75">
        <v>0</v>
      </c>
      <c r="S386" s="75">
        <v>0</v>
      </c>
      <c r="T386" s="118">
        <f t="shared" si="270"/>
        <v>0</v>
      </c>
      <c r="U386" s="118">
        <v>0</v>
      </c>
      <c r="V386" s="118">
        <v>0</v>
      </c>
      <c r="W386" s="118">
        <v>0</v>
      </c>
      <c r="X386" s="118">
        <v>0</v>
      </c>
      <c r="Y386" s="118">
        <f t="shared" si="271"/>
        <v>0</v>
      </c>
      <c r="Z386" s="118">
        <v>0</v>
      </c>
      <c r="AA386" s="118">
        <v>0</v>
      </c>
      <c r="AB386" s="118">
        <v>0</v>
      </c>
      <c r="AC386" s="53">
        <v>0</v>
      </c>
      <c r="AD386" s="35">
        <f t="shared" si="278"/>
        <v>0</v>
      </c>
      <c r="AE386" s="35">
        <f t="shared" si="286"/>
        <v>0</v>
      </c>
      <c r="AF386" s="35">
        <f t="shared" si="286"/>
        <v>0</v>
      </c>
      <c r="AG386" s="35">
        <f t="shared" si="286"/>
        <v>0</v>
      </c>
      <c r="AH386" s="35">
        <f t="shared" si="284"/>
        <v>0</v>
      </c>
      <c r="AI386" s="35">
        <f t="shared" si="284"/>
        <v>0</v>
      </c>
      <c r="AJ386" s="35">
        <f t="shared" si="282"/>
        <v>0</v>
      </c>
      <c r="AK386" s="35">
        <v>0</v>
      </c>
      <c r="AL386" s="35">
        <v>0</v>
      </c>
      <c r="AM386" s="35">
        <v>0</v>
      </c>
      <c r="AN386" s="35">
        <v>0</v>
      </c>
      <c r="AO386" s="53">
        <f t="shared" si="280"/>
        <v>0</v>
      </c>
      <c r="AP386" s="53">
        <v>0</v>
      </c>
      <c r="AQ386" s="53">
        <v>0</v>
      </c>
      <c r="AR386" s="53">
        <v>0</v>
      </c>
      <c r="AS386" s="53">
        <v>0</v>
      </c>
      <c r="AT386" s="53">
        <f t="shared" si="273"/>
        <v>0</v>
      </c>
      <c r="AU386" s="53">
        <v>0</v>
      </c>
      <c r="AV386" s="53">
        <v>0</v>
      </c>
      <c r="AW386" s="53">
        <v>0</v>
      </c>
      <c r="AX386" s="53">
        <v>0</v>
      </c>
      <c r="AY386" s="53">
        <f t="shared" si="274"/>
        <v>0</v>
      </c>
      <c r="AZ386" s="53">
        <v>0</v>
      </c>
      <c r="BA386" s="53">
        <v>0</v>
      </c>
      <c r="BB386" s="53">
        <v>0</v>
      </c>
      <c r="BC386" s="53">
        <v>0</v>
      </c>
    </row>
    <row r="387" spans="1:55" s="55" customFormat="1" ht="40.5" customHeight="1" x14ac:dyDescent="0.25">
      <c r="A387" s="71" t="s">
        <v>63</v>
      </c>
      <c r="B387" s="78" t="s">
        <v>313</v>
      </c>
      <c r="C387" s="79" t="s">
        <v>101</v>
      </c>
      <c r="D387" s="84">
        <v>0</v>
      </c>
      <c r="E387" s="75">
        <f t="shared" si="285"/>
        <v>0</v>
      </c>
      <c r="F387" s="75">
        <f t="shared" si="285"/>
        <v>0</v>
      </c>
      <c r="G387" s="75">
        <f t="shared" si="285"/>
        <v>0</v>
      </c>
      <c r="H387" s="75">
        <f t="shared" si="283"/>
        <v>0</v>
      </c>
      <c r="I387" s="75">
        <f t="shared" si="283"/>
        <v>0</v>
      </c>
      <c r="J387" s="75">
        <f t="shared" si="281"/>
        <v>0</v>
      </c>
      <c r="K387" s="75">
        <v>0</v>
      </c>
      <c r="L387" s="75">
        <v>0</v>
      </c>
      <c r="M387" s="75">
        <v>0</v>
      </c>
      <c r="N387" s="75">
        <v>0</v>
      </c>
      <c r="O387" s="75">
        <f t="shared" si="279"/>
        <v>0</v>
      </c>
      <c r="P387" s="75">
        <v>0</v>
      </c>
      <c r="Q387" s="75">
        <v>0</v>
      </c>
      <c r="R387" s="75">
        <v>0</v>
      </c>
      <c r="S387" s="75">
        <v>0</v>
      </c>
      <c r="T387" s="118">
        <f t="shared" si="270"/>
        <v>0</v>
      </c>
      <c r="U387" s="118">
        <v>0</v>
      </c>
      <c r="V387" s="118">
        <v>0</v>
      </c>
      <c r="W387" s="118">
        <v>0</v>
      </c>
      <c r="X387" s="118">
        <v>0</v>
      </c>
      <c r="Y387" s="118">
        <f t="shared" si="271"/>
        <v>0</v>
      </c>
      <c r="Z387" s="118">
        <v>0</v>
      </c>
      <c r="AA387" s="118">
        <v>0</v>
      </c>
      <c r="AB387" s="118">
        <v>0</v>
      </c>
      <c r="AC387" s="53">
        <v>0</v>
      </c>
      <c r="AD387" s="35">
        <f t="shared" si="278"/>
        <v>0</v>
      </c>
      <c r="AE387" s="35">
        <f t="shared" si="286"/>
        <v>0</v>
      </c>
      <c r="AF387" s="35">
        <f t="shared" si="286"/>
        <v>0</v>
      </c>
      <c r="AG387" s="35">
        <f t="shared" si="286"/>
        <v>0</v>
      </c>
      <c r="AH387" s="35">
        <f t="shared" si="284"/>
        <v>0</v>
      </c>
      <c r="AI387" s="35">
        <f t="shared" si="284"/>
        <v>0</v>
      </c>
      <c r="AJ387" s="35">
        <f t="shared" si="282"/>
        <v>0</v>
      </c>
      <c r="AK387" s="35">
        <v>0</v>
      </c>
      <c r="AL387" s="35">
        <v>0</v>
      </c>
      <c r="AM387" s="35">
        <v>0</v>
      </c>
      <c r="AN387" s="35">
        <v>0</v>
      </c>
      <c r="AO387" s="53">
        <f t="shared" si="280"/>
        <v>0</v>
      </c>
      <c r="AP387" s="53">
        <v>0</v>
      </c>
      <c r="AQ387" s="53">
        <v>0</v>
      </c>
      <c r="AR387" s="53">
        <v>0</v>
      </c>
      <c r="AS387" s="53">
        <v>0</v>
      </c>
      <c r="AT387" s="53">
        <f t="shared" si="273"/>
        <v>0</v>
      </c>
      <c r="AU387" s="53">
        <v>0</v>
      </c>
      <c r="AV387" s="53">
        <v>0</v>
      </c>
      <c r="AW387" s="53">
        <v>0</v>
      </c>
      <c r="AX387" s="53">
        <v>0</v>
      </c>
      <c r="AY387" s="53">
        <f t="shared" si="274"/>
        <v>0</v>
      </c>
      <c r="AZ387" s="53">
        <v>0</v>
      </c>
      <c r="BA387" s="53">
        <v>0</v>
      </c>
      <c r="BB387" s="53">
        <v>0</v>
      </c>
      <c r="BC387" s="53">
        <v>0</v>
      </c>
    </row>
    <row r="388" spans="1:55" s="55" customFormat="1" ht="45" customHeight="1" x14ac:dyDescent="0.25">
      <c r="A388" s="71" t="s">
        <v>64</v>
      </c>
      <c r="B388" s="78" t="s">
        <v>314</v>
      </c>
      <c r="C388" s="79" t="s">
        <v>101</v>
      </c>
      <c r="D388" s="84">
        <v>0</v>
      </c>
      <c r="E388" s="75">
        <f t="shared" si="285"/>
        <v>0</v>
      </c>
      <c r="F388" s="75">
        <f t="shared" si="285"/>
        <v>0</v>
      </c>
      <c r="G388" s="75">
        <f t="shared" si="285"/>
        <v>0</v>
      </c>
      <c r="H388" s="75">
        <f t="shared" si="283"/>
        <v>0</v>
      </c>
      <c r="I388" s="75">
        <f t="shared" si="283"/>
        <v>0</v>
      </c>
      <c r="J388" s="75">
        <f t="shared" si="281"/>
        <v>0</v>
      </c>
      <c r="K388" s="75">
        <v>0</v>
      </c>
      <c r="L388" s="75">
        <v>0</v>
      </c>
      <c r="M388" s="75">
        <v>0</v>
      </c>
      <c r="N388" s="75">
        <v>0</v>
      </c>
      <c r="O388" s="75">
        <f t="shared" si="279"/>
        <v>0</v>
      </c>
      <c r="P388" s="75">
        <v>0</v>
      </c>
      <c r="Q388" s="75">
        <v>0</v>
      </c>
      <c r="R388" s="75">
        <v>0</v>
      </c>
      <c r="S388" s="75">
        <v>0</v>
      </c>
      <c r="T388" s="118">
        <f t="shared" si="270"/>
        <v>0</v>
      </c>
      <c r="U388" s="118">
        <v>0</v>
      </c>
      <c r="V388" s="118">
        <v>0</v>
      </c>
      <c r="W388" s="118">
        <v>0</v>
      </c>
      <c r="X388" s="118">
        <v>0</v>
      </c>
      <c r="Y388" s="118">
        <f t="shared" si="271"/>
        <v>0</v>
      </c>
      <c r="Z388" s="118">
        <v>0</v>
      </c>
      <c r="AA388" s="118">
        <v>0</v>
      </c>
      <c r="AB388" s="118">
        <v>0</v>
      </c>
      <c r="AC388" s="53">
        <v>0</v>
      </c>
      <c r="AD388" s="35">
        <f t="shared" si="278"/>
        <v>0</v>
      </c>
      <c r="AE388" s="35">
        <f t="shared" si="286"/>
        <v>0</v>
      </c>
      <c r="AF388" s="35">
        <f t="shared" si="286"/>
        <v>0</v>
      </c>
      <c r="AG388" s="35">
        <f t="shared" si="286"/>
        <v>0</v>
      </c>
      <c r="AH388" s="35">
        <f t="shared" si="284"/>
        <v>0</v>
      </c>
      <c r="AI388" s="35">
        <f t="shared" si="284"/>
        <v>0</v>
      </c>
      <c r="AJ388" s="35">
        <f t="shared" si="282"/>
        <v>0</v>
      </c>
      <c r="AK388" s="35">
        <v>0</v>
      </c>
      <c r="AL388" s="35">
        <v>0</v>
      </c>
      <c r="AM388" s="35">
        <v>0</v>
      </c>
      <c r="AN388" s="35">
        <v>0</v>
      </c>
      <c r="AO388" s="53">
        <f t="shared" si="280"/>
        <v>0</v>
      </c>
      <c r="AP388" s="53">
        <v>0</v>
      </c>
      <c r="AQ388" s="53">
        <v>0</v>
      </c>
      <c r="AR388" s="53">
        <v>0</v>
      </c>
      <c r="AS388" s="53">
        <v>0</v>
      </c>
      <c r="AT388" s="53">
        <f t="shared" si="273"/>
        <v>0</v>
      </c>
      <c r="AU388" s="53">
        <v>0</v>
      </c>
      <c r="AV388" s="53">
        <v>0</v>
      </c>
      <c r="AW388" s="53">
        <v>0</v>
      </c>
      <c r="AX388" s="53">
        <v>0</v>
      </c>
      <c r="AY388" s="53">
        <f t="shared" si="274"/>
        <v>0</v>
      </c>
      <c r="AZ388" s="53">
        <v>0</v>
      </c>
      <c r="BA388" s="53">
        <v>0</v>
      </c>
      <c r="BB388" s="53">
        <v>0</v>
      </c>
      <c r="BC388" s="53">
        <v>0</v>
      </c>
    </row>
    <row r="389" spans="1:55" s="55" customFormat="1" ht="47.25" customHeight="1" x14ac:dyDescent="0.25">
      <c r="A389" s="71" t="s">
        <v>315</v>
      </c>
      <c r="B389" s="78" t="s">
        <v>316</v>
      </c>
      <c r="C389" s="79" t="s">
        <v>101</v>
      </c>
      <c r="D389" s="84">
        <v>0</v>
      </c>
      <c r="E389" s="75">
        <f t="shared" si="285"/>
        <v>0</v>
      </c>
      <c r="F389" s="75">
        <f t="shared" si="285"/>
        <v>0</v>
      </c>
      <c r="G389" s="75">
        <f t="shared" si="285"/>
        <v>0</v>
      </c>
      <c r="H389" s="75">
        <f t="shared" si="283"/>
        <v>0</v>
      </c>
      <c r="I389" s="75">
        <f t="shared" si="283"/>
        <v>0</v>
      </c>
      <c r="J389" s="75">
        <f t="shared" si="281"/>
        <v>0</v>
      </c>
      <c r="K389" s="75">
        <v>0</v>
      </c>
      <c r="L389" s="75">
        <v>0</v>
      </c>
      <c r="M389" s="75">
        <v>0</v>
      </c>
      <c r="N389" s="75">
        <v>0</v>
      </c>
      <c r="O389" s="75">
        <f t="shared" si="279"/>
        <v>0</v>
      </c>
      <c r="P389" s="75">
        <v>0</v>
      </c>
      <c r="Q389" s="75">
        <v>0</v>
      </c>
      <c r="R389" s="75">
        <v>0</v>
      </c>
      <c r="S389" s="75">
        <v>0</v>
      </c>
      <c r="T389" s="118">
        <f t="shared" si="270"/>
        <v>0</v>
      </c>
      <c r="U389" s="118">
        <v>0</v>
      </c>
      <c r="V389" s="118">
        <v>0</v>
      </c>
      <c r="W389" s="118">
        <v>0</v>
      </c>
      <c r="X389" s="118">
        <v>0</v>
      </c>
      <c r="Y389" s="118">
        <f t="shared" si="271"/>
        <v>0</v>
      </c>
      <c r="Z389" s="118">
        <v>0</v>
      </c>
      <c r="AA389" s="118">
        <v>0</v>
      </c>
      <c r="AB389" s="118">
        <v>0</v>
      </c>
      <c r="AC389" s="53">
        <v>0</v>
      </c>
      <c r="AD389" s="35">
        <f t="shared" si="278"/>
        <v>0</v>
      </c>
      <c r="AE389" s="35">
        <f t="shared" si="286"/>
        <v>0</v>
      </c>
      <c r="AF389" s="35">
        <f t="shared" si="286"/>
        <v>0</v>
      </c>
      <c r="AG389" s="35">
        <f t="shared" si="286"/>
        <v>0</v>
      </c>
      <c r="AH389" s="35">
        <f t="shared" si="284"/>
        <v>0</v>
      </c>
      <c r="AI389" s="35">
        <f t="shared" si="284"/>
        <v>0</v>
      </c>
      <c r="AJ389" s="35">
        <f t="shared" si="282"/>
        <v>0</v>
      </c>
      <c r="AK389" s="35">
        <v>0</v>
      </c>
      <c r="AL389" s="35">
        <v>0</v>
      </c>
      <c r="AM389" s="35">
        <v>0</v>
      </c>
      <c r="AN389" s="35">
        <v>0</v>
      </c>
      <c r="AO389" s="53">
        <f t="shared" si="280"/>
        <v>0</v>
      </c>
      <c r="AP389" s="53">
        <v>0</v>
      </c>
      <c r="AQ389" s="53">
        <v>0</v>
      </c>
      <c r="AR389" s="53">
        <v>0</v>
      </c>
      <c r="AS389" s="53">
        <v>0</v>
      </c>
      <c r="AT389" s="53">
        <f t="shared" si="273"/>
        <v>0</v>
      </c>
      <c r="AU389" s="53">
        <v>0</v>
      </c>
      <c r="AV389" s="53">
        <v>0</v>
      </c>
      <c r="AW389" s="53">
        <v>0</v>
      </c>
      <c r="AX389" s="53">
        <v>0</v>
      </c>
      <c r="AY389" s="53">
        <f t="shared" si="274"/>
        <v>0</v>
      </c>
      <c r="AZ389" s="53">
        <v>0</v>
      </c>
      <c r="BA389" s="53">
        <v>0</v>
      </c>
      <c r="BB389" s="53">
        <v>0</v>
      </c>
      <c r="BC389" s="53">
        <v>0</v>
      </c>
    </row>
    <row r="390" spans="1:55" s="55" customFormat="1" ht="51" customHeight="1" x14ac:dyDescent="0.25">
      <c r="A390" s="71" t="s">
        <v>317</v>
      </c>
      <c r="B390" s="78" t="s">
        <v>318</v>
      </c>
      <c r="C390" s="79" t="s">
        <v>101</v>
      </c>
      <c r="D390" s="84">
        <f>D392</f>
        <v>11.762909687999999</v>
      </c>
      <c r="E390" s="75">
        <f t="shared" si="285"/>
        <v>10.447922447999998</v>
      </c>
      <c r="F390" s="75">
        <f t="shared" si="285"/>
        <v>0.19716720000000001</v>
      </c>
      <c r="G390" s="75">
        <f t="shared" si="285"/>
        <v>0.99820871999999994</v>
      </c>
      <c r="H390" s="75">
        <f t="shared" si="283"/>
        <v>9.2525465279999981</v>
      </c>
      <c r="I390" s="75">
        <f t="shared" si="283"/>
        <v>0</v>
      </c>
      <c r="J390" s="84">
        <f t="shared" ref="J390:S390" si="287">J392</f>
        <v>0</v>
      </c>
      <c r="K390" s="84">
        <f t="shared" si="287"/>
        <v>0</v>
      </c>
      <c r="L390" s="84">
        <f t="shared" si="287"/>
        <v>0</v>
      </c>
      <c r="M390" s="84">
        <f t="shared" si="287"/>
        <v>0</v>
      </c>
      <c r="N390" s="84">
        <f t="shared" si="287"/>
        <v>0</v>
      </c>
      <c r="O390" s="84">
        <f t="shared" si="287"/>
        <v>2.0588399999999996E-2</v>
      </c>
      <c r="P390" s="84">
        <f t="shared" si="287"/>
        <v>2.0588399999999996E-2</v>
      </c>
      <c r="Q390" s="84">
        <f t="shared" si="287"/>
        <v>0</v>
      </c>
      <c r="R390" s="84">
        <f t="shared" si="287"/>
        <v>0</v>
      </c>
      <c r="S390" s="84">
        <f t="shared" si="287"/>
        <v>0</v>
      </c>
      <c r="T390" s="118">
        <f t="shared" ref="T390:X390" si="288">T392</f>
        <v>0.1750188</v>
      </c>
      <c r="U390" s="118">
        <f t="shared" si="288"/>
        <v>0.1750188</v>
      </c>
      <c r="V390" s="118">
        <f t="shared" si="288"/>
        <v>0</v>
      </c>
      <c r="W390" s="118">
        <f t="shared" si="288"/>
        <v>0</v>
      </c>
      <c r="X390" s="118">
        <f t="shared" si="288"/>
        <v>0</v>
      </c>
      <c r="Y390" s="118">
        <f t="shared" ref="Y390:AC390" si="289">Y392</f>
        <v>10.252315247999999</v>
      </c>
      <c r="Z390" s="118">
        <f t="shared" si="289"/>
        <v>1.5600000000000002E-3</v>
      </c>
      <c r="AA390" s="118">
        <f t="shared" si="289"/>
        <v>0.99820871999999994</v>
      </c>
      <c r="AB390" s="118">
        <f t="shared" si="289"/>
        <v>9.2525465279999981</v>
      </c>
      <c r="AC390" s="53">
        <f t="shared" si="289"/>
        <v>0</v>
      </c>
      <c r="AD390" s="35">
        <f t="shared" si="278"/>
        <v>9.8024247399999993</v>
      </c>
      <c r="AE390" s="35">
        <f t="shared" si="286"/>
        <v>8.6722960399999991</v>
      </c>
      <c r="AF390" s="35">
        <f t="shared" si="286"/>
        <v>0</v>
      </c>
      <c r="AG390" s="35">
        <f t="shared" si="286"/>
        <v>8.6700796499999999</v>
      </c>
      <c r="AH390" s="35">
        <f t="shared" si="284"/>
        <v>2.2163899999999999E-3</v>
      </c>
      <c r="AI390" s="35">
        <f t="shared" si="284"/>
        <v>0</v>
      </c>
      <c r="AJ390" s="35">
        <f t="shared" ref="AJ390:AN390" si="290">AJ392</f>
        <v>0</v>
      </c>
      <c r="AK390" s="35">
        <f t="shared" si="290"/>
        <v>0</v>
      </c>
      <c r="AL390" s="35">
        <f t="shared" si="290"/>
        <v>0</v>
      </c>
      <c r="AM390" s="35">
        <f t="shared" si="290"/>
        <v>0</v>
      </c>
      <c r="AN390" s="35">
        <f t="shared" si="290"/>
        <v>0</v>
      </c>
      <c r="AO390" s="53">
        <f>AO391+AO392</f>
        <v>0</v>
      </c>
      <c r="AP390" s="53">
        <f t="shared" ref="AP390:AS390" si="291">AP391+AP392</f>
        <v>0</v>
      </c>
      <c r="AQ390" s="53">
        <f t="shared" si="291"/>
        <v>0</v>
      </c>
      <c r="AR390" s="53">
        <f t="shared" si="291"/>
        <v>0</v>
      </c>
      <c r="AS390" s="53">
        <f t="shared" si="291"/>
        <v>0</v>
      </c>
      <c r="AT390" s="53">
        <f t="shared" ref="AT390:BC390" si="292">AT392</f>
        <v>0</v>
      </c>
      <c r="AU390" s="53">
        <f t="shared" si="292"/>
        <v>0</v>
      </c>
      <c r="AV390" s="53">
        <f t="shared" si="292"/>
        <v>0</v>
      </c>
      <c r="AW390" s="53">
        <v>0</v>
      </c>
      <c r="AX390" s="53">
        <f t="shared" si="292"/>
        <v>0</v>
      </c>
      <c r="AY390" s="53">
        <f t="shared" si="292"/>
        <v>8.6722960399999991</v>
      </c>
      <c r="AZ390" s="53">
        <f t="shared" si="292"/>
        <v>0</v>
      </c>
      <c r="BA390" s="53">
        <f t="shared" si="292"/>
        <v>8.6700796499999999</v>
      </c>
      <c r="BB390" s="53">
        <f t="shared" si="292"/>
        <v>2.2163899999999999E-3</v>
      </c>
      <c r="BC390" s="53">
        <f t="shared" si="292"/>
        <v>0</v>
      </c>
    </row>
    <row r="391" spans="1:55" s="55" customFormat="1" ht="51" customHeight="1" x14ac:dyDescent="0.25">
      <c r="A391" s="71" t="s">
        <v>319</v>
      </c>
      <c r="B391" s="78" t="s">
        <v>320</v>
      </c>
      <c r="C391" s="79" t="s">
        <v>101</v>
      </c>
      <c r="D391" s="84">
        <v>0</v>
      </c>
      <c r="E391" s="75">
        <f t="shared" si="285"/>
        <v>0</v>
      </c>
      <c r="F391" s="75">
        <f t="shared" si="285"/>
        <v>0</v>
      </c>
      <c r="G391" s="75">
        <f t="shared" si="285"/>
        <v>0</v>
      </c>
      <c r="H391" s="75">
        <f t="shared" si="283"/>
        <v>0</v>
      </c>
      <c r="I391" s="75">
        <f t="shared" si="283"/>
        <v>0</v>
      </c>
      <c r="J391" s="75">
        <f t="shared" si="281"/>
        <v>0</v>
      </c>
      <c r="K391" s="75">
        <v>0</v>
      </c>
      <c r="L391" s="75">
        <v>0</v>
      </c>
      <c r="M391" s="75">
        <v>0</v>
      </c>
      <c r="N391" s="75">
        <v>0</v>
      </c>
      <c r="O391" s="75">
        <f t="shared" ref="O391" si="293">P391+Q391+R391+S391</f>
        <v>0</v>
      </c>
      <c r="P391" s="75">
        <v>0</v>
      </c>
      <c r="Q391" s="75">
        <v>0</v>
      </c>
      <c r="R391" s="75">
        <v>0</v>
      </c>
      <c r="S391" s="75">
        <v>0</v>
      </c>
      <c r="T391" s="118">
        <f t="shared" ref="T391" si="294">U391+V391+W391+X391</f>
        <v>0</v>
      </c>
      <c r="U391" s="118">
        <v>0</v>
      </c>
      <c r="V391" s="118">
        <v>0</v>
      </c>
      <c r="W391" s="118">
        <v>0</v>
      </c>
      <c r="X391" s="118">
        <v>0</v>
      </c>
      <c r="Y391" s="118">
        <f t="shared" ref="Y391" si="295">Z391+AA391+AB391+AC391</f>
        <v>0</v>
      </c>
      <c r="Z391" s="118">
        <v>0</v>
      </c>
      <c r="AA391" s="118">
        <v>0</v>
      </c>
      <c r="AB391" s="118">
        <v>0</v>
      </c>
      <c r="AC391" s="53">
        <v>0</v>
      </c>
      <c r="AD391" s="35">
        <f t="shared" si="278"/>
        <v>0</v>
      </c>
      <c r="AE391" s="35">
        <f t="shared" si="286"/>
        <v>0</v>
      </c>
      <c r="AF391" s="35">
        <f t="shared" si="286"/>
        <v>0</v>
      </c>
      <c r="AG391" s="35">
        <f t="shared" si="286"/>
        <v>0</v>
      </c>
      <c r="AH391" s="35">
        <f t="shared" si="284"/>
        <v>0</v>
      </c>
      <c r="AI391" s="35">
        <f t="shared" si="284"/>
        <v>0</v>
      </c>
      <c r="AJ391" s="35">
        <f t="shared" ref="AJ391" si="296">AK391+AL391+AM391+AN391</f>
        <v>0</v>
      </c>
      <c r="AK391" s="35">
        <v>0</v>
      </c>
      <c r="AL391" s="35">
        <v>0</v>
      </c>
      <c r="AM391" s="35">
        <v>0</v>
      </c>
      <c r="AN391" s="35">
        <v>0</v>
      </c>
      <c r="AO391" s="53">
        <f t="shared" ref="AO391" si="297">AP391+AQ391+AR391+AS391</f>
        <v>0</v>
      </c>
      <c r="AP391" s="53">
        <v>0</v>
      </c>
      <c r="AQ391" s="53">
        <v>0</v>
      </c>
      <c r="AR391" s="53">
        <v>0</v>
      </c>
      <c r="AS391" s="53">
        <v>0</v>
      </c>
      <c r="AT391" s="53">
        <f t="shared" ref="AT391" si="298">AU391+AV391+AW391+AX391</f>
        <v>0</v>
      </c>
      <c r="AU391" s="53">
        <v>0</v>
      </c>
      <c r="AV391" s="53">
        <v>0</v>
      </c>
      <c r="AW391" s="53">
        <v>0</v>
      </c>
      <c r="AX391" s="53">
        <v>0</v>
      </c>
      <c r="AY391" s="53">
        <f t="shared" ref="AY391" si="299">AZ391+BA391+BB391+BC391</f>
        <v>0</v>
      </c>
      <c r="AZ391" s="53">
        <v>0</v>
      </c>
      <c r="BA391" s="53">
        <v>0</v>
      </c>
      <c r="BB391" s="53">
        <v>0</v>
      </c>
      <c r="BC391" s="53">
        <v>0</v>
      </c>
    </row>
    <row r="392" spans="1:55" s="55" customFormat="1" ht="40.5" customHeight="1" x14ac:dyDescent="0.25">
      <c r="A392" s="71" t="s">
        <v>321</v>
      </c>
      <c r="B392" s="78" t="s">
        <v>322</v>
      </c>
      <c r="C392" s="79" t="s">
        <v>101</v>
      </c>
      <c r="D392" s="84">
        <f>D393+D394+D395</f>
        <v>11.762909687999999</v>
      </c>
      <c r="E392" s="75">
        <f t="shared" si="285"/>
        <v>10.447922447999998</v>
      </c>
      <c r="F392" s="75">
        <f t="shared" si="285"/>
        <v>0.19716720000000001</v>
      </c>
      <c r="G392" s="75">
        <f t="shared" si="285"/>
        <v>0.99820871999999994</v>
      </c>
      <c r="H392" s="75">
        <f t="shared" si="283"/>
        <v>9.2525465279999981</v>
      </c>
      <c r="I392" s="75">
        <f t="shared" si="283"/>
        <v>0</v>
      </c>
      <c r="J392" s="84">
        <f t="shared" ref="J392:N392" si="300">J393+J394+J395</f>
        <v>0</v>
      </c>
      <c r="K392" s="84">
        <f t="shared" si="300"/>
        <v>0</v>
      </c>
      <c r="L392" s="84">
        <f t="shared" si="300"/>
        <v>0</v>
      </c>
      <c r="M392" s="84">
        <f t="shared" si="300"/>
        <v>0</v>
      </c>
      <c r="N392" s="84">
        <f t="shared" si="300"/>
        <v>0</v>
      </c>
      <c r="O392" s="84">
        <f t="shared" ref="O392:T392" si="301">O393+O394+O395</f>
        <v>2.0588399999999996E-2</v>
      </c>
      <c r="P392" s="84">
        <f t="shared" si="301"/>
        <v>2.0588399999999996E-2</v>
      </c>
      <c r="Q392" s="84">
        <f t="shared" si="301"/>
        <v>0</v>
      </c>
      <c r="R392" s="84">
        <f t="shared" si="301"/>
        <v>0</v>
      </c>
      <c r="S392" s="84">
        <f t="shared" si="301"/>
        <v>0</v>
      </c>
      <c r="T392" s="118">
        <f t="shared" si="301"/>
        <v>0.1750188</v>
      </c>
      <c r="U392" s="118">
        <f>U393+U394+U395</f>
        <v>0.1750188</v>
      </c>
      <c r="V392" s="118">
        <f>V393+V394+V395</f>
        <v>0</v>
      </c>
      <c r="W392" s="118">
        <f>W393+W394+W395</f>
        <v>0</v>
      </c>
      <c r="X392" s="118">
        <f>X393+X394+X395</f>
        <v>0</v>
      </c>
      <c r="Y392" s="118">
        <f t="shared" ref="Y392" si="302">Y393+Y394+Y395</f>
        <v>10.252315247999999</v>
      </c>
      <c r="Z392" s="118">
        <f>Z393+Z394+Z395</f>
        <v>1.5600000000000002E-3</v>
      </c>
      <c r="AA392" s="118">
        <f>AA393+AA394+AA395</f>
        <v>0.99820871999999994</v>
      </c>
      <c r="AB392" s="118">
        <f>AB393+AB394+AB395</f>
        <v>9.2525465279999981</v>
      </c>
      <c r="AC392" s="53">
        <f>AC393+AC394+AC395</f>
        <v>0</v>
      </c>
      <c r="AD392" s="35">
        <f t="shared" si="278"/>
        <v>9.8024247399999993</v>
      </c>
      <c r="AE392" s="35">
        <f t="shared" si="286"/>
        <v>8.6722960399999991</v>
      </c>
      <c r="AF392" s="35">
        <f t="shared" si="286"/>
        <v>0</v>
      </c>
      <c r="AG392" s="35">
        <f t="shared" si="286"/>
        <v>8.6700796499999999</v>
      </c>
      <c r="AH392" s="35">
        <f t="shared" si="284"/>
        <v>2.2163899999999999E-3</v>
      </c>
      <c r="AI392" s="35">
        <f t="shared" si="284"/>
        <v>0</v>
      </c>
      <c r="AJ392" s="35">
        <f t="shared" ref="AJ392" si="303">AJ393+AJ394+AJ395</f>
        <v>0</v>
      </c>
      <c r="AK392" s="35">
        <f>AK393+AK394+AK395</f>
        <v>0</v>
      </c>
      <c r="AL392" s="35">
        <f>AL393+AL394+AL395</f>
        <v>0</v>
      </c>
      <c r="AM392" s="35">
        <f>AM393+AM394+AM395</f>
        <v>0</v>
      </c>
      <c r="AN392" s="35">
        <f>AN393+AN394+AN395</f>
        <v>0</v>
      </c>
      <c r="AO392" s="35">
        <f t="shared" ref="AO392:AX392" si="304">AO393+AO394+AO395</f>
        <v>0</v>
      </c>
      <c r="AP392" s="35">
        <f t="shared" si="304"/>
        <v>0</v>
      </c>
      <c r="AQ392" s="35">
        <f t="shared" si="304"/>
        <v>0</v>
      </c>
      <c r="AR392" s="35">
        <f t="shared" si="304"/>
        <v>0</v>
      </c>
      <c r="AS392" s="35">
        <f t="shared" si="304"/>
        <v>0</v>
      </c>
      <c r="AT392" s="35">
        <f t="shared" si="304"/>
        <v>0</v>
      </c>
      <c r="AU392" s="35">
        <f t="shared" si="304"/>
        <v>0</v>
      </c>
      <c r="AV392" s="35">
        <f t="shared" si="304"/>
        <v>0</v>
      </c>
      <c r="AW392" s="35">
        <f t="shared" si="304"/>
        <v>0</v>
      </c>
      <c r="AX392" s="35">
        <f t="shared" si="304"/>
        <v>0</v>
      </c>
      <c r="AY392" s="53">
        <f t="shared" ref="AY392" si="305">AY393+AY394+AY395</f>
        <v>8.6722960399999991</v>
      </c>
      <c r="AZ392" s="53">
        <f>AZ393+AZ394+AZ395</f>
        <v>0</v>
      </c>
      <c r="BA392" s="53">
        <f>BA393+BA394+BA395</f>
        <v>8.6700796499999999</v>
      </c>
      <c r="BB392" s="53">
        <f>BB393+BB394+BB395</f>
        <v>2.2163899999999999E-3</v>
      </c>
      <c r="BC392" s="53">
        <f>BC393+BC394+BC395</f>
        <v>0</v>
      </c>
    </row>
    <row r="393" spans="1:55" s="55" customFormat="1" ht="26.25" customHeight="1" x14ac:dyDescent="0.25">
      <c r="A393" s="85" t="s">
        <v>321</v>
      </c>
      <c r="B393" s="86" t="s">
        <v>323</v>
      </c>
      <c r="C393" s="87" t="s">
        <v>324</v>
      </c>
      <c r="D393" s="88">
        <v>11.063791883999999</v>
      </c>
      <c r="E393" s="29">
        <f t="shared" si="285"/>
        <v>10.406755247999998</v>
      </c>
      <c r="F393" s="29">
        <f t="shared" si="285"/>
        <v>0.156</v>
      </c>
      <c r="G393" s="29">
        <f t="shared" si="285"/>
        <v>0.99820871999999994</v>
      </c>
      <c r="H393" s="29">
        <f t="shared" si="283"/>
        <v>9.2525465279999981</v>
      </c>
      <c r="I393" s="29">
        <f t="shared" si="283"/>
        <v>0</v>
      </c>
      <c r="J393" s="29">
        <f t="shared" si="281"/>
        <v>0</v>
      </c>
      <c r="K393" s="29">
        <v>0</v>
      </c>
      <c r="L393" s="29">
        <v>0</v>
      </c>
      <c r="M393" s="29">
        <v>0</v>
      </c>
      <c r="N393" s="29">
        <v>0</v>
      </c>
      <c r="O393" s="29">
        <f>P393+Q393+R393+S393</f>
        <v>0</v>
      </c>
      <c r="P393" s="29">
        <v>0</v>
      </c>
      <c r="Q393" s="29">
        <v>0</v>
      </c>
      <c r="R393" s="29">
        <v>0</v>
      </c>
      <c r="S393" s="29">
        <v>0</v>
      </c>
      <c r="T393" s="30">
        <f t="shared" ref="T393:T398" si="306">U393+V393+W393+X393</f>
        <v>0.156</v>
      </c>
      <c r="U393" s="30">
        <f>130/1000*1.2</f>
        <v>0.156</v>
      </c>
      <c r="V393" s="30">
        <v>0</v>
      </c>
      <c r="W393" s="30">
        <v>0</v>
      </c>
      <c r="X393" s="30">
        <v>0</v>
      </c>
      <c r="Y393" s="30">
        <f t="shared" ref="Y393:Y394" si="307">Z393+AA393+AB393+AC393</f>
        <v>10.250755247999997</v>
      </c>
      <c r="Z393" s="30">
        <v>0</v>
      </c>
      <c r="AA393" s="30">
        <v>0.99820871999999994</v>
      </c>
      <c r="AB393" s="30">
        <v>9.2525465279999981</v>
      </c>
      <c r="AC393" s="34">
        <v>0</v>
      </c>
      <c r="AD393" s="36">
        <f t="shared" si="278"/>
        <v>9.2198265699999986</v>
      </c>
      <c r="AE393" s="36">
        <f t="shared" si="286"/>
        <v>8.6722960399999991</v>
      </c>
      <c r="AF393" s="36">
        <f t="shared" si="286"/>
        <v>0</v>
      </c>
      <c r="AG393" s="36">
        <f t="shared" si="286"/>
        <v>8.6700796499999999</v>
      </c>
      <c r="AH393" s="36">
        <f t="shared" si="284"/>
        <v>2.2163899999999999E-3</v>
      </c>
      <c r="AI393" s="36">
        <f t="shared" si="284"/>
        <v>0</v>
      </c>
      <c r="AJ393" s="36">
        <f t="shared" si="282"/>
        <v>0</v>
      </c>
      <c r="AK393" s="36">
        <v>0</v>
      </c>
      <c r="AL393" s="36">
        <v>0</v>
      </c>
      <c r="AM393" s="36">
        <v>0</v>
      </c>
      <c r="AN393" s="36">
        <v>0</v>
      </c>
      <c r="AO393" s="34">
        <f>AP393+AQ393+AR393+AS393</f>
        <v>0</v>
      </c>
      <c r="AP393" s="34">
        <v>0</v>
      </c>
      <c r="AQ393" s="34">
        <v>0</v>
      </c>
      <c r="AR393" s="34">
        <v>0</v>
      </c>
      <c r="AS393" s="34">
        <v>0</v>
      </c>
      <c r="AT393" s="34">
        <f t="shared" ref="AT393:AT398" si="308">AU393+AV393+AW393+AX393</f>
        <v>0</v>
      </c>
      <c r="AU393" s="34">
        <v>0</v>
      </c>
      <c r="AV393" s="34">
        <v>0</v>
      </c>
      <c r="AW393" s="34">
        <v>0</v>
      </c>
      <c r="AX393" s="34">
        <v>0</v>
      </c>
      <c r="AY393" s="34">
        <f t="shared" ref="AY393:AY394" si="309">AZ393+BA393+BB393+BC393</f>
        <v>8.6722960399999991</v>
      </c>
      <c r="AZ393" s="34">
        <v>0</v>
      </c>
      <c r="BA393" s="34">
        <f>8670.07965/1000</f>
        <v>8.6700796499999999</v>
      </c>
      <c r="BB393" s="34">
        <f>2.21639/1000</f>
        <v>2.2163899999999999E-3</v>
      </c>
      <c r="BC393" s="34">
        <v>0</v>
      </c>
    </row>
    <row r="394" spans="1:55" s="55" customFormat="1" ht="34.5" customHeight="1" x14ac:dyDescent="0.25">
      <c r="A394" s="85" t="s">
        <v>321</v>
      </c>
      <c r="B394" s="86" t="s">
        <v>325</v>
      </c>
      <c r="C394" s="87" t="s">
        <v>326</v>
      </c>
      <c r="D394" s="88">
        <v>0.29399999999999998</v>
      </c>
      <c r="E394" s="29">
        <f t="shared" si="285"/>
        <v>2.1128399999999995E-2</v>
      </c>
      <c r="F394" s="29">
        <f t="shared" si="285"/>
        <v>2.1128399999999995E-2</v>
      </c>
      <c r="G394" s="29">
        <f t="shared" si="285"/>
        <v>0</v>
      </c>
      <c r="H394" s="29">
        <f t="shared" si="283"/>
        <v>0</v>
      </c>
      <c r="I394" s="29">
        <f t="shared" si="283"/>
        <v>0</v>
      </c>
      <c r="J394" s="29">
        <f t="shared" si="281"/>
        <v>0</v>
      </c>
      <c r="K394" s="29">
        <v>0</v>
      </c>
      <c r="L394" s="29">
        <v>0</v>
      </c>
      <c r="M394" s="29">
        <v>0</v>
      </c>
      <c r="N394" s="29">
        <v>0</v>
      </c>
      <c r="O394" s="29">
        <f t="shared" ref="O394:O395" si="310">P394+Q394+R394+S394</f>
        <v>2.0588399999999996E-2</v>
      </c>
      <c r="P394" s="29">
        <v>2.0588399999999996E-2</v>
      </c>
      <c r="Q394" s="29">
        <v>0</v>
      </c>
      <c r="R394" s="29">
        <v>0</v>
      </c>
      <c r="S394" s="29">
        <v>0</v>
      </c>
      <c r="T394" s="30">
        <f t="shared" si="306"/>
        <v>0</v>
      </c>
      <c r="U394" s="30">
        <v>0</v>
      </c>
      <c r="V394" s="30">
        <v>0</v>
      </c>
      <c r="W394" s="30">
        <v>0</v>
      </c>
      <c r="X394" s="30">
        <v>0</v>
      </c>
      <c r="Y394" s="30">
        <f t="shared" si="307"/>
        <v>5.4000000000000001E-4</v>
      </c>
      <c r="Z394" s="30">
        <v>5.4000000000000001E-4</v>
      </c>
      <c r="AA394" s="30">
        <v>0</v>
      </c>
      <c r="AB394" s="30">
        <v>0</v>
      </c>
      <c r="AC394" s="34">
        <v>0</v>
      </c>
      <c r="AD394" s="36">
        <f t="shared" si="278"/>
        <v>0.245</v>
      </c>
      <c r="AE394" s="36">
        <f t="shared" si="286"/>
        <v>0</v>
      </c>
      <c r="AF394" s="36">
        <f t="shared" si="286"/>
        <v>0</v>
      </c>
      <c r="AG394" s="36">
        <f t="shared" si="286"/>
        <v>0</v>
      </c>
      <c r="AH394" s="36">
        <f t="shared" si="284"/>
        <v>0</v>
      </c>
      <c r="AI394" s="36">
        <f t="shared" si="284"/>
        <v>0</v>
      </c>
      <c r="AJ394" s="36">
        <f t="shared" si="282"/>
        <v>0</v>
      </c>
      <c r="AK394" s="36">
        <v>0</v>
      </c>
      <c r="AL394" s="36">
        <v>0</v>
      </c>
      <c r="AM394" s="36">
        <v>0</v>
      </c>
      <c r="AN394" s="36">
        <v>0</v>
      </c>
      <c r="AO394" s="34">
        <f t="shared" ref="AO394:AO395" si="311">AP394+AQ394+AR394+AS394</f>
        <v>0</v>
      </c>
      <c r="AP394" s="34">
        <v>0</v>
      </c>
      <c r="AQ394" s="34">
        <v>0</v>
      </c>
      <c r="AR394" s="34">
        <v>0</v>
      </c>
      <c r="AS394" s="34">
        <v>0</v>
      </c>
      <c r="AT394" s="34">
        <f t="shared" si="308"/>
        <v>0</v>
      </c>
      <c r="AU394" s="34">
        <v>0</v>
      </c>
      <c r="AV394" s="34">
        <v>0</v>
      </c>
      <c r="AW394" s="34">
        <v>0</v>
      </c>
      <c r="AX394" s="34">
        <v>0</v>
      </c>
      <c r="AY394" s="34">
        <f t="shared" si="309"/>
        <v>0</v>
      </c>
      <c r="AZ394" s="34">
        <v>0</v>
      </c>
      <c r="BA394" s="34">
        <v>0</v>
      </c>
      <c r="BB394" s="34">
        <v>0</v>
      </c>
      <c r="BC394" s="34">
        <v>0</v>
      </c>
    </row>
    <row r="395" spans="1:55" s="55" customFormat="1" ht="30.75" customHeight="1" x14ac:dyDescent="0.25">
      <c r="A395" s="85" t="s">
        <v>321</v>
      </c>
      <c r="B395" s="86" t="s">
        <v>327</v>
      </c>
      <c r="C395" s="87" t="s">
        <v>328</v>
      </c>
      <c r="D395" s="88">
        <v>0.40511780399999997</v>
      </c>
      <c r="E395" s="29">
        <f t="shared" si="285"/>
        <v>2.0038799999999999E-2</v>
      </c>
      <c r="F395" s="29">
        <f t="shared" si="285"/>
        <v>2.0038799999999999E-2</v>
      </c>
      <c r="G395" s="29">
        <f t="shared" si="285"/>
        <v>0</v>
      </c>
      <c r="H395" s="29">
        <f t="shared" si="283"/>
        <v>0</v>
      </c>
      <c r="I395" s="29">
        <f t="shared" si="283"/>
        <v>0</v>
      </c>
      <c r="J395" s="29">
        <f t="shared" si="281"/>
        <v>0</v>
      </c>
      <c r="K395" s="29">
        <v>0</v>
      </c>
      <c r="L395" s="29">
        <v>0</v>
      </c>
      <c r="M395" s="29">
        <v>0</v>
      </c>
      <c r="N395" s="29">
        <v>0</v>
      </c>
      <c r="O395" s="29">
        <f t="shared" si="310"/>
        <v>0</v>
      </c>
      <c r="P395" s="29">
        <v>0</v>
      </c>
      <c r="Q395" s="29">
        <v>0</v>
      </c>
      <c r="R395" s="29">
        <v>0</v>
      </c>
      <c r="S395" s="29">
        <v>0</v>
      </c>
      <c r="T395" s="30">
        <f>U395+V395+W395+X395</f>
        <v>1.9018799999999999E-2</v>
      </c>
      <c r="U395" s="30">
        <f>15.849/1000*1.2</f>
        <v>1.9018799999999999E-2</v>
      </c>
      <c r="V395" s="30">
        <v>0</v>
      </c>
      <c r="W395" s="30">
        <v>0</v>
      </c>
      <c r="X395" s="30">
        <v>0</v>
      </c>
      <c r="Y395" s="30">
        <f>Z395+AA395+AB395+AC395</f>
        <v>1.0200000000000001E-3</v>
      </c>
      <c r="Z395" s="30">
        <v>1.0200000000000001E-3</v>
      </c>
      <c r="AA395" s="30">
        <v>0</v>
      </c>
      <c r="AB395" s="30">
        <v>0</v>
      </c>
      <c r="AC395" s="34">
        <v>0</v>
      </c>
      <c r="AD395" s="36">
        <f t="shared" si="278"/>
        <v>0.33759816999999998</v>
      </c>
      <c r="AE395" s="36">
        <f t="shared" si="286"/>
        <v>0</v>
      </c>
      <c r="AF395" s="36">
        <f t="shared" si="286"/>
        <v>0</v>
      </c>
      <c r="AG395" s="36">
        <f t="shared" si="286"/>
        <v>0</v>
      </c>
      <c r="AH395" s="36">
        <f t="shared" si="284"/>
        <v>0</v>
      </c>
      <c r="AI395" s="36">
        <f t="shared" si="284"/>
        <v>0</v>
      </c>
      <c r="AJ395" s="36">
        <f t="shared" si="282"/>
        <v>0</v>
      </c>
      <c r="AK395" s="36">
        <v>0</v>
      </c>
      <c r="AL395" s="36">
        <v>0</v>
      </c>
      <c r="AM395" s="36">
        <v>0</v>
      </c>
      <c r="AN395" s="36">
        <v>0</v>
      </c>
      <c r="AO395" s="34">
        <f t="shared" si="311"/>
        <v>0</v>
      </c>
      <c r="AP395" s="34">
        <v>0</v>
      </c>
      <c r="AQ395" s="34">
        <v>0</v>
      </c>
      <c r="AR395" s="34">
        <v>0</v>
      </c>
      <c r="AS395" s="34">
        <v>0</v>
      </c>
      <c r="AT395" s="34">
        <f t="shared" si="308"/>
        <v>0</v>
      </c>
      <c r="AU395" s="34">
        <v>0</v>
      </c>
      <c r="AV395" s="34">
        <v>0</v>
      </c>
      <c r="AW395" s="34">
        <v>0</v>
      </c>
      <c r="AX395" s="34">
        <v>0</v>
      </c>
      <c r="AY395" s="34">
        <f>AZ395+BA395+BB395+BC395</f>
        <v>0</v>
      </c>
      <c r="AZ395" s="34">
        <v>0</v>
      </c>
      <c r="BA395" s="34">
        <v>0</v>
      </c>
      <c r="BB395" s="34">
        <v>0</v>
      </c>
      <c r="BC395" s="34">
        <v>0</v>
      </c>
    </row>
    <row r="396" spans="1:55" s="55" customFormat="1" ht="48.75" customHeight="1" x14ac:dyDescent="0.25">
      <c r="A396" s="71" t="s">
        <v>65</v>
      </c>
      <c r="B396" s="78" t="s">
        <v>329</v>
      </c>
      <c r="C396" s="79" t="s">
        <v>101</v>
      </c>
      <c r="D396" s="84">
        <v>0</v>
      </c>
      <c r="E396" s="75">
        <f t="shared" si="285"/>
        <v>0</v>
      </c>
      <c r="F396" s="75">
        <f t="shared" si="285"/>
        <v>0</v>
      </c>
      <c r="G396" s="75">
        <f t="shared" si="285"/>
        <v>0</v>
      </c>
      <c r="H396" s="75">
        <f t="shared" si="283"/>
        <v>0</v>
      </c>
      <c r="I396" s="75">
        <f t="shared" si="283"/>
        <v>0</v>
      </c>
      <c r="J396" s="75">
        <f t="shared" si="281"/>
        <v>0</v>
      </c>
      <c r="K396" s="75">
        <v>0</v>
      </c>
      <c r="L396" s="75">
        <v>0</v>
      </c>
      <c r="M396" s="75">
        <v>0</v>
      </c>
      <c r="N396" s="75">
        <v>0</v>
      </c>
      <c r="O396" s="75">
        <v>0</v>
      </c>
      <c r="P396" s="75">
        <v>0</v>
      </c>
      <c r="Q396" s="75">
        <v>0</v>
      </c>
      <c r="R396" s="75">
        <v>0</v>
      </c>
      <c r="S396" s="75">
        <v>0</v>
      </c>
      <c r="T396" s="118">
        <f t="shared" si="306"/>
        <v>0</v>
      </c>
      <c r="U396" s="118">
        <v>0</v>
      </c>
      <c r="V396" s="118">
        <v>0</v>
      </c>
      <c r="W396" s="118">
        <v>0</v>
      </c>
      <c r="X396" s="118">
        <v>0</v>
      </c>
      <c r="Y396" s="118">
        <f t="shared" ref="Y396:Y398" si="312">Z396+AA396+AB396+AC396</f>
        <v>0</v>
      </c>
      <c r="Z396" s="118">
        <v>0</v>
      </c>
      <c r="AA396" s="118">
        <v>0</v>
      </c>
      <c r="AB396" s="118">
        <v>0</v>
      </c>
      <c r="AC396" s="53">
        <v>0</v>
      </c>
      <c r="AD396" s="35">
        <f t="shared" si="278"/>
        <v>0</v>
      </c>
      <c r="AE396" s="35">
        <f t="shared" si="286"/>
        <v>0</v>
      </c>
      <c r="AF396" s="35">
        <f t="shared" si="286"/>
        <v>0</v>
      </c>
      <c r="AG396" s="35">
        <f t="shared" si="286"/>
        <v>0</v>
      </c>
      <c r="AH396" s="35">
        <f t="shared" si="284"/>
        <v>0</v>
      </c>
      <c r="AI396" s="35">
        <f t="shared" si="284"/>
        <v>0</v>
      </c>
      <c r="AJ396" s="35">
        <f t="shared" si="282"/>
        <v>0</v>
      </c>
      <c r="AK396" s="35">
        <v>0</v>
      </c>
      <c r="AL396" s="35">
        <v>0</v>
      </c>
      <c r="AM396" s="35">
        <v>0</v>
      </c>
      <c r="AN396" s="35">
        <v>0</v>
      </c>
      <c r="AO396" s="53">
        <v>0</v>
      </c>
      <c r="AP396" s="53">
        <v>0</v>
      </c>
      <c r="AQ396" s="53">
        <v>0</v>
      </c>
      <c r="AR396" s="53">
        <v>0</v>
      </c>
      <c r="AS396" s="53">
        <v>0</v>
      </c>
      <c r="AT396" s="53">
        <f t="shared" si="308"/>
        <v>0</v>
      </c>
      <c r="AU396" s="53">
        <v>0</v>
      </c>
      <c r="AV396" s="53">
        <v>0</v>
      </c>
      <c r="AW396" s="53">
        <v>0</v>
      </c>
      <c r="AX396" s="53">
        <v>0</v>
      </c>
      <c r="AY396" s="53">
        <f t="shared" ref="AY396:AY398" si="313">AZ396+BA396+BB396+BC396</f>
        <v>0</v>
      </c>
      <c r="AZ396" s="53">
        <v>0</v>
      </c>
      <c r="BA396" s="53">
        <v>0</v>
      </c>
      <c r="BB396" s="53">
        <v>0</v>
      </c>
      <c r="BC396" s="53">
        <v>0</v>
      </c>
    </row>
    <row r="397" spans="1:55" s="55" customFormat="1" ht="48.75" customHeight="1" x14ac:dyDescent="0.25">
      <c r="A397" s="71" t="s">
        <v>330</v>
      </c>
      <c r="B397" s="78" t="s">
        <v>331</v>
      </c>
      <c r="C397" s="79" t="s">
        <v>101</v>
      </c>
      <c r="D397" s="84">
        <v>0</v>
      </c>
      <c r="E397" s="75">
        <f t="shared" si="285"/>
        <v>0</v>
      </c>
      <c r="F397" s="75">
        <f t="shared" si="285"/>
        <v>0</v>
      </c>
      <c r="G397" s="75">
        <f t="shared" si="285"/>
        <v>0</v>
      </c>
      <c r="H397" s="75">
        <f t="shared" si="283"/>
        <v>0</v>
      </c>
      <c r="I397" s="75">
        <f t="shared" si="283"/>
        <v>0</v>
      </c>
      <c r="J397" s="75">
        <f t="shared" si="281"/>
        <v>0</v>
      </c>
      <c r="K397" s="75">
        <v>0</v>
      </c>
      <c r="L397" s="75">
        <v>0</v>
      </c>
      <c r="M397" s="75">
        <v>0</v>
      </c>
      <c r="N397" s="75">
        <v>0</v>
      </c>
      <c r="O397" s="75">
        <v>0</v>
      </c>
      <c r="P397" s="75">
        <v>0</v>
      </c>
      <c r="Q397" s="75">
        <v>0</v>
      </c>
      <c r="R397" s="75">
        <v>0</v>
      </c>
      <c r="S397" s="75">
        <v>0</v>
      </c>
      <c r="T397" s="118">
        <f t="shared" si="306"/>
        <v>0</v>
      </c>
      <c r="U397" s="118">
        <v>0</v>
      </c>
      <c r="V397" s="118">
        <v>0</v>
      </c>
      <c r="W397" s="118">
        <v>0</v>
      </c>
      <c r="X397" s="118">
        <v>0</v>
      </c>
      <c r="Y397" s="118">
        <f t="shared" si="312"/>
        <v>0</v>
      </c>
      <c r="Z397" s="118">
        <v>0</v>
      </c>
      <c r="AA397" s="118">
        <v>0</v>
      </c>
      <c r="AB397" s="118">
        <v>0</v>
      </c>
      <c r="AC397" s="53">
        <v>0</v>
      </c>
      <c r="AD397" s="35">
        <f t="shared" si="278"/>
        <v>0</v>
      </c>
      <c r="AE397" s="35">
        <f t="shared" si="286"/>
        <v>0</v>
      </c>
      <c r="AF397" s="35">
        <f t="shared" si="286"/>
        <v>0</v>
      </c>
      <c r="AG397" s="35">
        <f t="shared" si="286"/>
        <v>0</v>
      </c>
      <c r="AH397" s="35">
        <f t="shared" si="284"/>
        <v>0</v>
      </c>
      <c r="AI397" s="35">
        <f t="shared" si="284"/>
        <v>0</v>
      </c>
      <c r="AJ397" s="35">
        <f t="shared" si="282"/>
        <v>0</v>
      </c>
      <c r="AK397" s="35">
        <v>0</v>
      </c>
      <c r="AL397" s="35">
        <v>0</v>
      </c>
      <c r="AM397" s="35">
        <v>0</v>
      </c>
      <c r="AN397" s="35">
        <v>0</v>
      </c>
      <c r="AO397" s="53">
        <v>0</v>
      </c>
      <c r="AP397" s="53">
        <v>0</v>
      </c>
      <c r="AQ397" s="53">
        <v>0</v>
      </c>
      <c r="AR397" s="53">
        <v>0</v>
      </c>
      <c r="AS397" s="53">
        <v>0</v>
      </c>
      <c r="AT397" s="53">
        <f t="shared" si="308"/>
        <v>0</v>
      </c>
      <c r="AU397" s="53">
        <v>0</v>
      </c>
      <c r="AV397" s="53">
        <v>0</v>
      </c>
      <c r="AW397" s="53">
        <v>0</v>
      </c>
      <c r="AX397" s="53">
        <v>0</v>
      </c>
      <c r="AY397" s="53">
        <f t="shared" si="313"/>
        <v>0</v>
      </c>
      <c r="AZ397" s="53">
        <v>0</v>
      </c>
      <c r="BA397" s="53">
        <v>0</v>
      </c>
      <c r="BB397" s="53">
        <v>0</v>
      </c>
      <c r="BC397" s="53">
        <v>0</v>
      </c>
    </row>
    <row r="398" spans="1:55" s="55" customFormat="1" ht="48.75" customHeight="1" x14ac:dyDescent="0.25">
      <c r="A398" s="71" t="s">
        <v>332</v>
      </c>
      <c r="B398" s="78" t="s">
        <v>333</v>
      </c>
      <c r="C398" s="79" t="s">
        <v>101</v>
      </c>
      <c r="D398" s="84">
        <v>0</v>
      </c>
      <c r="E398" s="75">
        <f t="shared" si="285"/>
        <v>0</v>
      </c>
      <c r="F398" s="75">
        <f t="shared" si="285"/>
        <v>0</v>
      </c>
      <c r="G398" s="75">
        <f t="shared" si="285"/>
        <v>0</v>
      </c>
      <c r="H398" s="75">
        <f t="shared" si="283"/>
        <v>0</v>
      </c>
      <c r="I398" s="75">
        <f t="shared" si="283"/>
        <v>0</v>
      </c>
      <c r="J398" s="75">
        <f t="shared" si="281"/>
        <v>0</v>
      </c>
      <c r="K398" s="75">
        <v>0</v>
      </c>
      <c r="L398" s="75">
        <v>0</v>
      </c>
      <c r="M398" s="75">
        <v>0</v>
      </c>
      <c r="N398" s="75">
        <v>0</v>
      </c>
      <c r="O398" s="75">
        <v>0</v>
      </c>
      <c r="P398" s="75">
        <v>0</v>
      </c>
      <c r="Q398" s="75">
        <v>0</v>
      </c>
      <c r="R398" s="75">
        <v>0</v>
      </c>
      <c r="S398" s="75">
        <v>0</v>
      </c>
      <c r="T398" s="118">
        <f t="shared" si="306"/>
        <v>0</v>
      </c>
      <c r="U398" s="118">
        <v>0</v>
      </c>
      <c r="V398" s="118">
        <v>0</v>
      </c>
      <c r="W398" s="118">
        <v>0</v>
      </c>
      <c r="X398" s="118">
        <v>0</v>
      </c>
      <c r="Y398" s="118">
        <f t="shared" si="312"/>
        <v>0</v>
      </c>
      <c r="Z398" s="118">
        <v>0</v>
      </c>
      <c r="AA398" s="118">
        <v>0</v>
      </c>
      <c r="AB398" s="118">
        <v>0</v>
      </c>
      <c r="AC398" s="53">
        <v>0</v>
      </c>
      <c r="AD398" s="35">
        <f t="shared" si="278"/>
        <v>0</v>
      </c>
      <c r="AE398" s="35">
        <f t="shared" si="286"/>
        <v>0</v>
      </c>
      <c r="AF398" s="35">
        <f t="shared" si="286"/>
        <v>0</v>
      </c>
      <c r="AG398" s="35">
        <f t="shared" si="286"/>
        <v>0</v>
      </c>
      <c r="AH398" s="35">
        <f t="shared" si="284"/>
        <v>0</v>
      </c>
      <c r="AI398" s="35">
        <f t="shared" si="284"/>
        <v>0</v>
      </c>
      <c r="AJ398" s="35">
        <f t="shared" si="282"/>
        <v>0</v>
      </c>
      <c r="AK398" s="35">
        <v>0</v>
      </c>
      <c r="AL398" s="35">
        <v>0</v>
      </c>
      <c r="AM398" s="35">
        <v>0</v>
      </c>
      <c r="AN398" s="35">
        <v>0</v>
      </c>
      <c r="AO398" s="53">
        <v>0</v>
      </c>
      <c r="AP398" s="53">
        <v>0</v>
      </c>
      <c r="AQ398" s="53">
        <v>0</v>
      </c>
      <c r="AR398" s="53">
        <v>0</v>
      </c>
      <c r="AS398" s="53">
        <v>0</v>
      </c>
      <c r="AT398" s="53">
        <f t="shared" si="308"/>
        <v>0</v>
      </c>
      <c r="AU398" s="53">
        <v>0</v>
      </c>
      <c r="AV398" s="53">
        <v>0</v>
      </c>
      <c r="AW398" s="53">
        <v>0</v>
      </c>
      <c r="AX398" s="53">
        <v>0</v>
      </c>
      <c r="AY398" s="53">
        <f t="shared" si="313"/>
        <v>0</v>
      </c>
      <c r="AZ398" s="53">
        <v>0</v>
      </c>
      <c r="BA398" s="53">
        <v>0</v>
      </c>
      <c r="BB398" s="53">
        <v>0</v>
      </c>
      <c r="BC398" s="53">
        <v>0</v>
      </c>
    </row>
    <row r="399" spans="1:55" s="55" customFormat="1" ht="40.5" customHeight="1" x14ac:dyDescent="0.25">
      <c r="A399" s="71" t="s">
        <v>66</v>
      </c>
      <c r="B399" s="78" t="s">
        <v>334</v>
      </c>
      <c r="C399" s="79" t="s">
        <v>101</v>
      </c>
      <c r="D399" s="84">
        <f>SUM(D400:D442)</f>
        <v>29.063289575453307</v>
      </c>
      <c r="E399" s="75">
        <f t="shared" si="285"/>
        <v>51.819581147999997</v>
      </c>
      <c r="F399" s="75">
        <f t="shared" si="285"/>
        <v>0.38957999999999993</v>
      </c>
      <c r="G399" s="75">
        <f t="shared" si="285"/>
        <v>5.6591818800000002</v>
      </c>
      <c r="H399" s="75">
        <f t="shared" si="283"/>
        <v>45.770819267999997</v>
      </c>
      <c r="I399" s="75">
        <f t="shared" si="283"/>
        <v>0</v>
      </c>
      <c r="J399" s="84">
        <f t="shared" ref="J399:N399" si="314">SUM(J400:J442)</f>
        <v>1.3588357440000003</v>
      </c>
      <c r="K399" s="84">
        <f t="shared" si="314"/>
        <v>0.19703349599999997</v>
      </c>
      <c r="L399" s="84">
        <f t="shared" si="314"/>
        <v>0.81328327199999983</v>
      </c>
      <c r="M399" s="84">
        <f t="shared" si="314"/>
        <v>0.34851897599999998</v>
      </c>
      <c r="N399" s="84">
        <f t="shared" si="314"/>
        <v>0</v>
      </c>
      <c r="O399" s="84">
        <f t="shared" ref="O399:X399" si="315">SUM(O400:O442)</f>
        <v>3.5467055880000005</v>
      </c>
      <c r="P399" s="84">
        <f t="shared" si="315"/>
        <v>2.9409695999999999E-2</v>
      </c>
      <c r="Q399" s="84">
        <f t="shared" si="315"/>
        <v>1.8556547040000002</v>
      </c>
      <c r="R399" s="84">
        <f t="shared" si="315"/>
        <v>1.6616411879999999</v>
      </c>
      <c r="S399" s="84">
        <f t="shared" si="315"/>
        <v>0</v>
      </c>
      <c r="T399" s="84">
        <f t="shared" si="315"/>
        <v>2.9937307679999998</v>
      </c>
      <c r="U399" s="84">
        <f t="shared" si="315"/>
        <v>8.9199576000000003E-2</v>
      </c>
      <c r="V399" s="84">
        <f t="shared" si="315"/>
        <v>0.29767699200000003</v>
      </c>
      <c r="W399" s="84">
        <f t="shared" si="315"/>
        <v>2.6068541999999999</v>
      </c>
      <c r="X399" s="84">
        <f t="shared" si="315"/>
        <v>0</v>
      </c>
      <c r="Y399" s="118">
        <f t="shared" ref="Y399:AC399" si="316">SUM(Y400:Y442)</f>
        <v>43.920309048</v>
      </c>
      <c r="Z399" s="118">
        <f t="shared" si="316"/>
        <v>7.3937231999999992E-2</v>
      </c>
      <c r="AA399" s="118">
        <f t="shared" si="316"/>
        <v>2.6925669120000002</v>
      </c>
      <c r="AB399" s="118">
        <f t="shared" si="316"/>
        <v>41.153804903999998</v>
      </c>
      <c r="AC399" s="53">
        <f t="shared" si="316"/>
        <v>0</v>
      </c>
      <c r="AD399" s="35">
        <f t="shared" si="278"/>
        <v>24.219407979544425</v>
      </c>
      <c r="AE399" s="35">
        <f t="shared" si="286"/>
        <v>42.871311410000004</v>
      </c>
      <c r="AF399" s="35">
        <f t="shared" si="286"/>
        <v>0.40897190000000005</v>
      </c>
      <c r="AG399" s="35">
        <f t="shared" si="286"/>
        <v>4.7104740699999992</v>
      </c>
      <c r="AH399" s="35">
        <f t="shared" si="284"/>
        <v>37.751865440000003</v>
      </c>
      <c r="AI399" s="35">
        <f t="shared" si="284"/>
        <v>0</v>
      </c>
      <c r="AJ399" s="35">
        <f t="shared" ref="AJ399:AN399" si="317">SUM(AJ400:AJ442)</f>
        <v>0.86449767</v>
      </c>
      <c r="AK399" s="35">
        <f t="shared" si="317"/>
        <v>0.12106548</v>
      </c>
      <c r="AL399" s="35">
        <f t="shared" si="317"/>
        <v>0.45299971000000006</v>
      </c>
      <c r="AM399" s="35">
        <f t="shared" si="317"/>
        <v>0.29043247999999999</v>
      </c>
      <c r="AN399" s="35">
        <f t="shared" si="317"/>
        <v>0</v>
      </c>
      <c r="AO399" s="35">
        <f t="shared" ref="AO399:AX399" si="318">SUM(AO400:AO442)</f>
        <v>3.2460601500000004</v>
      </c>
      <c r="AP399" s="35">
        <f t="shared" si="318"/>
        <v>4.8441819999999997E-2</v>
      </c>
      <c r="AQ399" s="35">
        <f t="shared" si="318"/>
        <v>1.8129173399999998</v>
      </c>
      <c r="AR399" s="35">
        <f t="shared" si="318"/>
        <v>1.3847009900000002</v>
      </c>
      <c r="AS399" s="35">
        <f t="shared" si="318"/>
        <v>0</v>
      </c>
      <c r="AT399" s="35">
        <f t="shared" si="318"/>
        <v>2.4464661700000003</v>
      </c>
      <c r="AU399" s="35">
        <f t="shared" si="318"/>
        <v>5.0298720000000005E-2</v>
      </c>
      <c r="AV399" s="35">
        <f t="shared" si="318"/>
        <v>0.22378895000000001</v>
      </c>
      <c r="AW399" s="35">
        <f t="shared" si="318"/>
        <v>2.1723784999999998</v>
      </c>
      <c r="AX399" s="35">
        <f t="shared" si="318"/>
        <v>0</v>
      </c>
      <c r="AY399" s="53">
        <f t="shared" ref="AY399:BC399" si="319">SUM(AY400:AY442)</f>
        <v>36.314287419999999</v>
      </c>
      <c r="AZ399" s="53">
        <f t="shared" si="319"/>
        <v>0.18916588000000004</v>
      </c>
      <c r="BA399" s="53">
        <f t="shared" si="319"/>
        <v>2.2207680699999996</v>
      </c>
      <c r="BB399" s="53">
        <f t="shared" si="319"/>
        <v>33.904353470000004</v>
      </c>
      <c r="BC399" s="53">
        <f t="shared" si="319"/>
        <v>0</v>
      </c>
    </row>
    <row r="400" spans="1:55" s="55" customFormat="1" ht="51" customHeight="1" x14ac:dyDescent="0.25">
      <c r="A400" s="85" t="s">
        <v>66</v>
      </c>
      <c r="B400" s="86" t="s">
        <v>335</v>
      </c>
      <c r="C400" s="87" t="s">
        <v>336</v>
      </c>
      <c r="D400" s="88">
        <v>2.9265037932203386</v>
      </c>
      <c r="E400" s="29">
        <f t="shared" si="285"/>
        <v>1.9272475079999998</v>
      </c>
      <c r="F400" s="29">
        <f t="shared" si="285"/>
        <v>1.4441256000000001E-2</v>
      </c>
      <c r="G400" s="29">
        <f t="shared" si="285"/>
        <v>0.79874229599999991</v>
      </c>
      <c r="H400" s="29">
        <f t="shared" si="283"/>
        <v>1.1140639559999999</v>
      </c>
      <c r="I400" s="29">
        <f t="shared" si="283"/>
        <v>0</v>
      </c>
      <c r="J400" s="29">
        <f>K400+L400+M400+N400</f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f>P400+Q400+R400+S400</f>
        <v>0</v>
      </c>
      <c r="P400" s="29">
        <v>0</v>
      </c>
      <c r="Q400" s="29">
        <v>0</v>
      </c>
      <c r="R400" s="29">
        <v>0</v>
      </c>
      <c r="S400" s="29">
        <v>0</v>
      </c>
      <c r="T400" s="30">
        <f t="shared" ref="T400:T416" si="320">U400+V400+W400+X400</f>
        <v>1.1381256000000001E-2</v>
      </c>
      <c r="U400" s="30">
        <v>1.1381256000000001E-2</v>
      </c>
      <c r="V400" s="30">
        <v>0</v>
      </c>
      <c r="W400" s="30">
        <v>0</v>
      </c>
      <c r="X400" s="30">
        <v>0</v>
      </c>
      <c r="Y400" s="30">
        <f t="shared" ref="Y400:Y416" si="321">Z400+AA400+AB400+AC400</f>
        <v>1.9158662519999998</v>
      </c>
      <c r="Z400" s="30">
        <v>3.0599999999999998E-3</v>
      </c>
      <c r="AA400" s="30">
        <v>0.79874229599999991</v>
      </c>
      <c r="AB400" s="30">
        <v>1.1140639559999999</v>
      </c>
      <c r="AC400" s="34">
        <v>0</v>
      </c>
      <c r="AD400" s="36">
        <f t="shared" si="278"/>
        <v>2.4387531610169488</v>
      </c>
      <c r="AE400" s="36">
        <f t="shared" si="286"/>
        <v>1.6239115900000001</v>
      </c>
      <c r="AF400" s="36">
        <f t="shared" si="286"/>
        <v>2.990638E-2</v>
      </c>
      <c r="AG400" s="36">
        <f t="shared" si="286"/>
        <v>0.66561857999999996</v>
      </c>
      <c r="AH400" s="36">
        <f t="shared" si="284"/>
        <v>0.92838662999999999</v>
      </c>
      <c r="AI400" s="36">
        <f t="shared" si="284"/>
        <v>0</v>
      </c>
      <c r="AJ400" s="36">
        <f t="shared" si="282"/>
        <v>0</v>
      </c>
      <c r="AK400" s="36">
        <v>0</v>
      </c>
      <c r="AL400" s="36">
        <v>0</v>
      </c>
      <c r="AM400" s="36">
        <v>0</v>
      </c>
      <c r="AN400" s="36">
        <v>0</v>
      </c>
      <c r="AO400" s="34">
        <f>AP400+AQ400+AR400+AS400</f>
        <v>0</v>
      </c>
      <c r="AP400" s="34">
        <v>0</v>
      </c>
      <c r="AQ400" s="34">
        <v>0</v>
      </c>
      <c r="AR400" s="34">
        <v>0</v>
      </c>
      <c r="AS400" s="34">
        <v>0</v>
      </c>
      <c r="AT400" s="34">
        <f t="shared" ref="AT400:AT416" si="322">AU400+AV400+AW400+AX400</f>
        <v>0</v>
      </c>
      <c r="AU400" s="34">
        <v>0</v>
      </c>
      <c r="AV400" s="34">
        <v>0</v>
      </c>
      <c r="AW400" s="34">
        <v>0</v>
      </c>
      <c r="AX400" s="34">
        <v>0</v>
      </c>
      <c r="AY400" s="34">
        <f t="shared" ref="AY400" si="323">AZ400+BA400+BB400+BC400</f>
        <v>1.6239115900000001</v>
      </c>
      <c r="AZ400" s="34">
        <v>2.990638E-2</v>
      </c>
      <c r="BA400" s="34">
        <v>0.66561857999999996</v>
      </c>
      <c r="BB400" s="34">
        <v>0.92838662999999999</v>
      </c>
      <c r="BC400" s="34">
        <v>0</v>
      </c>
    </row>
    <row r="401" spans="1:55" s="55" customFormat="1" ht="45.75" customHeight="1" x14ac:dyDescent="0.25">
      <c r="A401" s="85" t="s">
        <v>66</v>
      </c>
      <c r="B401" s="86" t="s">
        <v>337</v>
      </c>
      <c r="C401" s="87" t="s">
        <v>338</v>
      </c>
      <c r="D401" s="88">
        <v>2.5826660999999995</v>
      </c>
      <c r="E401" s="29">
        <f t="shared" si="285"/>
        <v>1.546795404</v>
      </c>
      <c r="F401" s="29">
        <f t="shared" si="285"/>
        <v>3.1557120000000001E-2</v>
      </c>
      <c r="G401" s="29">
        <f t="shared" si="285"/>
        <v>0.28094872800000004</v>
      </c>
      <c r="H401" s="29">
        <f t="shared" si="283"/>
        <v>1.234289556</v>
      </c>
      <c r="I401" s="29">
        <f t="shared" si="283"/>
        <v>0</v>
      </c>
      <c r="J401" s="29">
        <f t="shared" ref="J401:J442" si="324">K401+L401+M401+N401</f>
        <v>0</v>
      </c>
      <c r="K401" s="29">
        <v>0</v>
      </c>
      <c r="L401" s="29">
        <v>0</v>
      </c>
      <c r="M401" s="29">
        <v>0</v>
      </c>
      <c r="N401" s="29">
        <v>0</v>
      </c>
      <c r="O401" s="29">
        <f t="shared" ref="O401:O436" si="325">P401+Q401+R401+S401</f>
        <v>0</v>
      </c>
      <c r="P401" s="29">
        <v>0</v>
      </c>
      <c r="Q401" s="29">
        <v>0</v>
      </c>
      <c r="R401" s="29">
        <v>0</v>
      </c>
      <c r="S401" s="29">
        <v>0</v>
      </c>
      <c r="T401" s="30">
        <f t="shared" si="320"/>
        <v>3.1557120000000001E-2</v>
      </c>
      <c r="U401" s="30">
        <v>3.1557120000000001E-2</v>
      </c>
      <c r="V401" s="30">
        <v>0</v>
      </c>
      <c r="W401" s="30">
        <v>0</v>
      </c>
      <c r="X401" s="30">
        <v>0</v>
      </c>
      <c r="Y401" s="30">
        <f t="shared" si="321"/>
        <v>1.515238284</v>
      </c>
      <c r="Z401" s="30">
        <v>0</v>
      </c>
      <c r="AA401" s="30">
        <v>0.28094872800000004</v>
      </c>
      <c r="AB401" s="30">
        <v>1.234289556</v>
      </c>
      <c r="AC401" s="34">
        <v>0</v>
      </c>
      <c r="AD401" s="36">
        <f t="shared" si="278"/>
        <v>2.1522217499999998</v>
      </c>
      <c r="AE401" s="36">
        <f t="shared" si="286"/>
        <v>1.30585817</v>
      </c>
      <c r="AF401" s="36">
        <f t="shared" si="286"/>
        <v>4.3159599999999999E-2</v>
      </c>
      <c r="AG401" s="36">
        <f t="shared" si="286"/>
        <v>0.23412394</v>
      </c>
      <c r="AH401" s="36">
        <f t="shared" si="284"/>
        <v>1.02857463</v>
      </c>
      <c r="AI401" s="36">
        <f t="shared" si="284"/>
        <v>0</v>
      </c>
      <c r="AJ401" s="36">
        <f t="shared" si="282"/>
        <v>0</v>
      </c>
      <c r="AK401" s="36">
        <v>0</v>
      </c>
      <c r="AL401" s="36">
        <v>0</v>
      </c>
      <c r="AM401" s="36">
        <v>0</v>
      </c>
      <c r="AN401" s="36">
        <v>0</v>
      </c>
      <c r="AO401" s="34">
        <f t="shared" ref="AO401:AO436" si="326">AP401+AQ401+AR401+AS401</f>
        <v>0</v>
      </c>
      <c r="AP401" s="34">
        <v>0</v>
      </c>
      <c r="AQ401" s="34">
        <v>0</v>
      </c>
      <c r="AR401" s="34">
        <v>0</v>
      </c>
      <c r="AS401" s="34">
        <v>0</v>
      </c>
      <c r="AT401" s="34">
        <f t="shared" si="322"/>
        <v>0</v>
      </c>
      <c r="AU401" s="34">
        <v>0</v>
      </c>
      <c r="AV401" s="34">
        <v>0</v>
      </c>
      <c r="AW401" s="34">
        <v>0</v>
      </c>
      <c r="AX401" s="34">
        <v>0</v>
      </c>
      <c r="AY401" s="34">
        <f t="shared" ref="AY401:AY416" si="327">AZ401+BA401+BB401+BC401</f>
        <v>1.30585817</v>
      </c>
      <c r="AZ401" s="34">
        <v>4.3159599999999999E-2</v>
      </c>
      <c r="BA401" s="34">
        <v>0.23412394</v>
      </c>
      <c r="BB401" s="34">
        <v>1.02857463</v>
      </c>
      <c r="BC401" s="34">
        <v>0</v>
      </c>
    </row>
    <row r="402" spans="1:55" s="55" customFormat="1" ht="48" customHeight="1" x14ac:dyDescent="0.25">
      <c r="A402" s="85" t="s">
        <v>66</v>
      </c>
      <c r="B402" s="86" t="s">
        <v>339</v>
      </c>
      <c r="C402" s="87" t="s">
        <v>340</v>
      </c>
      <c r="D402" s="88">
        <v>3.3359542559999995</v>
      </c>
      <c r="E402" s="29">
        <f t="shared" si="285"/>
        <v>1.6955237639999998</v>
      </c>
      <c r="F402" s="29">
        <f t="shared" si="285"/>
        <v>1.1381231999999998E-2</v>
      </c>
      <c r="G402" s="29">
        <f t="shared" si="285"/>
        <v>0.38296365599999993</v>
      </c>
      <c r="H402" s="29">
        <f t="shared" si="283"/>
        <v>1.301178876</v>
      </c>
      <c r="I402" s="29">
        <f t="shared" si="283"/>
        <v>0</v>
      </c>
      <c r="J402" s="29">
        <f t="shared" si="324"/>
        <v>0</v>
      </c>
      <c r="K402" s="29">
        <v>0</v>
      </c>
      <c r="L402" s="29">
        <v>0</v>
      </c>
      <c r="M402" s="29">
        <v>0</v>
      </c>
      <c r="N402" s="29">
        <v>0</v>
      </c>
      <c r="O402" s="29">
        <f t="shared" si="325"/>
        <v>0</v>
      </c>
      <c r="P402" s="29">
        <v>0</v>
      </c>
      <c r="Q402" s="29">
        <v>0</v>
      </c>
      <c r="R402" s="29">
        <v>0</v>
      </c>
      <c r="S402" s="29">
        <v>0</v>
      </c>
      <c r="T402" s="30">
        <f t="shared" si="320"/>
        <v>8.9999999999999993E-3</v>
      </c>
      <c r="U402" s="30">
        <v>8.9999999999999993E-3</v>
      </c>
      <c r="V402" s="30">
        <v>0</v>
      </c>
      <c r="W402" s="30">
        <v>0</v>
      </c>
      <c r="X402" s="30">
        <v>0</v>
      </c>
      <c r="Y402" s="30">
        <f t="shared" si="321"/>
        <v>1.6865237639999999</v>
      </c>
      <c r="Z402" s="30">
        <v>2.3812319999999996E-3</v>
      </c>
      <c r="AA402" s="30">
        <v>0.38296365599999993</v>
      </c>
      <c r="AB402" s="30">
        <v>1.301178876</v>
      </c>
      <c r="AC402" s="34">
        <v>0</v>
      </c>
      <c r="AD402" s="36">
        <f t="shared" si="278"/>
        <v>2.7799618799999997</v>
      </c>
      <c r="AE402" s="36">
        <f t="shared" si="286"/>
        <v>1.4328834699999999</v>
      </c>
      <c r="AF402" s="36">
        <f t="shared" si="286"/>
        <v>2.943136E-2</v>
      </c>
      <c r="AG402" s="36">
        <f t="shared" si="286"/>
        <v>0.31913638</v>
      </c>
      <c r="AH402" s="36">
        <f t="shared" si="284"/>
        <v>1.0843157299999999</v>
      </c>
      <c r="AI402" s="36">
        <f t="shared" si="284"/>
        <v>0</v>
      </c>
      <c r="AJ402" s="36">
        <f t="shared" si="282"/>
        <v>0</v>
      </c>
      <c r="AK402" s="36">
        <v>0</v>
      </c>
      <c r="AL402" s="36">
        <v>0</v>
      </c>
      <c r="AM402" s="36">
        <v>0</v>
      </c>
      <c r="AN402" s="36">
        <v>0</v>
      </c>
      <c r="AO402" s="34">
        <f t="shared" si="326"/>
        <v>0</v>
      </c>
      <c r="AP402" s="34">
        <v>0</v>
      </c>
      <c r="AQ402" s="34">
        <v>0</v>
      </c>
      <c r="AR402" s="34">
        <v>0</v>
      </c>
      <c r="AS402" s="34">
        <v>0</v>
      </c>
      <c r="AT402" s="34">
        <f t="shared" si="322"/>
        <v>0</v>
      </c>
      <c r="AU402" s="34">
        <v>0</v>
      </c>
      <c r="AV402" s="34">
        <v>0</v>
      </c>
      <c r="AW402" s="34">
        <v>0</v>
      </c>
      <c r="AX402" s="34">
        <v>0</v>
      </c>
      <c r="AY402" s="34">
        <f t="shared" si="327"/>
        <v>1.4328834699999999</v>
      </c>
      <c r="AZ402" s="34">
        <v>2.943136E-2</v>
      </c>
      <c r="BA402" s="34">
        <v>0.31913638</v>
      </c>
      <c r="BB402" s="34">
        <v>1.0843157299999999</v>
      </c>
      <c r="BC402" s="34">
        <v>0</v>
      </c>
    </row>
    <row r="403" spans="1:55" s="55" customFormat="1" ht="31.5" customHeight="1" x14ac:dyDescent="0.25">
      <c r="A403" s="85" t="s">
        <v>66</v>
      </c>
      <c r="B403" s="86" t="s">
        <v>341</v>
      </c>
      <c r="C403" s="87" t="s">
        <v>342</v>
      </c>
      <c r="D403" s="88">
        <v>1.6634761313898305</v>
      </c>
      <c r="E403" s="29">
        <f t="shared" si="285"/>
        <v>1.3744051800000001</v>
      </c>
      <c r="F403" s="29">
        <f t="shared" si="285"/>
        <v>2.9212319999999997E-3</v>
      </c>
      <c r="G403" s="29">
        <f t="shared" si="285"/>
        <v>0.20495071199999998</v>
      </c>
      <c r="H403" s="29">
        <f t="shared" si="283"/>
        <v>1.166533236</v>
      </c>
      <c r="I403" s="29">
        <f t="shared" si="283"/>
        <v>0</v>
      </c>
      <c r="J403" s="29">
        <f t="shared" si="324"/>
        <v>2.9212319999999997E-3</v>
      </c>
      <c r="K403" s="29">
        <v>2.9212319999999997E-3</v>
      </c>
      <c r="L403" s="29">
        <v>0</v>
      </c>
      <c r="M403" s="29">
        <v>0</v>
      </c>
      <c r="N403" s="29">
        <v>0</v>
      </c>
      <c r="O403" s="29">
        <f t="shared" si="325"/>
        <v>0</v>
      </c>
      <c r="P403" s="29">
        <v>0</v>
      </c>
      <c r="Q403" s="29">
        <v>0</v>
      </c>
      <c r="R403" s="29">
        <v>0</v>
      </c>
      <c r="S403" s="29">
        <v>0</v>
      </c>
      <c r="T403" s="30">
        <f t="shared" si="320"/>
        <v>0</v>
      </c>
      <c r="U403" s="30">
        <v>0</v>
      </c>
      <c r="V403" s="30">
        <v>0</v>
      </c>
      <c r="W403" s="30">
        <v>0</v>
      </c>
      <c r="X403" s="30">
        <v>0</v>
      </c>
      <c r="Y403" s="30">
        <f t="shared" si="321"/>
        <v>1.3714839480000001</v>
      </c>
      <c r="Z403" s="30">
        <v>0</v>
      </c>
      <c r="AA403" s="30">
        <v>0.20495071199999998</v>
      </c>
      <c r="AB403" s="30">
        <v>1.166533236</v>
      </c>
      <c r="AC403" s="34">
        <v>0</v>
      </c>
      <c r="AD403" s="36">
        <f t="shared" si="278"/>
        <v>1.3862301094915255</v>
      </c>
      <c r="AE403" s="36">
        <f t="shared" si="286"/>
        <v>1.1604336499999999</v>
      </c>
      <c r="AF403" s="36">
        <f t="shared" si="286"/>
        <v>1.7530360000000002E-2</v>
      </c>
      <c r="AG403" s="36">
        <f t="shared" si="286"/>
        <v>0.17079226</v>
      </c>
      <c r="AH403" s="36">
        <f t="shared" si="284"/>
        <v>0.97211102999999999</v>
      </c>
      <c r="AI403" s="36">
        <f t="shared" si="284"/>
        <v>0</v>
      </c>
      <c r="AJ403" s="36">
        <f t="shared" si="282"/>
        <v>0</v>
      </c>
      <c r="AK403" s="36">
        <v>0</v>
      </c>
      <c r="AL403" s="36">
        <v>0</v>
      </c>
      <c r="AM403" s="36">
        <v>0</v>
      </c>
      <c r="AN403" s="36">
        <v>0</v>
      </c>
      <c r="AO403" s="34">
        <f t="shared" si="326"/>
        <v>0</v>
      </c>
      <c r="AP403" s="34">
        <v>0</v>
      </c>
      <c r="AQ403" s="34">
        <v>0</v>
      </c>
      <c r="AR403" s="34">
        <v>0</v>
      </c>
      <c r="AS403" s="34">
        <v>0</v>
      </c>
      <c r="AT403" s="34">
        <f t="shared" si="322"/>
        <v>0</v>
      </c>
      <c r="AU403" s="34">
        <v>0</v>
      </c>
      <c r="AV403" s="34">
        <v>0</v>
      </c>
      <c r="AW403" s="34">
        <v>0</v>
      </c>
      <c r="AX403" s="34">
        <v>0</v>
      </c>
      <c r="AY403" s="34">
        <f t="shared" ref="AY403" si="328">AZ403+BA403+BB403</f>
        <v>1.1604336499999999</v>
      </c>
      <c r="AZ403" s="34">
        <v>1.7530360000000002E-2</v>
      </c>
      <c r="BA403" s="34">
        <v>0.17079226</v>
      </c>
      <c r="BB403" s="34">
        <v>0.97211102999999999</v>
      </c>
      <c r="BC403" s="34">
        <v>0</v>
      </c>
    </row>
    <row r="404" spans="1:55" s="55" customFormat="1" ht="31.5" customHeight="1" x14ac:dyDescent="0.25">
      <c r="A404" s="85" t="s">
        <v>66</v>
      </c>
      <c r="B404" s="86" t="s">
        <v>343</v>
      </c>
      <c r="C404" s="87" t="s">
        <v>344</v>
      </c>
      <c r="D404" s="88">
        <v>2.0733524635932241</v>
      </c>
      <c r="E404" s="29">
        <f t="shared" si="285"/>
        <v>3.06019482</v>
      </c>
      <c r="F404" s="29">
        <f t="shared" si="285"/>
        <v>2.04564E-2</v>
      </c>
      <c r="G404" s="29">
        <f t="shared" si="285"/>
        <v>0.161577312</v>
      </c>
      <c r="H404" s="29">
        <f t="shared" si="283"/>
        <v>2.878161108</v>
      </c>
      <c r="I404" s="29">
        <f t="shared" si="283"/>
        <v>0</v>
      </c>
      <c r="J404" s="29">
        <f t="shared" si="324"/>
        <v>5.4000000000000001E-4</v>
      </c>
      <c r="K404" s="29">
        <v>5.4000000000000001E-4</v>
      </c>
      <c r="L404" s="29">
        <v>0</v>
      </c>
      <c r="M404" s="29">
        <v>0</v>
      </c>
      <c r="N404" s="29">
        <v>0</v>
      </c>
      <c r="O404" s="29">
        <f t="shared" si="325"/>
        <v>0</v>
      </c>
      <c r="P404" s="29">
        <v>0</v>
      </c>
      <c r="Q404" s="29">
        <v>0</v>
      </c>
      <c r="R404" s="29">
        <v>0</v>
      </c>
      <c r="S404" s="29">
        <v>0</v>
      </c>
      <c r="T404" s="30">
        <f t="shared" si="320"/>
        <v>0</v>
      </c>
      <c r="U404" s="30">
        <v>0</v>
      </c>
      <c r="V404" s="30">
        <v>0</v>
      </c>
      <c r="W404" s="30">
        <v>0</v>
      </c>
      <c r="X404" s="30">
        <v>0</v>
      </c>
      <c r="Y404" s="30">
        <f t="shared" si="321"/>
        <v>3.05965482</v>
      </c>
      <c r="Z404" s="30">
        <v>1.9916400000000001E-2</v>
      </c>
      <c r="AA404" s="30">
        <v>0.161577312</v>
      </c>
      <c r="AB404" s="30">
        <v>2.878161108</v>
      </c>
      <c r="AC404" s="34">
        <v>0</v>
      </c>
      <c r="AD404" s="36">
        <f t="shared" si="278"/>
        <v>1.7277937196610202</v>
      </c>
      <c r="AE404" s="36">
        <f t="shared" si="286"/>
        <v>2.56693981</v>
      </c>
      <c r="AF404" s="36">
        <f t="shared" si="286"/>
        <v>3.3824460000000001E-2</v>
      </c>
      <c r="AG404" s="36">
        <f t="shared" si="286"/>
        <v>0.13464776000000001</v>
      </c>
      <c r="AH404" s="36">
        <f t="shared" si="284"/>
        <v>2.3984675900000001</v>
      </c>
      <c r="AI404" s="36">
        <f t="shared" si="284"/>
        <v>0</v>
      </c>
      <c r="AJ404" s="36">
        <f t="shared" si="282"/>
        <v>0</v>
      </c>
      <c r="AK404" s="36">
        <v>0</v>
      </c>
      <c r="AL404" s="36">
        <v>0</v>
      </c>
      <c r="AM404" s="36">
        <v>0</v>
      </c>
      <c r="AN404" s="36">
        <v>0</v>
      </c>
      <c r="AO404" s="34">
        <f t="shared" si="326"/>
        <v>0</v>
      </c>
      <c r="AP404" s="34">
        <v>0</v>
      </c>
      <c r="AQ404" s="34">
        <v>0</v>
      </c>
      <c r="AR404" s="34">
        <v>0</v>
      </c>
      <c r="AS404" s="34">
        <v>0</v>
      </c>
      <c r="AT404" s="34">
        <f t="shared" si="322"/>
        <v>0</v>
      </c>
      <c r="AU404" s="34">
        <v>0</v>
      </c>
      <c r="AV404" s="34">
        <v>0</v>
      </c>
      <c r="AW404" s="34">
        <v>0</v>
      </c>
      <c r="AX404" s="34">
        <v>0</v>
      </c>
      <c r="AY404" s="34">
        <f t="shared" si="327"/>
        <v>2.56693981</v>
      </c>
      <c r="AZ404" s="34">
        <v>3.3824460000000001E-2</v>
      </c>
      <c r="BA404" s="34">
        <v>0.13464776000000001</v>
      </c>
      <c r="BB404" s="34">
        <v>2.3984675900000001</v>
      </c>
      <c r="BC404" s="34">
        <v>0</v>
      </c>
    </row>
    <row r="405" spans="1:55" s="55" customFormat="1" ht="31.5" customHeight="1" x14ac:dyDescent="0.25">
      <c r="A405" s="85" t="s">
        <v>66</v>
      </c>
      <c r="B405" s="86" t="s">
        <v>345</v>
      </c>
      <c r="C405" s="87" t="s">
        <v>346</v>
      </c>
      <c r="D405" s="88">
        <v>1.6023574873220339</v>
      </c>
      <c r="E405" s="29">
        <f t="shared" si="285"/>
        <v>0.85014876000000006</v>
      </c>
      <c r="F405" s="29">
        <f t="shared" si="285"/>
        <v>0</v>
      </c>
      <c r="G405" s="29">
        <f t="shared" si="285"/>
        <v>9.4264463999999992E-2</v>
      </c>
      <c r="H405" s="29">
        <f t="shared" si="283"/>
        <v>0.75588429600000007</v>
      </c>
      <c r="I405" s="29">
        <f t="shared" si="283"/>
        <v>0</v>
      </c>
      <c r="J405" s="29">
        <f t="shared" si="324"/>
        <v>0</v>
      </c>
      <c r="K405" s="29">
        <v>0</v>
      </c>
      <c r="L405" s="29">
        <v>0</v>
      </c>
      <c r="M405" s="29">
        <v>0</v>
      </c>
      <c r="N405" s="29">
        <v>0</v>
      </c>
      <c r="O405" s="29">
        <f t="shared" si="325"/>
        <v>0</v>
      </c>
      <c r="P405" s="29">
        <v>0</v>
      </c>
      <c r="Q405" s="29">
        <v>0</v>
      </c>
      <c r="R405" s="29">
        <v>0</v>
      </c>
      <c r="S405" s="29">
        <v>0</v>
      </c>
      <c r="T405" s="30">
        <f t="shared" si="320"/>
        <v>0</v>
      </c>
      <c r="U405" s="30">
        <v>0</v>
      </c>
      <c r="V405" s="30">
        <v>0</v>
      </c>
      <c r="W405" s="30">
        <v>0</v>
      </c>
      <c r="X405" s="30">
        <v>0</v>
      </c>
      <c r="Y405" s="30">
        <f t="shared" si="321"/>
        <v>0.85014876000000006</v>
      </c>
      <c r="Z405" s="30">
        <v>0</v>
      </c>
      <c r="AA405" s="30">
        <v>9.4264463999999992E-2</v>
      </c>
      <c r="AB405" s="30">
        <v>0.75588429600000007</v>
      </c>
      <c r="AC405" s="34">
        <v>0</v>
      </c>
      <c r="AD405" s="36">
        <f t="shared" si="278"/>
        <v>1.335297906101695</v>
      </c>
      <c r="AE405" s="36">
        <f t="shared" si="286"/>
        <v>0.72327929999999996</v>
      </c>
      <c r="AF405" s="36">
        <f t="shared" si="286"/>
        <v>1.4821999999999998E-2</v>
      </c>
      <c r="AG405" s="36">
        <f t="shared" si="286"/>
        <v>7.8553719999999994E-2</v>
      </c>
      <c r="AH405" s="36">
        <f t="shared" si="284"/>
        <v>0.62990358000000002</v>
      </c>
      <c r="AI405" s="36">
        <f t="shared" si="284"/>
        <v>0</v>
      </c>
      <c r="AJ405" s="36">
        <f t="shared" si="282"/>
        <v>0</v>
      </c>
      <c r="AK405" s="36">
        <v>0</v>
      </c>
      <c r="AL405" s="36">
        <v>0</v>
      </c>
      <c r="AM405" s="36">
        <v>0</v>
      </c>
      <c r="AN405" s="36">
        <v>0</v>
      </c>
      <c r="AO405" s="34">
        <f t="shared" si="326"/>
        <v>0</v>
      </c>
      <c r="AP405" s="34">
        <v>0</v>
      </c>
      <c r="AQ405" s="34">
        <v>0</v>
      </c>
      <c r="AR405" s="34">
        <v>0</v>
      </c>
      <c r="AS405" s="34">
        <v>0</v>
      </c>
      <c r="AT405" s="34">
        <f t="shared" si="322"/>
        <v>0</v>
      </c>
      <c r="AU405" s="34">
        <v>0</v>
      </c>
      <c r="AV405" s="34">
        <v>0</v>
      </c>
      <c r="AW405" s="34">
        <v>0</v>
      </c>
      <c r="AX405" s="34">
        <v>0</v>
      </c>
      <c r="AY405" s="34">
        <f t="shared" si="327"/>
        <v>0.72327929999999996</v>
      </c>
      <c r="AZ405" s="34">
        <v>1.4821999999999998E-2</v>
      </c>
      <c r="BA405" s="34">
        <v>7.8553719999999994E-2</v>
      </c>
      <c r="BB405" s="34">
        <v>0.62990358000000002</v>
      </c>
      <c r="BC405" s="34">
        <v>0</v>
      </c>
    </row>
    <row r="406" spans="1:55" s="55" customFormat="1" ht="31.5" customHeight="1" x14ac:dyDescent="0.25">
      <c r="A406" s="85" t="s">
        <v>66</v>
      </c>
      <c r="B406" s="86" t="s">
        <v>347</v>
      </c>
      <c r="C406" s="87" t="s">
        <v>348</v>
      </c>
      <c r="D406" s="88">
        <v>3.8180500080000002</v>
      </c>
      <c r="E406" s="29">
        <f t="shared" si="285"/>
        <v>3.9240959519999996</v>
      </c>
      <c r="F406" s="29">
        <f t="shared" si="285"/>
        <v>2.9212319999999997E-3</v>
      </c>
      <c r="G406" s="29">
        <f t="shared" si="285"/>
        <v>0.256289832</v>
      </c>
      <c r="H406" s="29">
        <f t="shared" si="283"/>
        <v>3.664884888</v>
      </c>
      <c r="I406" s="29">
        <f t="shared" si="283"/>
        <v>0</v>
      </c>
      <c r="J406" s="29">
        <f t="shared" si="324"/>
        <v>0</v>
      </c>
      <c r="K406" s="29">
        <v>0</v>
      </c>
      <c r="L406" s="29">
        <v>0</v>
      </c>
      <c r="M406" s="29">
        <v>0</v>
      </c>
      <c r="N406" s="29">
        <v>0</v>
      </c>
      <c r="O406" s="29">
        <f t="shared" si="325"/>
        <v>2.9212319999999997E-3</v>
      </c>
      <c r="P406" s="29">
        <v>2.9212319999999997E-3</v>
      </c>
      <c r="Q406" s="29">
        <v>0</v>
      </c>
      <c r="R406" s="29">
        <v>0</v>
      </c>
      <c r="S406" s="29">
        <v>0</v>
      </c>
      <c r="T406" s="30">
        <f t="shared" si="320"/>
        <v>0</v>
      </c>
      <c r="U406" s="30">
        <v>0</v>
      </c>
      <c r="V406" s="30">
        <v>0</v>
      </c>
      <c r="W406" s="30">
        <v>0</v>
      </c>
      <c r="X406" s="30">
        <v>0</v>
      </c>
      <c r="Y406" s="30">
        <f t="shared" si="321"/>
        <v>3.9211747199999998</v>
      </c>
      <c r="Z406" s="30">
        <v>0</v>
      </c>
      <c r="AA406" s="30">
        <v>0.256289832</v>
      </c>
      <c r="AB406" s="30">
        <v>3.664884888</v>
      </c>
      <c r="AC406" s="34">
        <v>0</v>
      </c>
      <c r="AD406" s="36">
        <f t="shared" si="278"/>
        <v>3.1817083400000001</v>
      </c>
      <c r="AE406" s="36">
        <f t="shared" si="286"/>
        <v>3.0315828700000003</v>
      </c>
      <c r="AF406" s="36">
        <f t="shared" si="286"/>
        <v>1.765736E-2</v>
      </c>
      <c r="AG406" s="36">
        <f t="shared" si="286"/>
        <v>0.18959316000000001</v>
      </c>
      <c r="AH406" s="36">
        <f t="shared" si="284"/>
        <v>2.8243323500000002</v>
      </c>
      <c r="AI406" s="36">
        <f t="shared" si="284"/>
        <v>0</v>
      </c>
      <c r="AJ406" s="36">
        <f t="shared" si="282"/>
        <v>0</v>
      </c>
      <c r="AK406" s="36">
        <v>0</v>
      </c>
      <c r="AL406" s="36">
        <v>0</v>
      </c>
      <c r="AM406" s="36">
        <v>0</v>
      </c>
      <c r="AN406" s="36">
        <v>0</v>
      </c>
      <c r="AO406" s="34">
        <f t="shared" si="326"/>
        <v>0</v>
      </c>
      <c r="AP406" s="34">
        <v>0</v>
      </c>
      <c r="AQ406" s="34">
        <v>0</v>
      </c>
      <c r="AR406" s="34">
        <v>0</v>
      </c>
      <c r="AS406" s="34">
        <v>0</v>
      </c>
      <c r="AT406" s="34">
        <f t="shared" si="322"/>
        <v>0</v>
      </c>
      <c r="AU406" s="34">
        <v>0</v>
      </c>
      <c r="AV406" s="34">
        <v>0</v>
      </c>
      <c r="AW406" s="34">
        <v>0</v>
      </c>
      <c r="AX406" s="34">
        <v>0</v>
      </c>
      <c r="AY406" s="34">
        <f t="shared" si="327"/>
        <v>3.0315828700000003</v>
      </c>
      <c r="AZ406" s="34">
        <v>1.765736E-2</v>
      </c>
      <c r="BA406" s="34">
        <v>0.18959316000000001</v>
      </c>
      <c r="BB406" s="34">
        <v>2.8243323500000002</v>
      </c>
      <c r="BC406" s="34">
        <v>0</v>
      </c>
    </row>
    <row r="407" spans="1:55" s="55" customFormat="1" ht="31.5" customHeight="1" x14ac:dyDescent="0.25">
      <c r="A407" s="85" t="s">
        <v>66</v>
      </c>
      <c r="B407" s="86" t="s">
        <v>349</v>
      </c>
      <c r="C407" s="87" t="s">
        <v>350</v>
      </c>
      <c r="D407" s="88">
        <v>0.89285377830508494</v>
      </c>
      <c r="E407" s="29">
        <f t="shared" si="285"/>
        <v>0.99556582800000004</v>
      </c>
      <c r="F407" s="29">
        <f t="shared" si="285"/>
        <v>0</v>
      </c>
      <c r="G407" s="29">
        <f t="shared" si="285"/>
        <v>8.4036756000000004E-2</v>
      </c>
      <c r="H407" s="29">
        <f t="shared" si="283"/>
        <v>0.911529072</v>
      </c>
      <c r="I407" s="29">
        <f t="shared" si="283"/>
        <v>0</v>
      </c>
      <c r="J407" s="29">
        <f t="shared" si="324"/>
        <v>0</v>
      </c>
      <c r="K407" s="29">
        <v>0</v>
      </c>
      <c r="L407" s="29">
        <v>0</v>
      </c>
      <c r="M407" s="29">
        <v>0</v>
      </c>
      <c r="N407" s="29">
        <v>0</v>
      </c>
      <c r="O407" s="29">
        <f t="shared" si="325"/>
        <v>0.22670129999999999</v>
      </c>
      <c r="P407" s="29">
        <v>0</v>
      </c>
      <c r="Q407" s="29">
        <v>5.6855375999999999E-2</v>
      </c>
      <c r="R407" s="29">
        <v>0.16984592400000001</v>
      </c>
      <c r="S407" s="29">
        <v>0</v>
      </c>
      <c r="T407" s="30">
        <f t="shared" si="320"/>
        <v>0</v>
      </c>
      <c r="U407" s="30">
        <v>0</v>
      </c>
      <c r="V407" s="30">
        <v>0</v>
      </c>
      <c r="W407" s="30">
        <v>0</v>
      </c>
      <c r="X407" s="30">
        <v>0</v>
      </c>
      <c r="Y407" s="30">
        <f t="shared" si="321"/>
        <v>0.76886452800000005</v>
      </c>
      <c r="Z407" s="30">
        <v>0</v>
      </c>
      <c r="AA407" s="30">
        <v>2.7181380000000002E-2</v>
      </c>
      <c r="AB407" s="30">
        <v>0.74168314800000001</v>
      </c>
      <c r="AC407" s="34">
        <v>0</v>
      </c>
      <c r="AD407" s="36">
        <f t="shared" si="278"/>
        <v>0.74404481525423749</v>
      </c>
      <c r="AE407" s="36">
        <f t="shared" si="286"/>
        <v>0.82963818999999994</v>
      </c>
      <c r="AF407" s="36">
        <f t="shared" si="286"/>
        <v>0</v>
      </c>
      <c r="AG407" s="36">
        <f t="shared" si="286"/>
        <v>7.003063000000001E-2</v>
      </c>
      <c r="AH407" s="36">
        <f t="shared" si="284"/>
        <v>0.75960756000000007</v>
      </c>
      <c r="AI407" s="36">
        <f t="shared" si="284"/>
        <v>0</v>
      </c>
      <c r="AJ407" s="36">
        <f t="shared" si="282"/>
        <v>0</v>
      </c>
      <c r="AK407" s="36">
        <v>0</v>
      </c>
      <c r="AL407" s="36">
        <v>0</v>
      </c>
      <c r="AM407" s="36">
        <v>0</v>
      </c>
      <c r="AN407" s="36">
        <v>0</v>
      </c>
      <c r="AO407" s="34">
        <f t="shared" si="326"/>
        <v>0.18891775000000002</v>
      </c>
      <c r="AP407" s="34">
        <v>0</v>
      </c>
      <c r="AQ407" s="34">
        <f>0.056855376/1.2</f>
        <v>4.7379480000000002E-2</v>
      </c>
      <c r="AR407" s="34">
        <f>0.169845924/1.2</f>
        <v>0.14153827000000002</v>
      </c>
      <c r="AS407" s="34">
        <v>0</v>
      </c>
      <c r="AT407" s="34">
        <f t="shared" si="322"/>
        <v>0</v>
      </c>
      <c r="AU407" s="34">
        <v>0</v>
      </c>
      <c r="AV407" s="34">
        <v>0</v>
      </c>
      <c r="AW407" s="34">
        <v>0</v>
      </c>
      <c r="AX407" s="34">
        <v>0</v>
      </c>
      <c r="AY407" s="34">
        <f t="shared" si="327"/>
        <v>0.64072043999999995</v>
      </c>
      <c r="AZ407" s="34">
        <v>0</v>
      </c>
      <c r="BA407" s="34">
        <v>2.2651150000000002E-2</v>
      </c>
      <c r="BB407" s="34">
        <v>0.61806928999999999</v>
      </c>
      <c r="BC407" s="34">
        <v>0</v>
      </c>
    </row>
    <row r="408" spans="1:55" s="55" customFormat="1" ht="31.5" customHeight="1" x14ac:dyDescent="0.25">
      <c r="A408" s="85" t="s">
        <v>66</v>
      </c>
      <c r="B408" s="86" t="s">
        <v>351</v>
      </c>
      <c r="C408" s="87" t="s">
        <v>352</v>
      </c>
      <c r="D408" s="88">
        <v>0.89285377830508494</v>
      </c>
      <c r="E408" s="29">
        <f t="shared" si="285"/>
        <v>0.68615907600000003</v>
      </c>
      <c r="F408" s="29">
        <f t="shared" si="285"/>
        <v>2.3812319999999996E-3</v>
      </c>
      <c r="G408" s="29">
        <f t="shared" si="285"/>
        <v>3.3159264000000001E-2</v>
      </c>
      <c r="H408" s="29">
        <f t="shared" si="283"/>
        <v>0.65061858000000006</v>
      </c>
      <c r="I408" s="29">
        <f t="shared" si="283"/>
        <v>0</v>
      </c>
      <c r="J408" s="29">
        <f t="shared" si="324"/>
        <v>2.3812319999999996E-3</v>
      </c>
      <c r="K408" s="29">
        <v>2.3812319999999996E-3</v>
      </c>
      <c r="L408" s="29">
        <v>0</v>
      </c>
      <c r="M408" s="29">
        <v>0</v>
      </c>
      <c r="N408" s="29">
        <v>0</v>
      </c>
      <c r="O408" s="29">
        <f t="shared" si="325"/>
        <v>0</v>
      </c>
      <c r="P408" s="29">
        <v>0</v>
      </c>
      <c r="Q408" s="29">
        <v>0</v>
      </c>
      <c r="R408" s="29">
        <v>0</v>
      </c>
      <c r="S408" s="29">
        <v>0</v>
      </c>
      <c r="T408" s="30">
        <f t="shared" si="320"/>
        <v>0.68377784400000008</v>
      </c>
      <c r="U408" s="30">
        <v>0</v>
      </c>
      <c r="V408" s="30">
        <v>3.3159264000000001E-2</v>
      </c>
      <c r="W408" s="30">
        <v>0.65061858000000006</v>
      </c>
      <c r="X408" s="30">
        <v>0</v>
      </c>
      <c r="Y408" s="30">
        <f t="shared" si="321"/>
        <v>0</v>
      </c>
      <c r="Z408" s="30">
        <v>0</v>
      </c>
      <c r="AA408" s="30">
        <v>0</v>
      </c>
      <c r="AB408" s="30">
        <v>0</v>
      </c>
      <c r="AC408" s="34">
        <v>0</v>
      </c>
      <c r="AD408" s="36">
        <f t="shared" si="278"/>
        <v>0.74404481525423749</v>
      </c>
      <c r="AE408" s="36">
        <f t="shared" si="286"/>
        <v>0.58702223000000009</v>
      </c>
      <c r="AF408" s="36">
        <f t="shared" si="286"/>
        <v>1.7207360000000001E-2</v>
      </c>
      <c r="AG408" s="36">
        <f t="shared" si="286"/>
        <v>2.763272E-2</v>
      </c>
      <c r="AH408" s="36">
        <f t="shared" si="284"/>
        <v>0.54218215000000003</v>
      </c>
      <c r="AI408" s="36">
        <f t="shared" si="284"/>
        <v>0</v>
      </c>
      <c r="AJ408" s="36">
        <f t="shared" si="282"/>
        <v>0</v>
      </c>
      <c r="AK408" s="36">
        <v>0</v>
      </c>
      <c r="AL408" s="36">
        <v>0</v>
      </c>
      <c r="AM408" s="36">
        <v>0</v>
      </c>
      <c r="AN408" s="36">
        <v>0</v>
      </c>
      <c r="AO408" s="34">
        <f t="shared" si="326"/>
        <v>0</v>
      </c>
      <c r="AP408" s="34">
        <v>0</v>
      </c>
      <c r="AQ408" s="34">
        <v>0</v>
      </c>
      <c r="AR408" s="34">
        <v>0</v>
      </c>
      <c r="AS408" s="34">
        <v>0</v>
      </c>
      <c r="AT408" s="34">
        <f t="shared" si="322"/>
        <v>0.58702223000000009</v>
      </c>
      <c r="AU408" s="34">
        <f>17.20736/1000</f>
        <v>1.7207360000000001E-2</v>
      </c>
      <c r="AV408" s="34">
        <v>2.763272E-2</v>
      </c>
      <c r="AW408" s="34">
        <v>0.54218215000000003</v>
      </c>
      <c r="AX408" s="34">
        <v>0</v>
      </c>
      <c r="AY408" s="34">
        <f t="shared" si="327"/>
        <v>0</v>
      </c>
      <c r="AZ408" s="34">
        <v>0</v>
      </c>
      <c r="BA408" s="34">
        <v>0</v>
      </c>
      <c r="BB408" s="34">
        <v>0</v>
      </c>
      <c r="BC408" s="34">
        <v>0</v>
      </c>
    </row>
    <row r="409" spans="1:55" s="55" customFormat="1" ht="31.5" customHeight="1" x14ac:dyDescent="0.25">
      <c r="A409" s="85" t="s">
        <v>66</v>
      </c>
      <c r="B409" s="86" t="s">
        <v>353</v>
      </c>
      <c r="C409" s="87" t="s">
        <v>354</v>
      </c>
      <c r="D409" s="88">
        <v>0.89285377830508494</v>
      </c>
      <c r="E409" s="29">
        <f t="shared" si="285"/>
        <v>1.1039264039999999</v>
      </c>
      <c r="F409" s="29">
        <f t="shared" si="285"/>
        <v>0</v>
      </c>
      <c r="G409" s="29">
        <f t="shared" si="285"/>
        <v>3.8840880000000001E-2</v>
      </c>
      <c r="H409" s="29">
        <f t="shared" si="283"/>
        <v>1.0650855239999999</v>
      </c>
      <c r="I409" s="29">
        <f t="shared" si="283"/>
        <v>0</v>
      </c>
      <c r="J409" s="29">
        <f t="shared" si="324"/>
        <v>0</v>
      </c>
      <c r="K409" s="29">
        <v>0</v>
      </c>
      <c r="L409" s="29">
        <v>0</v>
      </c>
      <c r="M409" s="29">
        <v>0</v>
      </c>
      <c r="N409" s="29">
        <v>0</v>
      </c>
      <c r="O409" s="29">
        <f t="shared" si="325"/>
        <v>0</v>
      </c>
      <c r="P409" s="29">
        <v>0</v>
      </c>
      <c r="Q409" s="29">
        <v>0</v>
      </c>
      <c r="R409" s="29">
        <v>0</v>
      </c>
      <c r="S409" s="29">
        <v>0</v>
      </c>
      <c r="T409" s="30">
        <f t="shared" si="320"/>
        <v>1.1039264039999999</v>
      </c>
      <c r="U409" s="30">
        <v>0</v>
      </c>
      <c r="V409" s="30">
        <v>3.8840880000000001E-2</v>
      </c>
      <c r="W409" s="30">
        <v>1.0650855239999999</v>
      </c>
      <c r="X409" s="30">
        <v>0</v>
      </c>
      <c r="Y409" s="30">
        <f t="shared" si="321"/>
        <v>0</v>
      </c>
      <c r="Z409" s="30">
        <v>0</v>
      </c>
      <c r="AA409" s="30">
        <v>0</v>
      </c>
      <c r="AB409" s="30">
        <v>0</v>
      </c>
      <c r="AC409" s="34">
        <v>0</v>
      </c>
      <c r="AD409" s="36">
        <f t="shared" si="278"/>
        <v>0.74404481525423749</v>
      </c>
      <c r="AE409" s="36">
        <f t="shared" si="286"/>
        <v>0.93499367</v>
      </c>
      <c r="AF409" s="36">
        <f t="shared" si="286"/>
        <v>1.5054999999999999E-2</v>
      </c>
      <c r="AG409" s="36">
        <f t="shared" si="286"/>
        <v>3.2367400000000005E-2</v>
      </c>
      <c r="AH409" s="36">
        <f t="shared" si="284"/>
        <v>0.88757127000000002</v>
      </c>
      <c r="AI409" s="36">
        <f t="shared" si="284"/>
        <v>0</v>
      </c>
      <c r="AJ409" s="36">
        <f t="shared" si="282"/>
        <v>0</v>
      </c>
      <c r="AK409" s="36">
        <v>0</v>
      </c>
      <c r="AL409" s="36">
        <v>0</v>
      </c>
      <c r="AM409" s="36">
        <v>0</v>
      </c>
      <c r="AN409" s="36">
        <v>0</v>
      </c>
      <c r="AO409" s="34">
        <f t="shared" si="326"/>
        <v>0</v>
      </c>
      <c r="AP409" s="34">
        <v>0</v>
      </c>
      <c r="AQ409" s="34">
        <v>0</v>
      </c>
      <c r="AR409" s="34">
        <v>0</v>
      </c>
      <c r="AS409" s="34">
        <v>0</v>
      </c>
      <c r="AT409" s="34">
        <f t="shared" si="322"/>
        <v>0.93499367</v>
      </c>
      <c r="AU409" s="34">
        <f>15.055/1000</f>
        <v>1.5054999999999999E-2</v>
      </c>
      <c r="AV409" s="34">
        <v>3.2367400000000005E-2</v>
      </c>
      <c r="AW409" s="34">
        <v>0.88757127000000002</v>
      </c>
      <c r="AX409" s="34">
        <v>0</v>
      </c>
      <c r="AY409" s="34">
        <f t="shared" si="327"/>
        <v>0</v>
      </c>
      <c r="AZ409" s="34">
        <v>0</v>
      </c>
      <c r="BA409" s="34">
        <v>0</v>
      </c>
      <c r="BB409" s="34">
        <v>0</v>
      </c>
      <c r="BC409" s="34">
        <v>0</v>
      </c>
    </row>
    <row r="410" spans="1:55" s="55" customFormat="1" ht="31.5" customHeight="1" x14ac:dyDescent="0.25">
      <c r="A410" s="85" t="s">
        <v>66</v>
      </c>
      <c r="B410" s="86" t="s">
        <v>355</v>
      </c>
      <c r="C410" s="87" t="s">
        <v>356</v>
      </c>
      <c r="D410" s="88">
        <v>1.1087001579661018</v>
      </c>
      <c r="E410" s="29">
        <f t="shared" si="285"/>
        <v>0.84399303599999997</v>
      </c>
      <c r="F410" s="29">
        <f t="shared" si="285"/>
        <v>3.4012320000000001E-3</v>
      </c>
      <c r="G410" s="29">
        <f t="shared" si="285"/>
        <v>6.5657711999999993E-2</v>
      </c>
      <c r="H410" s="29">
        <f t="shared" si="283"/>
        <v>0.77493409199999996</v>
      </c>
      <c r="I410" s="29">
        <f t="shared" si="283"/>
        <v>0</v>
      </c>
      <c r="J410" s="29">
        <f t="shared" si="324"/>
        <v>3.4012320000000001E-3</v>
      </c>
      <c r="K410" s="29">
        <v>3.4012320000000001E-3</v>
      </c>
      <c r="L410" s="29">
        <v>0</v>
      </c>
      <c r="M410" s="29">
        <v>0</v>
      </c>
      <c r="N410" s="29">
        <v>0</v>
      </c>
      <c r="O410" s="29">
        <f t="shared" si="325"/>
        <v>0</v>
      </c>
      <c r="P410" s="29">
        <v>0</v>
      </c>
      <c r="Q410" s="29">
        <v>0</v>
      </c>
      <c r="R410" s="29">
        <v>0</v>
      </c>
      <c r="S410" s="29">
        <v>0</v>
      </c>
      <c r="T410" s="30">
        <f t="shared" si="320"/>
        <v>0.840591804</v>
      </c>
      <c r="U410" s="30">
        <v>0</v>
      </c>
      <c r="V410" s="30">
        <v>6.5657711999999993E-2</v>
      </c>
      <c r="W410" s="30">
        <v>0.77493409199999996</v>
      </c>
      <c r="X410" s="30">
        <v>0</v>
      </c>
      <c r="Y410" s="30">
        <f t="shared" si="321"/>
        <v>0</v>
      </c>
      <c r="Z410" s="30">
        <v>0</v>
      </c>
      <c r="AA410" s="30">
        <v>0</v>
      </c>
      <c r="AB410" s="30">
        <v>0</v>
      </c>
      <c r="AC410" s="34">
        <v>0</v>
      </c>
      <c r="AD410" s="36">
        <f t="shared" si="278"/>
        <v>0.92391679830508489</v>
      </c>
      <c r="AE410" s="36">
        <f t="shared" si="286"/>
        <v>0.71852953000000008</v>
      </c>
      <c r="AF410" s="36">
        <f t="shared" si="286"/>
        <v>1.8036359999999998E-2</v>
      </c>
      <c r="AG410" s="36">
        <f t="shared" si="286"/>
        <v>5.4714760000000001E-2</v>
      </c>
      <c r="AH410" s="36">
        <f t="shared" si="284"/>
        <v>0.64577841000000002</v>
      </c>
      <c r="AI410" s="36">
        <f t="shared" si="284"/>
        <v>0</v>
      </c>
      <c r="AJ410" s="36">
        <f t="shared" si="282"/>
        <v>0</v>
      </c>
      <c r="AK410" s="36">
        <v>0</v>
      </c>
      <c r="AL410" s="36">
        <v>0</v>
      </c>
      <c r="AM410" s="36">
        <v>0</v>
      </c>
      <c r="AN410" s="36">
        <v>0</v>
      </c>
      <c r="AO410" s="34">
        <f t="shared" si="326"/>
        <v>0</v>
      </c>
      <c r="AP410" s="34">
        <v>0</v>
      </c>
      <c r="AQ410" s="34">
        <v>0</v>
      </c>
      <c r="AR410" s="34">
        <v>0</v>
      </c>
      <c r="AS410" s="34">
        <v>0</v>
      </c>
      <c r="AT410" s="34">
        <f t="shared" si="322"/>
        <v>0.71852953000000008</v>
      </c>
      <c r="AU410" s="34">
        <f>18.03636/1000</f>
        <v>1.8036359999999998E-2</v>
      </c>
      <c r="AV410" s="34">
        <v>5.4714760000000001E-2</v>
      </c>
      <c r="AW410" s="34">
        <v>0.64577841000000002</v>
      </c>
      <c r="AX410" s="34">
        <v>0</v>
      </c>
      <c r="AY410" s="34">
        <f t="shared" si="327"/>
        <v>0</v>
      </c>
      <c r="AZ410" s="34">
        <v>0</v>
      </c>
      <c r="BA410" s="34">
        <v>0</v>
      </c>
      <c r="BB410" s="34">
        <v>0</v>
      </c>
      <c r="BC410" s="34">
        <v>0</v>
      </c>
    </row>
    <row r="411" spans="1:55" s="55" customFormat="1" ht="37.5" customHeight="1" x14ac:dyDescent="0.25">
      <c r="A411" s="85" t="s">
        <v>66</v>
      </c>
      <c r="B411" s="86" t="s">
        <v>357</v>
      </c>
      <c r="C411" s="87" t="s">
        <v>358</v>
      </c>
      <c r="D411" s="88">
        <v>1.4369650873220339</v>
      </c>
      <c r="E411" s="29">
        <f t="shared" si="285"/>
        <v>1.0839489599999999</v>
      </c>
      <c r="F411" s="29">
        <f t="shared" si="285"/>
        <v>0</v>
      </c>
      <c r="G411" s="29">
        <f t="shared" si="285"/>
        <v>5.6279219999999998E-2</v>
      </c>
      <c r="H411" s="29">
        <f t="shared" si="283"/>
        <v>1.0276697399999999</v>
      </c>
      <c r="I411" s="29">
        <f t="shared" si="283"/>
        <v>0</v>
      </c>
      <c r="J411" s="29">
        <f t="shared" si="324"/>
        <v>0</v>
      </c>
      <c r="K411" s="29">
        <v>0</v>
      </c>
      <c r="L411" s="29">
        <v>0</v>
      </c>
      <c r="M411" s="29">
        <v>0</v>
      </c>
      <c r="N411" s="29">
        <v>0</v>
      </c>
      <c r="O411" s="29">
        <f t="shared" si="325"/>
        <v>0</v>
      </c>
      <c r="P411" s="29">
        <v>0</v>
      </c>
      <c r="Q411" s="29">
        <v>0</v>
      </c>
      <c r="R411" s="29">
        <v>0</v>
      </c>
      <c r="S411" s="29">
        <v>0</v>
      </c>
      <c r="T411" s="30">
        <f t="shared" si="320"/>
        <v>0</v>
      </c>
      <c r="U411" s="30">
        <v>0</v>
      </c>
      <c r="V411" s="30">
        <v>0</v>
      </c>
      <c r="W411" s="30">
        <v>0</v>
      </c>
      <c r="X411" s="30">
        <v>0</v>
      </c>
      <c r="Y411" s="30">
        <f t="shared" si="321"/>
        <v>1.0839489599999999</v>
      </c>
      <c r="Z411" s="30">
        <v>0</v>
      </c>
      <c r="AA411" s="30">
        <v>5.6279219999999998E-2</v>
      </c>
      <c r="AB411" s="30">
        <v>1.0276697399999999</v>
      </c>
      <c r="AC411" s="34">
        <v>0</v>
      </c>
      <c r="AD411" s="36">
        <f t="shared" si="278"/>
        <v>1.197470906101695</v>
      </c>
      <c r="AE411" s="36">
        <f t="shared" si="286"/>
        <v>0.74348924999999999</v>
      </c>
      <c r="AF411" s="36">
        <f t="shared" si="286"/>
        <v>0</v>
      </c>
      <c r="AG411" s="36">
        <f t="shared" si="286"/>
        <v>4.7843359999999995E-2</v>
      </c>
      <c r="AH411" s="36">
        <f t="shared" si="284"/>
        <v>0.69564588999999999</v>
      </c>
      <c r="AI411" s="36">
        <f t="shared" si="284"/>
        <v>0</v>
      </c>
      <c r="AJ411" s="36">
        <f t="shared" si="282"/>
        <v>0</v>
      </c>
      <c r="AK411" s="36">
        <v>0</v>
      </c>
      <c r="AL411" s="36">
        <v>0</v>
      </c>
      <c r="AM411" s="36">
        <v>0</v>
      </c>
      <c r="AN411" s="36">
        <v>0</v>
      </c>
      <c r="AO411" s="34">
        <f t="shared" si="326"/>
        <v>0</v>
      </c>
      <c r="AP411" s="34">
        <v>0</v>
      </c>
      <c r="AQ411" s="34">
        <v>0</v>
      </c>
      <c r="AR411" s="34">
        <v>0</v>
      </c>
      <c r="AS411" s="34">
        <v>0</v>
      </c>
      <c r="AT411" s="34">
        <f t="shared" si="322"/>
        <v>0</v>
      </c>
      <c r="AU411" s="34">
        <v>0</v>
      </c>
      <c r="AV411" s="34">
        <v>0</v>
      </c>
      <c r="AW411" s="34">
        <v>0</v>
      </c>
      <c r="AX411" s="34">
        <v>0</v>
      </c>
      <c r="AY411" s="34">
        <f t="shared" si="327"/>
        <v>0.74348924999999999</v>
      </c>
      <c r="AZ411" s="34">
        <v>0</v>
      </c>
      <c r="BA411" s="34">
        <v>4.7843359999999995E-2</v>
      </c>
      <c r="BB411" s="34">
        <v>0.69564588999999999</v>
      </c>
      <c r="BC411" s="34">
        <v>0</v>
      </c>
    </row>
    <row r="412" spans="1:55" s="55" customFormat="1" ht="37.5" customHeight="1" x14ac:dyDescent="0.25">
      <c r="A412" s="85" t="s">
        <v>66</v>
      </c>
      <c r="B412" s="86" t="s">
        <v>359</v>
      </c>
      <c r="C412" s="87" t="s">
        <v>338</v>
      </c>
      <c r="D412" s="88">
        <v>1.327445676</v>
      </c>
      <c r="E412" s="29">
        <f t="shared" si="285"/>
        <v>0.64278327600000007</v>
      </c>
      <c r="F412" s="29">
        <f t="shared" si="285"/>
        <v>0</v>
      </c>
      <c r="G412" s="29">
        <f t="shared" si="285"/>
        <v>0.137265684</v>
      </c>
      <c r="H412" s="29">
        <f t="shared" si="283"/>
        <v>0.50551759200000002</v>
      </c>
      <c r="I412" s="29">
        <f t="shared" si="283"/>
        <v>0</v>
      </c>
      <c r="J412" s="29">
        <f t="shared" si="324"/>
        <v>0</v>
      </c>
      <c r="K412" s="29">
        <v>0</v>
      </c>
      <c r="L412" s="29">
        <v>0</v>
      </c>
      <c r="M412" s="29">
        <v>0</v>
      </c>
      <c r="N412" s="29">
        <v>0</v>
      </c>
      <c r="O412" s="29">
        <f t="shared" si="325"/>
        <v>0.64278327600000007</v>
      </c>
      <c r="P412" s="29">
        <v>0</v>
      </c>
      <c r="Q412" s="29">
        <v>0.137265684</v>
      </c>
      <c r="R412" s="29">
        <v>0.50551759200000002</v>
      </c>
      <c r="S412" s="29">
        <v>0</v>
      </c>
      <c r="T412" s="30">
        <f t="shared" si="320"/>
        <v>0</v>
      </c>
      <c r="U412" s="30">
        <v>0</v>
      </c>
      <c r="V412" s="30">
        <v>0</v>
      </c>
      <c r="W412" s="30">
        <v>0</v>
      </c>
      <c r="X412" s="30">
        <v>0</v>
      </c>
      <c r="Y412" s="30">
        <f t="shared" si="321"/>
        <v>0</v>
      </c>
      <c r="Z412" s="30">
        <v>0</v>
      </c>
      <c r="AA412" s="30">
        <v>0</v>
      </c>
      <c r="AB412" s="30">
        <v>0</v>
      </c>
      <c r="AC412" s="34">
        <v>0</v>
      </c>
      <c r="AD412" s="36">
        <f t="shared" ref="AD412:AD437" si="329">D412/1.2</f>
        <v>1.10620473</v>
      </c>
      <c r="AE412" s="36">
        <f t="shared" si="286"/>
        <v>0.56568319</v>
      </c>
      <c r="AF412" s="36">
        <f t="shared" si="286"/>
        <v>3.0030460000000002E-2</v>
      </c>
      <c r="AG412" s="36">
        <f t="shared" si="286"/>
        <v>0.11438807000000001</v>
      </c>
      <c r="AH412" s="36">
        <f t="shared" si="284"/>
        <v>0.42126466000000001</v>
      </c>
      <c r="AI412" s="36">
        <f t="shared" si="284"/>
        <v>0</v>
      </c>
      <c r="AJ412" s="36">
        <f t="shared" si="282"/>
        <v>0</v>
      </c>
      <c r="AK412" s="36">
        <v>0</v>
      </c>
      <c r="AL412" s="36">
        <v>0</v>
      </c>
      <c r="AM412" s="36">
        <v>0</v>
      </c>
      <c r="AN412" s="36">
        <v>0</v>
      </c>
      <c r="AO412" s="34">
        <f t="shared" si="326"/>
        <v>0.56568319</v>
      </c>
      <c r="AP412" s="34">
        <f>0.036036552/1.2</f>
        <v>3.0030460000000002E-2</v>
      </c>
      <c r="AQ412" s="34">
        <f>0.137265684/1.2</f>
        <v>0.11438807000000001</v>
      </c>
      <c r="AR412" s="34">
        <f>0.505517592/1.2</f>
        <v>0.42126466000000001</v>
      </c>
      <c r="AS412" s="34">
        <v>0</v>
      </c>
      <c r="AT412" s="34">
        <f t="shared" si="322"/>
        <v>0</v>
      </c>
      <c r="AU412" s="34">
        <v>0</v>
      </c>
      <c r="AV412" s="34">
        <v>0</v>
      </c>
      <c r="AW412" s="34">
        <v>0</v>
      </c>
      <c r="AX412" s="34">
        <v>0</v>
      </c>
      <c r="AY412" s="34">
        <f t="shared" si="327"/>
        <v>0</v>
      </c>
      <c r="AZ412" s="34">
        <v>0</v>
      </c>
      <c r="BA412" s="34">
        <v>0</v>
      </c>
      <c r="BB412" s="34">
        <v>0</v>
      </c>
      <c r="BC412" s="34">
        <v>0</v>
      </c>
    </row>
    <row r="413" spans="1:55" s="55" customFormat="1" ht="27" customHeight="1" x14ac:dyDescent="0.25">
      <c r="A413" s="85" t="s">
        <v>66</v>
      </c>
      <c r="B413" s="86" t="s">
        <v>360</v>
      </c>
      <c r="C413" s="87" t="s">
        <v>340</v>
      </c>
      <c r="D413" s="88">
        <v>4.5092570797244909</v>
      </c>
      <c r="E413" s="29">
        <f t="shared" si="285"/>
        <v>0</v>
      </c>
      <c r="F413" s="29">
        <f t="shared" si="285"/>
        <v>0</v>
      </c>
      <c r="G413" s="29">
        <f t="shared" si="285"/>
        <v>0</v>
      </c>
      <c r="H413" s="29">
        <f t="shared" si="283"/>
        <v>0</v>
      </c>
      <c r="I413" s="29">
        <f t="shared" si="283"/>
        <v>0</v>
      </c>
      <c r="J413" s="29">
        <f t="shared" si="324"/>
        <v>0</v>
      </c>
      <c r="K413" s="29">
        <v>0</v>
      </c>
      <c r="L413" s="29">
        <v>0</v>
      </c>
      <c r="M413" s="29">
        <v>0</v>
      </c>
      <c r="N413" s="29">
        <v>0</v>
      </c>
      <c r="O413" s="29">
        <f t="shared" si="325"/>
        <v>0</v>
      </c>
      <c r="P413" s="29">
        <v>0</v>
      </c>
      <c r="Q413" s="29">
        <v>0</v>
      </c>
      <c r="R413" s="29">
        <v>0</v>
      </c>
      <c r="S413" s="29">
        <v>0</v>
      </c>
      <c r="T413" s="30">
        <f t="shared" si="320"/>
        <v>0</v>
      </c>
      <c r="U413" s="30">
        <v>0</v>
      </c>
      <c r="V413" s="30">
        <v>0</v>
      </c>
      <c r="W413" s="30">
        <v>0</v>
      </c>
      <c r="X413" s="30">
        <v>0</v>
      </c>
      <c r="Y413" s="30">
        <f t="shared" si="321"/>
        <v>0</v>
      </c>
      <c r="Z413" s="30">
        <v>0</v>
      </c>
      <c r="AA413" s="30">
        <v>0</v>
      </c>
      <c r="AB413" s="30">
        <v>0</v>
      </c>
      <c r="AC413" s="34">
        <v>0</v>
      </c>
      <c r="AD413" s="36">
        <f t="shared" si="329"/>
        <v>3.7577142331037425</v>
      </c>
      <c r="AE413" s="36">
        <f t="shared" si="286"/>
        <v>0</v>
      </c>
      <c r="AF413" s="36">
        <f t="shared" si="286"/>
        <v>0</v>
      </c>
      <c r="AG413" s="36">
        <f t="shared" si="286"/>
        <v>0</v>
      </c>
      <c r="AH413" s="36">
        <f t="shared" si="284"/>
        <v>0</v>
      </c>
      <c r="AI413" s="36">
        <f t="shared" si="284"/>
        <v>0</v>
      </c>
      <c r="AJ413" s="36">
        <f t="shared" si="282"/>
        <v>0</v>
      </c>
      <c r="AK413" s="36">
        <v>0</v>
      </c>
      <c r="AL413" s="36">
        <v>0</v>
      </c>
      <c r="AM413" s="36">
        <v>0</v>
      </c>
      <c r="AN413" s="36">
        <v>0</v>
      </c>
      <c r="AO413" s="34">
        <f t="shared" si="326"/>
        <v>0</v>
      </c>
      <c r="AP413" s="34">
        <v>0</v>
      </c>
      <c r="AQ413" s="34">
        <v>0</v>
      </c>
      <c r="AR413" s="34">
        <v>0</v>
      </c>
      <c r="AS413" s="34">
        <v>0</v>
      </c>
      <c r="AT413" s="34">
        <f t="shared" si="322"/>
        <v>0</v>
      </c>
      <c r="AU413" s="34">
        <v>0</v>
      </c>
      <c r="AV413" s="34">
        <v>0</v>
      </c>
      <c r="AW413" s="34">
        <v>0</v>
      </c>
      <c r="AX413" s="34">
        <v>0</v>
      </c>
      <c r="AY413" s="34">
        <f t="shared" si="327"/>
        <v>0</v>
      </c>
      <c r="AZ413" s="34">
        <v>0</v>
      </c>
      <c r="BA413" s="34">
        <v>0</v>
      </c>
      <c r="BB413" s="34">
        <v>0</v>
      </c>
      <c r="BC413" s="34">
        <v>0</v>
      </c>
    </row>
    <row r="414" spans="1:55" s="55" customFormat="1" ht="27" customHeight="1" x14ac:dyDescent="0.25">
      <c r="A414" s="85" t="s">
        <v>66</v>
      </c>
      <c r="B414" s="96" t="s">
        <v>450</v>
      </c>
      <c r="C414" s="87" t="s">
        <v>825</v>
      </c>
      <c r="D414" s="88">
        <v>0</v>
      </c>
      <c r="E414" s="29">
        <f t="shared" si="285"/>
        <v>4.2646859999999995E-2</v>
      </c>
      <c r="F414" s="29">
        <f t="shared" si="285"/>
        <v>0</v>
      </c>
      <c r="G414" s="29">
        <f t="shared" si="285"/>
        <v>2.4589787999999998E-2</v>
      </c>
      <c r="H414" s="29">
        <f t="shared" si="283"/>
        <v>1.8057072E-2</v>
      </c>
      <c r="I414" s="29">
        <f t="shared" si="283"/>
        <v>0</v>
      </c>
      <c r="J414" s="29">
        <f t="shared" si="324"/>
        <v>4.2646859999999995E-2</v>
      </c>
      <c r="K414" s="29">
        <v>0</v>
      </c>
      <c r="L414" s="29">
        <v>2.4589787999999998E-2</v>
      </c>
      <c r="M414" s="29">
        <v>1.8057072E-2</v>
      </c>
      <c r="N414" s="29">
        <v>0</v>
      </c>
      <c r="O414" s="29">
        <f t="shared" si="325"/>
        <v>0</v>
      </c>
      <c r="P414" s="29">
        <v>0</v>
      </c>
      <c r="Q414" s="29">
        <v>0</v>
      </c>
      <c r="R414" s="29">
        <v>0</v>
      </c>
      <c r="S414" s="29">
        <v>0</v>
      </c>
      <c r="T414" s="30">
        <f t="shared" si="320"/>
        <v>0</v>
      </c>
      <c r="U414" s="30">
        <v>0</v>
      </c>
      <c r="V414" s="30">
        <v>0</v>
      </c>
      <c r="W414" s="30">
        <v>0</v>
      </c>
      <c r="X414" s="30">
        <v>0</v>
      </c>
      <c r="Y414" s="30">
        <f t="shared" si="321"/>
        <v>0</v>
      </c>
      <c r="Z414" s="30">
        <v>0</v>
      </c>
      <c r="AA414" s="30">
        <v>0</v>
      </c>
      <c r="AB414" s="30">
        <v>0</v>
      </c>
      <c r="AC414" s="34">
        <v>0</v>
      </c>
      <c r="AD414" s="36">
        <f t="shared" si="329"/>
        <v>0</v>
      </c>
      <c r="AE414" s="36">
        <f t="shared" si="286"/>
        <v>3.5539050000000003E-2</v>
      </c>
      <c r="AF414" s="36">
        <f t="shared" si="286"/>
        <v>0</v>
      </c>
      <c r="AG414" s="36">
        <f t="shared" si="286"/>
        <v>2.0491489999999998E-2</v>
      </c>
      <c r="AH414" s="36">
        <f t="shared" si="284"/>
        <v>1.5047560000000001E-2</v>
      </c>
      <c r="AI414" s="36">
        <f t="shared" si="284"/>
        <v>0</v>
      </c>
      <c r="AJ414" s="36">
        <f t="shared" si="282"/>
        <v>3.5539050000000003E-2</v>
      </c>
      <c r="AK414" s="36">
        <v>0</v>
      </c>
      <c r="AL414" s="36">
        <v>2.0491489999999998E-2</v>
      </c>
      <c r="AM414" s="36">
        <v>1.5047560000000001E-2</v>
      </c>
      <c r="AN414" s="36">
        <v>0</v>
      </c>
      <c r="AO414" s="34">
        <f t="shared" si="326"/>
        <v>0</v>
      </c>
      <c r="AP414" s="34">
        <v>0</v>
      </c>
      <c r="AQ414" s="34">
        <v>0</v>
      </c>
      <c r="AR414" s="34">
        <v>0</v>
      </c>
      <c r="AS414" s="34">
        <v>0</v>
      </c>
      <c r="AT414" s="34">
        <f t="shared" si="322"/>
        <v>0</v>
      </c>
      <c r="AU414" s="34">
        <v>0</v>
      </c>
      <c r="AV414" s="34">
        <v>0</v>
      </c>
      <c r="AW414" s="34">
        <v>0</v>
      </c>
      <c r="AX414" s="34">
        <v>0</v>
      </c>
      <c r="AY414" s="34">
        <f t="shared" si="327"/>
        <v>0</v>
      </c>
      <c r="AZ414" s="34">
        <v>0</v>
      </c>
      <c r="BA414" s="34">
        <v>0</v>
      </c>
      <c r="BB414" s="34">
        <v>0</v>
      </c>
      <c r="BC414" s="34">
        <v>0</v>
      </c>
    </row>
    <row r="415" spans="1:55" s="55" customFormat="1" ht="35.25" customHeight="1" x14ac:dyDescent="0.25">
      <c r="A415" s="85" t="s">
        <v>66</v>
      </c>
      <c r="B415" s="96" t="s">
        <v>451</v>
      </c>
      <c r="C415" s="87" t="s">
        <v>826</v>
      </c>
      <c r="D415" s="88">
        <v>0</v>
      </c>
      <c r="E415" s="29">
        <f t="shared" si="285"/>
        <v>0.15825282000000002</v>
      </c>
      <c r="F415" s="29">
        <f t="shared" si="285"/>
        <v>3.6255888E-2</v>
      </c>
      <c r="G415" s="29">
        <f t="shared" si="285"/>
        <v>8.8317324000000003E-2</v>
      </c>
      <c r="H415" s="29">
        <f t="shared" si="283"/>
        <v>3.3679608E-2</v>
      </c>
      <c r="I415" s="29">
        <f t="shared" si="283"/>
        <v>0</v>
      </c>
      <c r="J415" s="29">
        <f t="shared" si="324"/>
        <v>0.15825282000000002</v>
      </c>
      <c r="K415" s="29">
        <v>3.6255888E-2</v>
      </c>
      <c r="L415" s="29">
        <v>8.8317324000000003E-2</v>
      </c>
      <c r="M415" s="29">
        <v>3.3679608E-2</v>
      </c>
      <c r="N415" s="29">
        <v>0</v>
      </c>
      <c r="O415" s="29">
        <f t="shared" si="325"/>
        <v>0</v>
      </c>
      <c r="P415" s="29">
        <v>0</v>
      </c>
      <c r="Q415" s="29">
        <v>0</v>
      </c>
      <c r="R415" s="29">
        <v>0</v>
      </c>
      <c r="S415" s="29">
        <v>0</v>
      </c>
      <c r="T415" s="30">
        <f t="shared" si="320"/>
        <v>0</v>
      </c>
      <c r="U415" s="30">
        <v>0</v>
      </c>
      <c r="V415" s="30">
        <v>0</v>
      </c>
      <c r="W415" s="30">
        <v>0</v>
      </c>
      <c r="X415" s="30">
        <v>0</v>
      </c>
      <c r="Y415" s="30">
        <f t="shared" si="321"/>
        <v>0</v>
      </c>
      <c r="Z415" s="30">
        <v>0</v>
      </c>
      <c r="AA415" s="30">
        <v>0</v>
      </c>
      <c r="AB415" s="30">
        <v>0</v>
      </c>
      <c r="AC415" s="34">
        <v>0</v>
      </c>
      <c r="AD415" s="36">
        <f t="shared" si="329"/>
        <v>0</v>
      </c>
      <c r="AE415" s="36">
        <f t="shared" si="286"/>
        <v>0.13187735</v>
      </c>
      <c r="AF415" s="36">
        <f t="shared" si="286"/>
        <v>3.0213239999999999E-2</v>
      </c>
      <c r="AG415" s="36">
        <f t="shared" si="286"/>
        <v>7.3597769999999993E-2</v>
      </c>
      <c r="AH415" s="36">
        <f t="shared" si="284"/>
        <v>2.8066339999999999E-2</v>
      </c>
      <c r="AI415" s="36">
        <f t="shared" si="284"/>
        <v>0</v>
      </c>
      <c r="AJ415" s="36">
        <f t="shared" si="282"/>
        <v>0.13187735</v>
      </c>
      <c r="AK415" s="36">
        <v>3.0213239999999999E-2</v>
      </c>
      <c r="AL415" s="36">
        <v>7.3597769999999993E-2</v>
      </c>
      <c r="AM415" s="36">
        <v>2.8066339999999999E-2</v>
      </c>
      <c r="AN415" s="36">
        <v>0</v>
      </c>
      <c r="AO415" s="34">
        <f t="shared" si="326"/>
        <v>0</v>
      </c>
      <c r="AP415" s="34">
        <v>0</v>
      </c>
      <c r="AQ415" s="34">
        <v>0</v>
      </c>
      <c r="AR415" s="34">
        <v>0</v>
      </c>
      <c r="AS415" s="34">
        <v>0</v>
      </c>
      <c r="AT415" s="34">
        <f t="shared" si="322"/>
        <v>0</v>
      </c>
      <c r="AU415" s="34">
        <v>0</v>
      </c>
      <c r="AV415" s="34">
        <v>0</v>
      </c>
      <c r="AW415" s="34">
        <v>0</v>
      </c>
      <c r="AX415" s="34">
        <v>0</v>
      </c>
      <c r="AY415" s="34">
        <f t="shared" si="327"/>
        <v>0</v>
      </c>
      <c r="AZ415" s="34">
        <v>0</v>
      </c>
      <c r="BA415" s="34">
        <v>0</v>
      </c>
      <c r="BB415" s="34">
        <v>0</v>
      </c>
      <c r="BC415" s="34">
        <v>0</v>
      </c>
    </row>
    <row r="416" spans="1:55" s="55" customFormat="1" ht="36.75" customHeight="1" x14ac:dyDescent="0.25">
      <c r="A416" s="85" t="s">
        <v>66</v>
      </c>
      <c r="B416" s="96" t="s">
        <v>452</v>
      </c>
      <c r="C416" s="87" t="s">
        <v>827</v>
      </c>
      <c r="D416" s="88">
        <v>0</v>
      </c>
      <c r="E416" s="29">
        <f t="shared" si="285"/>
        <v>0.81072693600000001</v>
      </c>
      <c r="F416" s="29">
        <f t="shared" si="285"/>
        <v>0</v>
      </c>
      <c r="G416" s="29">
        <f t="shared" si="285"/>
        <v>0.48403969200000002</v>
      </c>
      <c r="H416" s="29">
        <f t="shared" si="283"/>
        <v>0.32668724399999999</v>
      </c>
      <c r="I416" s="29">
        <f t="shared" si="283"/>
        <v>0</v>
      </c>
      <c r="J416" s="29">
        <f t="shared" si="324"/>
        <v>0.72747483600000007</v>
      </c>
      <c r="K416" s="29">
        <v>0</v>
      </c>
      <c r="L416" s="29">
        <v>0.43069254000000001</v>
      </c>
      <c r="M416" s="29">
        <v>0.296782296</v>
      </c>
      <c r="N416" s="29">
        <v>0</v>
      </c>
      <c r="O416" s="29">
        <f t="shared" si="325"/>
        <v>8.3252099999999996E-2</v>
      </c>
      <c r="P416" s="29">
        <v>0</v>
      </c>
      <c r="Q416" s="29">
        <v>5.3347151999999995E-2</v>
      </c>
      <c r="R416" s="29">
        <v>2.9904948000000001E-2</v>
      </c>
      <c r="S416" s="29">
        <v>0</v>
      </c>
      <c r="T416" s="30">
        <f t="shared" si="320"/>
        <v>0</v>
      </c>
      <c r="U416" s="30">
        <v>0</v>
      </c>
      <c r="V416" s="30">
        <v>0</v>
      </c>
      <c r="W416" s="30">
        <v>0</v>
      </c>
      <c r="X416" s="30">
        <v>0</v>
      </c>
      <c r="Y416" s="30">
        <f t="shared" si="321"/>
        <v>0</v>
      </c>
      <c r="Z416" s="30">
        <v>0</v>
      </c>
      <c r="AA416" s="30">
        <v>0</v>
      </c>
      <c r="AB416" s="30">
        <v>0</v>
      </c>
      <c r="AC416" s="34">
        <v>0</v>
      </c>
      <c r="AD416" s="36">
        <f t="shared" si="329"/>
        <v>0</v>
      </c>
      <c r="AE416" s="36">
        <f t="shared" si="286"/>
        <v>0.76645801999999996</v>
      </c>
      <c r="AF416" s="36">
        <f t="shared" si="286"/>
        <v>9.0852240000000001E-2</v>
      </c>
      <c r="AG416" s="36">
        <f t="shared" si="286"/>
        <v>0.40336641000000006</v>
      </c>
      <c r="AH416" s="36">
        <f t="shared" si="284"/>
        <v>0.27223937000000004</v>
      </c>
      <c r="AI416" s="36">
        <f t="shared" si="284"/>
        <v>0</v>
      </c>
      <c r="AJ416" s="36">
        <f t="shared" si="282"/>
        <v>0.69708126999999998</v>
      </c>
      <c r="AK416" s="36">
        <v>9.0852240000000001E-2</v>
      </c>
      <c r="AL416" s="36">
        <v>0.35891045000000005</v>
      </c>
      <c r="AM416" s="36">
        <v>0.24731858000000001</v>
      </c>
      <c r="AN416" s="36">
        <v>0</v>
      </c>
      <c r="AO416" s="34">
        <f t="shared" si="326"/>
        <v>6.9376750000000001E-2</v>
      </c>
      <c r="AP416" s="34">
        <v>0</v>
      </c>
      <c r="AQ416" s="34">
        <f>0.053347152/1.2</f>
        <v>4.4455960000000003E-2</v>
      </c>
      <c r="AR416" s="34">
        <f>0.029904948/1.2</f>
        <v>2.4920790000000002E-2</v>
      </c>
      <c r="AS416" s="34">
        <v>0</v>
      </c>
      <c r="AT416" s="34">
        <f t="shared" si="322"/>
        <v>0</v>
      </c>
      <c r="AU416" s="34">
        <v>0</v>
      </c>
      <c r="AV416" s="34">
        <v>0</v>
      </c>
      <c r="AW416" s="34">
        <v>0</v>
      </c>
      <c r="AX416" s="34">
        <v>0</v>
      </c>
      <c r="AY416" s="34">
        <f t="shared" si="327"/>
        <v>0</v>
      </c>
      <c r="AZ416" s="34">
        <v>0</v>
      </c>
      <c r="BA416" s="34">
        <v>0</v>
      </c>
      <c r="BB416" s="34">
        <v>0</v>
      </c>
      <c r="BC416" s="34">
        <v>0</v>
      </c>
    </row>
    <row r="417" spans="1:55" s="55" customFormat="1" ht="36.75" customHeight="1" x14ac:dyDescent="0.25">
      <c r="A417" s="115" t="s">
        <v>66</v>
      </c>
      <c r="B417" s="96" t="s">
        <v>567</v>
      </c>
      <c r="C417" s="116" t="s">
        <v>828</v>
      </c>
      <c r="D417" s="88">
        <v>0</v>
      </c>
      <c r="E417" s="29">
        <f t="shared" si="285"/>
        <v>4.7627999999999997E-2</v>
      </c>
      <c r="F417" s="29">
        <f t="shared" si="285"/>
        <v>4.7627999999999997E-2</v>
      </c>
      <c r="G417" s="29">
        <f t="shared" si="285"/>
        <v>0</v>
      </c>
      <c r="H417" s="29">
        <f t="shared" si="283"/>
        <v>0</v>
      </c>
      <c r="I417" s="29">
        <f t="shared" si="283"/>
        <v>0</v>
      </c>
      <c r="J417" s="29">
        <f t="shared" si="324"/>
        <v>2.3645999999999997E-2</v>
      </c>
      <c r="K417" s="29">
        <f>19.705*1.2/1000</f>
        <v>2.3645999999999997E-2</v>
      </c>
      <c r="L417" s="29">
        <v>0</v>
      </c>
      <c r="M417" s="29">
        <v>0</v>
      </c>
      <c r="N417" s="29">
        <v>0</v>
      </c>
      <c r="O417" s="29">
        <f t="shared" si="325"/>
        <v>0</v>
      </c>
      <c r="P417" s="29">
        <v>0</v>
      </c>
      <c r="Q417" s="29">
        <v>0</v>
      </c>
      <c r="R417" s="29">
        <v>0</v>
      </c>
      <c r="S417" s="29">
        <v>0</v>
      </c>
      <c r="T417" s="30">
        <f>U417+V417+W417+X417</f>
        <v>0</v>
      </c>
      <c r="U417" s="30">
        <v>0</v>
      </c>
      <c r="V417" s="30">
        <v>0</v>
      </c>
      <c r="W417" s="30">
        <v>0</v>
      </c>
      <c r="X417" s="30">
        <v>0</v>
      </c>
      <c r="Y417" s="30">
        <f>Z417+AA417+AB417+AC417</f>
        <v>2.3982E-2</v>
      </c>
      <c r="Z417" s="30">
        <v>2.3982E-2</v>
      </c>
      <c r="AA417" s="30">
        <v>0</v>
      </c>
      <c r="AB417" s="30">
        <v>0</v>
      </c>
      <c r="AC417" s="34">
        <v>0</v>
      </c>
      <c r="AD417" s="36">
        <f t="shared" si="329"/>
        <v>0</v>
      </c>
      <c r="AE417" s="36">
        <f t="shared" si="286"/>
        <v>0</v>
      </c>
      <c r="AF417" s="36">
        <f t="shared" si="286"/>
        <v>0</v>
      </c>
      <c r="AG417" s="36">
        <f t="shared" si="286"/>
        <v>0</v>
      </c>
      <c r="AH417" s="36">
        <f t="shared" si="284"/>
        <v>0</v>
      </c>
      <c r="AI417" s="36">
        <f t="shared" si="284"/>
        <v>0</v>
      </c>
      <c r="AJ417" s="36">
        <f t="shared" si="282"/>
        <v>0</v>
      </c>
      <c r="AK417" s="36">
        <v>0</v>
      </c>
      <c r="AL417" s="36">
        <v>0</v>
      </c>
      <c r="AM417" s="36">
        <v>0</v>
      </c>
      <c r="AN417" s="36">
        <v>0</v>
      </c>
      <c r="AO417" s="34">
        <f t="shared" si="326"/>
        <v>0</v>
      </c>
      <c r="AP417" s="34">
        <v>0</v>
      </c>
      <c r="AQ417" s="34">
        <v>0</v>
      </c>
      <c r="AR417" s="34">
        <v>0</v>
      </c>
      <c r="AS417" s="34">
        <v>0</v>
      </c>
      <c r="AT417" s="34">
        <f>AU417+AV417+AW417+AX417</f>
        <v>0</v>
      </c>
      <c r="AU417" s="34">
        <v>0</v>
      </c>
      <c r="AV417" s="34">
        <v>0</v>
      </c>
      <c r="AW417" s="34">
        <v>0</v>
      </c>
      <c r="AX417" s="34">
        <v>0</v>
      </c>
      <c r="AY417" s="34">
        <f>AZ417+BA417+BB417+BC417</f>
        <v>0</v>
      </c>
      <c r="AZ417" s="34">
        <v>0</v>
      </c>
      <c r="BA417" s="34">
        <v>0</v>
      </c>
      <c r="BB417" s="34">
        <v>0</v>
      </c>
      <c r="BC417" s="34">
        <v>0</v>
      </c>
    </row>
    <row r="418" spans="1:55" s="55" customFormat="1" ht="36.75" customHeight="1" x14ac:dyDescent="0.25">
      <c r="A418" s="115" t="s">
        <v>66</v>
      </c>
      <c r="B418" s="96" t="s">
        <v>371</v>
      </c>
      <c r="C418" s="116" t="s">
        <v>829</v>
      </c>
      <c r="D418" s="88">
        <v>0</v>
      </c>
      <c r="E418" s="29">
        <f t="shared" si="285"/>
        <v>0.11237787600000002</v>
      </c>
      <c r="F418" s="29">
        <f t="shared" si="285"/>
        <v>7.7340648000000012E-2</v>
      </c>
      <c r="G418" s="29">
        <f t="shared" si="285"/>
        <v>3.5037227999999997E-2</v>
      </c>
      <c r="H418" s="29">
        <f t="shared" si="283"/>
        <v>0</v>
      </c>
      <c r="I418" s="29">
        <f t="shared" si="283"/>
        <v>0</v>
      </c>
      <c r="J418" s="29">
        <f t="shared" si="324"/>
        <v>0.10787787600000001</v>
      </c>
      <c r="K418" s="29">
        <v>7.2840648000000008E-2</v>
      </c>
      <c r="L418" s="29">
        <v>3.5037227999999997E-2</v>
      </c>
      <c r="M418" s="29">
        <v>0</v>
      </c>
      <c r="N418" s="29">
        <v>0</v>
      </c>
      <c r="O418" s="29">
        <f t="shared" si="325"/>
        <v>0</v>
      </c>
      <c r="P418" s="29">
        <v>0</v>
      </c>
      <c r="Q418" s="29">
        <v>0</v>
      </c>
      <c r="R418" s="29">
        <v>0</v>
      </c>
      <c r="S418" s="29">
        <v>0</v>
      </c>
      <c r="T418" s="30">
        <f t="shared" ref="T418:T443" si="330">U418+V418+W418+X418</f>
        <v>4.4999999999999997E-3</v>
      </c>
      <c r="U418" s="30">
        <v>4.4999999999999997E-3</v>
      </c>
      <c r="V418" s="30">
        <v>0</v>
      </c>
      <c r="W418" s="30">
        <v>0</v>
      </c>
      <c r="X418" s="30">
        <v>0</v>
      </c>
      <c r="Y418" s="30">
        <f t="shared" ref="Y418:Y443" si="331">Z418+AA418+AB418+AC418</f>
        <v>0</v>
      </c>
      <c r="Z418" s="30">
        <v>0</v>
      </c>
      <c r="AA418" s="30">
        <v>0</v>
      </c>
      <c r="AB418" s="30">
        <v>0</v>
      </c>
      <c r="AC418" s="34">
        <v>0</v>
      </c>
      <c r="AD418" s="36">
        <f t="shared" si="329"/>
        <v>0</v>
      </c>
      <c r="AE418" s="36">
        <f t="shared" si="286"/>
        <v>0</v>
      </c>
      <c r="AF418" s="36">
        <f t="shared" si="286"/>
        <v>0</v>
      </c>
      <c r="AG418" s="36">
        <f t="shared" si="286"/>
        <v>0</v>
      </c>
      <c r="AH418" s="36">
        <f t="shared" si="284"/>
        <v>0</v>
      </c>
      <c r="AI418" s="36">
        <f t="shared" si="284"/>
        <v>0</v>
      </c>
      <c r="AJ418" s="36">
        <f t="shared" si="282"/>
        <v>0</v>
      </c>
      <c r="AK418" s="36">
        <v>0</v>
      </c>
      <c r="AL418" s="36">
        <v>0</v>
      </c>
      <c r="AM418" s="36">
        <v>0</v>
      </c>
      <c r="AN418" s="36">
        <v>0</v>
      </c>
      <c r="AO418" s="34">
        <f t="shared" si="326"/>
        <v>0</v>
      </c>
      <c r="AP418" s="34">
        <v>0</v>
      </c>
      <c r="AQ418" s="34">
        <v>0</v>
      </c>
      <c r="AR418" s="34">
        <v>0</v>
      </c>
      <c r="AS418" s="34">
        <v>0</v>
      </c>
      <c r="AT418" s="34">
        <f t="shared" ref="AT418:AT443" si="332">AU418+AV418+AW418+AX418</f>
        <v>0</v>
      </c>
      <c r="AU418" s="34">
        <v>0</v>
      </c>
      <c r="AV418" s="34">
        <v>0</v>
      </c>
      <c r="AW418" s="34">
        <v>0</v>
      </c>
      <c r="AX418" s="34">
        <v>0</v>
      </c>
      <c r="AY418" s="34">
        <f t="shared" ref="AY418:AY443" si="333">AZ418+BA418+BB418+BC418</f>
        <v>0</v>
      </c>
      <c r="AZ418" s="34">
        <v>0</v>
      </c>
      <c r="BA418" s="34">
        <v>0</v>
      </c>
      <c r="BB418" s="34">
        <v>0</v>
      </c>
      <c r="BC418" s="34">
        <v>0</v>
      </c>
    </row>
    <row r="419" spans="1:55" s="55" customFormat="1" ht="36.75" customHeight="1" x14ac:dyDescent="0.25">
      <c r="A419" s="115" t="s">
        <v>66</v>
      </c>
      <c r="B419" s="96" t="s">
        <v>372</v>
      </c>
      <c r="C419" s="116" t="s">
        <v>830</v>
      </c>
      <c r="D419" s="88">
        <v>0</v>
      </c>
      <c r="E419" s="29">
        <f t="shared" si="285"/>
        <v>5.6492472000000002E-2</v>
      </c>
      <c r="F419" s="29">
        <f t="shared" si="285"/>
        <v>2.8416432000000002E-2</v>
      </c>
      <c r="G419" s="29">
        <f t="shared" si="285"/>
        <v>2.807604E-2</v>
      </c>
      <c r="H419" s="29">
        <f t="shared" si="283"/>
        <v>0</v>
      </c>
      <c r="I419" s="29">
        <f t="shared" si="283"/>
        <v>0</v>
      </c>
      <c r="J419" s="29">
        <f t="shared" si="324"/>
        <v>5.6492472000000002E-2</v>
      </c>
      <c r="K419" s="29">
        <v>2.8416432000000002E-2</v>
      </c>
      <c r="L419" s="29">
        <v>2.807604E-2</v>
      </c>
      <c r="M419" s="29">
        <v>0</v>
      </c>
      <c r="N419" s="29">
        <v>0</v>
      </c>
      <c r="O419" s="29">
        <f t="shared" si="325"/>
        <v>0</v>
      </c>
      <c r="P419" s="29">
        <v>0</v>
      </c>
      <c r="Q419" s="29">
        <v>0</v>
      </c>
      <c r="R419" s="29">
        <v>0</v>
      </c>
      <c r="S419" s="29">
        <v>0</v>
      </c>
      <c r="T419" s="30">
        <f t="shared" si="330"/>
        <v>0</v>
      </c>
      <c r="U419" s="30">
        <v>0</v>
      </c>
      <c r="V419" s="30">
        <v>0</v>
      </c>
      <c r="W419" s="30">
        <v>0</v>
      </c>
      <c r="X419" s="30">
        <v>0</v>
      </c>
      <c r="Y419" s="30">
        <f t="shared" si="331"/>
        <v>0</v>
      </c>
      <c r="Z419" s="30">
        <v>0</v>
      </c>
      <c r="AA419" s="30">
        <v>0</v>
      </c>
      <c r="AB419" s="30">
        <v>0</v>
      </c>
      <c r="AC419" s="34">
        <v>0</v>
      </c>
      <c r="AD419" s="36">
        <f t="shared" si="329"/>
        <v>0</v>
      </c>
      <c r="AE419" s="36">
        <f t="shared" si="286"/>
        <v>0</v>
      </c>
      <c r="AF419" s="36">
        <f t="shared" si="286"/>
        <v>0</v>
      </c>
      <c r="AG419" s="36">
        <f t="shared" si="286"/>
        <v>0</v>
      </c>
      <c r="AH419" s="36">
        <f t="shared" si="284"/>
        <v>0</v>
      </c>
      <c r="AI419" s="36">
        <f t="shared" si="284"/>
        <v>0</v>
      </c>
      <c r="AJ419" s="36">
        <f t="shared" si="282"/>
        <v>0</v>
      </c>
      <c r="AK419" s="36">
        <v>0</v>
      </c>
      <c r="AL419" s="36">
        <v>0</v>
      </c>
      <c r="AM419" s="36">
        <v>0</v>
      </c>
      <c r="AN419" s="36">
        <v>0</v>
      </c>
      <c r="AO419" s="34">
        <f t="shared" si="326"/>
        <v>0</v>
      </c>
      <c r="AP419" s="34">
        <v>0</v>
      </c>
      <c r="AQ419" s="34">
        <v>0</v>
      </c>
      <c r="AR419" s="34">
        <v>0</v>
      </c>
      <c r="AS419" s="34">
        <v>0</v>
      </c>
      <c r="AT419" s="34">
        <f t="shared" si="332"/>
        <v>0</v>
      </c>
      <c r="AU419" s="34">
        <v>0</v>
      </c>
      <c r="AV419" s="34">
        <v>0</v>
      </c>
      <c r="AW419" s="34">
        <v>0</v>
      </c>
      <c r="AX419" s="34">
        <v>0</v>
      </c>
      <c r="AY419" s="34">
        <f t="shared" si="333"/>
        <v>0</v>
      </c>
      <c r="AZ419" s="34">
        <v>0</v>
      </c>
      <c r="BA419" s="34">
        <v>0</v>
      </c>
      <c r="BB419" s="34">
        <v>0</v>
      </c>
      <c r="BC419" s="34">
        <v>0</v>
      </c>
    </row>
    <row r="420" spans="1:55" s="55" customFormat="1" ht="36.75" customHeight="1" x14ac:dyDescent="0.25">
      <c r="A420" s="115" t="s">
        <v>66</v>
      </c>
      <c r="B420" s="96" t="s">
        <v>373</v>
      </c>
      <c r="C420" s="116" t="s">
        <v>831</v>
      </c>
      <c r="D420" s="88">
        <v>0</v>
      </c>
      <c r="E420" s="29">
        <f t="shared" si="285"/>
        <v>6.1186871999999989E-2</v>
      </c>
      <c r="F420" s="29">
        <f t="shared" si="285"/>
        <v>3.3110832E-2</v>
      </c>
      <c r="G420" s="29">
        <f t="shared" si="285"/>
        <v>2.807604E-2</v>
      </c>
      <c r="H420" s="29">
        <f t="shared" si="283"/>
        <v>0</v>
      </c>
      <c r="I420" s="29">
        <f t="shared" si="283"/>
        <v>0</v>
      </c>
      <c r="J420" s="29">
        <f t="shared" si="324"/>
        <v>5.1785639999999994E-2</v>
      </c>
      <c r="K420" s="29">
        <v>2.3709599999999997E-2</v>
      </c>
      <c r="L420" s="29">
        <v>2.807604E-2</v>
      </c>
      <c r="M420" s="29">
        <v>0</v>
      </c>
      <c r="N420" s="29">
        <v>0</v>
      </c>
      <c r="O420" s="29">
        <f t="shared" si="325"/>
        <v>3.4012319999999997E-3</v>
      </c>
      <c r="P420" s="29">
        <v>3.4012319999999997E-3</v>
      </c>
      <c r="Q420" s="29">
        <v>0</v>
      </c>
      <c r="R420" s="29">
        <v>0</v>
      </c>
      <c r="S420" s="29">
        <v>0</v>
      </c>
      <c r="T420" s="30">
        <f t="shared" si="330"/>
        <v>0</v>
      </c>
      <c r="U420" s="30">
        <v>0</v>
      </c>
      <c r="V420" s="30">
        <v>0</v>
      </c>
      <c r="W420" s="30">
        <v>0</v>
      </c>
      <c r="X420" s="30">
        <v>0</v>
      </c>
      <c r="Y420" s="30">
        <f t="shared" si="331"/>
        <v>6.0000000000000001E-3</v>
      </c>
      <c r="Z420" s="30">
        <v>6.0000000000000001E-3</v>
      </c>
      <c r="AA420" s="30">
        <v>0</v>
      </c>
      <c r="AB420" s="30">
        <v>0</v>
      </c>
      <c r="AC420" s="34">
        <v>0</v>
      </c>
      <c r="AD420" s="36">
        <f t="shared" si="329"/>
        <v>0</v>
      </c>
      <c r="AE420" s="36">
        <f t="shared" si="286"/>
        <v>0</v>
      </c>
      <c r="AF420" s="36">
        <f t="shared" si="286"/>
        <v>0</v>
      </c>
      <c r="AG420" s="36">
        <f t="shared" si="286"/>
        <v>0</v>
      </c>
      <c r="AH420" s="36">
        <f t="shared" si="284"/>
        <v>0</v>
      </c>
      <c r="AI420" s="36">
        <f t="shared" si="284"/>
        <v>0</v>
      </c>
      <c r="AJ420" s="36">
        <f t="shared" si="282"/>
        <v>0</v>
      </c>
      <c r="AK420" s="36">
        <v>0</v>
      </c>
      <c r="AL420" s="36">
        <v>0</v>
      </c>
      <c r="AM420" s="36">
        <v>0</v>
      </c>
      <c r="AN420" s="36">
        <v>0</v>
      </c>
      <c r="AO420" s="34">
        <f t="shared" si="326"/>
        <v>0</v>
      </c>
      <c r="AP420" s="34">
        <v>0</v>
      </c>
      <c r="AQ420" s="34">
        <v>0</v>
      </c>
      <c r="AR420" s="34">
        <v>0</v>
      </c>
      <c r="AS420" s="34">
        <v>0</v>
      </c>
      <c r="AT420" s="34">
        <f t="shared" si="332"/>
        <v>0</v>
      </c>
      <c r="AU420" s="34">
        <v>0</v>
      </c>
      <c r="AV420" s="34">
        <v>0</v>
      </c>
      <c r="AW420" s="34">
        <v>0</v>
      </c>
      <c r="AX420" s="34">
        <v>0</v>
      </c>
      <c r="AY420" s="34">
        <f t="shared" si="333"/>
        <v>0</v>
      </c>
      <c r="AZ420" s="34">
        <v>0</v>
      </c>
      <c r="BA420" s="34">
        <v>0</v>
      </c>
      <c r="BB420" s="34">
        <v>0</v>
      </c>
      <c r="BC420" s="34">
        <v>0</v>
      </c>
    </row>
    <row r="421" spans="1:55" s="55" customFormat="1" ht="36.75" customHeight="1" x14ac:dyDescent="0.25">
      <c r="A421" s="115" t="s">
        <v>66</v>
      </c>
      <c r="B421" s="96" t="s">
        <v>664</v>
      </c>
      <c r="C421" s="116" t="s">
        <v>832</v>
      </c>
      <c r="D421" s="88">
        <v>0</v>
      </c>
      <c r="E421" s="29">
        <f t="shared" si="285"/>
        <v>0.14518731599999998</v>
      </c>
      <c r="F421" s="29">
        <f t="shared" si="285"/>
        <v>2.9212319999999997E-3</v>
      </c>
      <c r="G421" s="29">
        <f t="shared" si="285"/>
        <v>8.0444795999999985E-2</v>
      </c>
      <c r="H421" s="29">
        <f t="shared" si="283"/>
        <v>6.1821288000000002E-2</v>
      </c>
      <c r="I421" s="29">
        <f t="shared" si="283"/>
        <v>0</v>
      </c>
      <c r="J421" s="29">
        <f t="shared" si="324"/>
        <v>2.9212319999999997E-3</v>
      </c>
      <c r="K421" s="29">
        <v>2.9212319999999997E-3</v>
      </c>
      <c r="L421" s="29">
        <v>0</v>
      </c>
      <c r="M421" s="29">
        <v>0</v>
      </c>
      <c r="N421" s="29">
        <v>0</v>
      </c>
      <c r="O421" s="29">
        <f t="shared" si="325"/>
        <v>0</v>
      </c>
      <c r="P421" s="29">
        <v>0</v>
      </c>
      <c r="Q421" s="29">
        <v>0</v>
      </c>
      <c r="R421" s="29">
        <v>0</v>
      </c>
      <c r="S421" s="29">
        <v>0</v>
      </c>
      <c r="T421" s="30">
        <f t="shared" si="330"/>
        <v>0.14226608399999999</v>
      </c>
      <c r="U421" s="30">
        <v>0</v>
      </c>
      <c r="V421" s="30">
        <v>8.0444795999999985E-2</v>
      </c>
      <c r="W421" s="30">
        <v>6.1821288000000002E-2</v>
      </c>
      <c r="X421" s="30">
        <v>0</v>
      </c>
      <c r="Y421" s="30">
        <f t="shared" si="331"/>
        <v>0</v>
      </c>
      <c r="Z421" s="30">
        <v>0</v>
      </c>
      <c r="AA421" s="30">
        <v>0</v>
      </c>
      <c r="AB421" s="30">
        <v>0</v>
      </c>
      <c r="AC421" s="34">
        <v>0</v>
      </c>
      <c r="AD421" s="36">
        <f t="shared" si="329"/>
        <v>0</v>
      </c>
      <c r="AE421" s="36">
        <f t="shared" si="286"/>
        <v>0.11855507</v>
      </c>
      <c r="AF421" s="36">
        <f t="shared" si="286"/>
        <v>0</v>
      </c>
      <c r="AG421" s="36">
        <f t="shared" si="286"/>
        <v>6.7037329999999992E-2</v>
      </c>
      <c r="AH421" s="36">
        <f t="shared" si="284"/>
        <v>5.1517740000000006E-2</v>
      </c>
      <c r="AI421" s="36">
        <f t="shared" si="284"/>
        <v>0</v>
      </c>
      <c r="AJ421" s="36">
        <f t="shared" si="282"/>
        <v>0</v>
      </c>
      <c r="AK421" s="36">
        <v>0</v>
      </c>
      <c r="AL421" s="36">
        <v>0</v>
      </c>
      <c r="AM421" s="36">
        <v>0</v>
      </c>
      <c r="AN421" s="36">
        <v>0</v>
      </c>
      <c r="AO421" s="34">
        <f t="shared" si="326"/>
        <v>0</v>
      </c>
      <c r="AP421" s="34">
        <v>0</v>
      </c>
      <c r="AQ421" s="34">
        <v>0</v>
      </c>
      <c r="AR421" s="34">
        <v>0</v>
      </c>
      <c r="AS421" s="34">
        <v>0</v>
      </c>
      <c r="AT421" s="34">
        <f t="shared" si="332"/>
        <v>0.11855507</v>
      </c>
      <c r="AU421" s="34">
        <v>0</v>
      </c>
      <c r="AV421" s="34">
        <v>6.7037329999999992E-2</v>
      </c>
      <c r="AW421" s="34">
        <v>5.1517740000000006E-2</v>
      </c>
      <c r="AX421" s="34">
        <v>0</v>
      </c>
      <c r="AY421" s="34">
        <f t="shared" si="333"/>
        <v>0</v>
      </c>
      <c r="AZ421" s="34">
        <v>0</v>
      </c>
      <c r="BA421" s="34">
        <v>0</v>
      </c>
      <c r="BB421" s="34">
        <v>0</v>
      </c>
      <c r="BC421" s="34">
        <v>0</v>
      </c>
    </row>
    <row r="422" spans="1:55" s="55" customFormat="1" ht="36.75" customHeight="1" x14ac:dyDescent="0.25">
      <c r="A422" s="115" t="s">
        <v>66</v>
      </c>
      <c r="B422" s="96" t="s">
        <v>663</v>
      </c>
      <c r="C422" s="116" t="s">
        <v>833</v>
      </c>
      <c r="D422" s="88">
        <v>0</v>
      </c>
      <c r="E422" s="29">
        <f t="shared" si="285"/>
        <v>8.1973752000000011E-2</v>
      </c>
      <c r="F422" s="29">
        <f t="shared" si="285"/>
        <v>2.0705999999999999E-2</v>
      </c>
      <c r="G422" s="29">
        <f t="shared" si="285"/>
        <v>3.9932231999999998E-2</v>
      </c>
      <c r="H422" s="29">
        <f t="shared" si="283"/>
        <v>2.133552E-2</v>
      </c>
      <c r="I422" s="29">
        <f t="shared" si="283"/>
        <v>0</v>
      </c>
      <c r="J422" s="29">
        <f t="shared" si="324"/>
        <v>0</v>
      </c>
      <c r="K422" s="29">
        <v>0</v>
      </c>
      <c r="L422" s="29">
        <v>0</v>
      </c>
      <c r="M422" s="29">
        <v>0</v>
      </c>
      <c r="N422" s="29">
        <v>0</v>
      </c>
      <c r="O422" s="29">
        <f>P422+Q422+R422+S422</f>
        <v>4.6382316E-2</v>
      </c>
      <c r="P422" s="29">
        <v>2.0705999999999999E-2</v>
      </c>
      <c r="Q422" s="29">
        <v>2.5676316000000001E-2</v>
      </c>
      <c r="R422" s="29">
        <v>0</v>
      </c>
      <c r="S422" s="29">
        <v>0</v>
      </c>
      <c r="T422" s="30">
        <f t="shared" si="330"/>
        <v>3.5591436000000004E-2</v>
      </c>
      <c r="U422" s="30">
        <v>0</v>
      </c>
      <c r="V422" s="30">
        <v>1.4255916E-2</v>
      </c>
      <c r="W422" s="30">
        <v>2.133552E-2</v>
      </c>
      <c r="X422" s="30">
        <v>0</v>
      </c>
      <c r="Y422" s="30">
        <f t="shared" si="331"/>
        <v>0</v>
      </c>
      <c r="Z422" s="30">
        <v>0</v>
      </c>
      <c r="AA422" s="30">
        <v>0</v>
      </c>
      <c r="AB422" s="30">
        <v>0</v>
      </c>
      <c r="AC422" s="34">
        <v>0</v>
      </c>
      <c r="AD422" s="36">
        <f t="shared" si="329"/>
        <v>0</v>
      </c>
      <c r="AE422" s="36">
        <f t="shared" si="286"/>
        <v>2.965953E-2</v>
      </c>
      <c r="AF422" s="36">
        <f t="shared" si="286"/>
        <v>0</v>
      </c>
      <c r="AG422" s="36">
        <f t="shared" si="286"/>
        <v>1.187993E-2</v>
      </c>
      <c r="AH422" s="36">
        <f t="shared" si="284"/>
        <v>1.77796E-2</v>
      </c>
      <c r="AI422" s="36">
        <f t="shared" si="284"/>
        <v>0</v>
      </c>
      <c r="AJ422" s="36">
        <f t="shared" si="282"/>
        <v>0</v>
      </c>
      <c r="AK422" s="36">
        <v>0</v>
      </c>
      <c r="AL422" s="36">
        <v>0</v>
      </c>
      <c r="AM422" s="36">
        <v>0</v>
      </c>
      <c r="AN422" s="36">
        <v>0</v>
      </c>
      <c r="AO422" s="34">
        <f t="shared" si="326"/>
        <v>0</v>
      </c>
      <c r="AP422" s="34">
        <v>0</v>
      </c>
      <c r="AQ422" s="34">
        <v>0</v>
      </c>
      <c r="AR422" s="34">
        <v>0</v>
      </c>
      <c r="AS422" s="34">
        <v>0</v>
      </c>
      <c r="AT422" s="34">
        <f t="shared" si="332"/>
        <v>2.965953E-2</v>
      </c>
      <c r="AU422" s="34">
        <v>0</v>
      </c>
      <c r="AV422" s="34">
        <v>1.187993E-2</v>
      </c>
      <c r="AW422" s="34">
        <v>1.77796E-2</v>
      </c>
      <c r="AX422" s="34">
        <v>0</v>
      </c>
      <c r="AY422" s="34">
        <f t="shared" si="333"/>
        <v>0</v>
      </c>
      <c r="AZ422" s="34">
        <v>0</v>
      </c>
      <c r="BA422" s="34">
        <v>0</v>
      </c>
      <c r="BB422" s="34">
        <v>0</v>
      </c>
      <c r="BC422" s="34">
        <v>0</v>
      </c>
    </row>
    <row r="423" spans="1:55" s="55" customFormat="1" ht="36.75" customHeight="1" x14ac:dyDescent="0.25">
      <c r="A423" s="115" t="s">
        <v>66</v>
      </c>
      <c r="B423" s="96" t="s">
        <v>568</v>
      </c>
      <c r="C423" s="116" t="s">
        <v>834</v>
      </c>
      <c r="D423" s="88">
        <v>0</v>
      </c>
      <c r="E423" s="29">
        <f t="shared" si="285"/>
        <v>5.3022827999999994E-2</v>
      </c>
      <c r="F423" s="29">
        <f t="shared" si="285"/>
        <v>0</v>
      </c>
      <c r="G423" s="29">
        <f t="shared" si="285"/>
        <v>2.1715703999999999E-2</v>
      </c>
      <c r="H423" s="29">
        <f t="shared" si="283"/>
        <v>3.1307123999999999E-2</v>
      </c>
      <c r="I423" s="29">
        <f t="shared" si="283"/>
        <v>0</v>
      </c>
      <c r="J423" s="29">
        <f t="shared" si="324"/>
        <v>0</v>
      </c>
      <c r="K423" s="29">
        <v>0</v>
      </c>
      <c r="L423" s="29">
        <v>0</v>
      </c>
      <c r="M423" s="29">
        <v>0</v>
      </c>
      <c r="N423" s="29">
        <v>0</v>
      </c>
      <c r="O423" s="29">
        <f t="shared" si="325"/>
        <v>5.3022827999999994E-2</v>
      </c>
      <c r="P423" s="29">
        <v>0</v>
      </c>
      <c r="Q423" s="29">
        <v>2.1715703999999999E-2</v>
      </c>
      <c r="R423" s="29">
        <v>3.1307123999999999E-2</v>
      </c>
      <c r="S423" s="29">
        <v>0</v>
      </c>
      <c r="T423" s="30">
        <f t="shared" si="330"/>
        <v>0</v>
      </c>
      <c r="U423" s="30">
        <v>0</v>
      </c>
      <c r="V423" s="30">
        <v>0</v>
      </c>
      <c r="W423" s="30">
        <v>0</v>
      </c>
      <c r="X423" s="30">
        <v>0</v>
      </c>
      <c r="Y423" s="30">
        <f t="shared" si="331"/>
        <v>0</v>
      </c>
      <c r="Z423" s="30">
        <v>0</v>
      </c>
      <c r="AA423" s="30">
        <v>0</v>
      </c>
      <c r="AB423" s="30">
        <v>0</v>
      </c>
      <c r="AC423" s="34">
        <v>0</v>
      </c>
      <c r="AD423" s="36">
        <f t="shared" si="329"/>
        <v>0</v>
      </c>
      <c r="AE423" s="36">
        <f t="shared" si="286"/>
        <v>4.418569E-2</v>
      </c>
      <c r="AF423" s="36">
        <f t="shared" si="286"/>
        <v>0</v>
      </c>
      <c r="AG423" s="36">
        <f t="shared" si="286"/>
        <v>1.8096419999999998E-2</v>
      </c>
      <c r="AH423" s="36">
        <f t="shared" si="284"/>
        <v>2.6089270000000001E-2</v>
      </c>
      <c r="AI423" s="36">
        <f t="shared" si="284"/>
        <v>0</v>
      </c>
      <c r="AJ423" s="36">
        <f t="shared" si="282"/>
        <v>0</v>
      </c>
      <c r="AK423" s="36">
        <v>0</v>
      </c>
      <c r="AL423" s="36">
        <v>0</v>
      </c>
      <c r="AM423" s="36">
        <v>0</v>
      </c>
      <c r="AN423" s="36">
        <v>0</v>
      </c>
      <c r="AO423" s="34">
        <f t="shared" si="326"/>
        <v>4.418569E-2</v>
      </c>
      <c r="AP423" s="34">
        <v>0</v>
      </c>
      <c r="AQ423" s="34">
        <f>0.021715704/1.2</f>
        <v>1.8096419999999998E-2</v>
      </c>
      <c r="AR423" s="34">
        <f>0.031307124/1.2</f>
        <v>2.6089270000000001E-2</v>
      </c>
      <c r="AS423" s="34">
        <v>0</v>
      </c>
      <c r="AT423" s="34">
        <f t="shared" si="332"/>
        <v>0</v>
      </c>
      <c r="AU423" s="34">
        <v>0</v>
      </c>
      <c r="AV423" s="34">
        <v>0</v>
      </c>
      <c r="AW423" s="34">
        <v>0</v>
      </c>
      <c r="AX423" s="34">
        <v>0</v>
      </c>
      <c r="AY423" s="34">
        <f t="shared" si="333"/>
        <v>0</v>
      </c>
      <c r="AZ423" s="34">
        <v>0</v>
      </c>
      <c r="BA423" s="34">
        <v>0</v>
      </c>
      <c r="BB423" s="34">
        <v>0</v>
      </c>
      <c r="BC423" s="34">
        <v>0</v>
      </c>
    </row>
    <row r="424" spans="1:55" s="55" customFormat="1" ht="42.75" customHeight="1" x14ac:dyDescent="0.25">
      <c r="A424" s="115" t="s">
        <v>66</v>
      </c>
      <c r="B424" s="96" t="s">
        <v>569</v>
      </c>
      <c r="C424" s="116" t="s">
        <v>835</v>
      </c>
      <c r="D424" s="88">
        <v>0</v>
      </c>
      <c r="E424" s="29">
        <f t="shared" si="285"/>
        <v>0.1693326</v>
      </c>
      <c r="F424" s="29">
        <f t="shared" si="285"/>
        <v>0</v>
      </c>
      <c r="G424" s="29">
        <f t="shared" si="285"/>
        <v>7.5398315999999993E-2</v>
      </c>
      <c r="H424" s="29">
        <f t="shared" si="283"/>
        <v>9.3934284000000007E-2</v>
      </c>
      <c r="I424" s="29">
        <f t="shared" si="283"/>
        <v>0</v>
      </c>
      <c r="J424" s="29">
        <f t="shared" si="324"/>
        <v>0</v>
      </c>
      <c r="K424" s="29">
        <v>0</v>
      </c>
      <c r="L424" s="29">
        <v>0</v>
      </c>
      <c r="M424" s="29">
        <v>0</v>
      </c>
      <c r="N424" s="29">
        <v>0</v>
      </c>
      <c r="O424" s="29">
        <f t="shared" si="325"/>
        <v>0.1693326</v>
      </c>
      <c r="P424" s="29">
        <v>0</v>
      </c>
      <c r="Q424" s="29">
        <v>7.5398315999999993E-2</v>
      </c>
      <c r="R424" s="29">
        <v>9.3934284000000007E-2</v>
      </c>
      <c r="S424" s="29">
        <v>0</v>
      </c>
      <c r="T424" s="30">
        <f t="shared" si="330"/>
        <v>0</v>
      </c>
      <c r="U424" s="30">
        <v>0</v>
      </c>
      <c r="V424" s="30">
        <v>0</v>
      </c>
      <c r="W424" s="30">
        <v>0</v>
      </c>
      <c r="X424" s="30">
        <v>0</v>
      </c>
      <c r="Y424" s="30">
        <f t="shared" si="331"/>
        <v>0</v>
      </c>
      <c r="Z424" s="30">
        <v>0</v>
      </c>
      <c r="AA424" s="30">
        <v>0</v>
      </c>
      <c r="AB424" s="30">
        <v>0</v>
      </c>
      <c r="AC424" s="34">
        <v>0</v>
      </c>
      <c r="AD424" s="36">
        <f t="shared" si="329"/>
        <v>0</v>
      </c>
      <c r="AE424" s="36">
        <f t="shared" si="286"/>
        <v>0.14111050000000003</v>
      </c>
      <c r="AF424" s="36">
        <f t="shared" si="286"/>
        <v>0</v>
      </c>
      <c r="AG424" s="36">
        <f t="shared" si="286"/>
        <v>6.2831930000000008E-2</v>
      </c>
      <c r="AH424" s="36">
        <f t="shared" si="284"/>
        <v>7.8278570000000006E-2</v>
      </c>
      <c r="AI424" s="36">
        <f t="shared" si="284"/>
        <v>0</v>
      </c>
      <c r="AJ424" s="36">
        <f t="shared" si="282"/>
        <v>0</v>
      </c>
      <c r="AK424" s="36">
        <v>0</v>
      </c>
      <c r="AL424" s="36">
        <v>0</v>
      </c>
      <c r="AM424" s="36">
        <v>0</v>
      </c>
      <c r="AN424" s="36">
        <v>0</v>
      </c>
      <c r="AO424" s="34">
        <f t="shared" si="326"/>
        <v>0.14111050000000003</v>
      </c>
      <c r="AP424" s="34">
        <v>0</v>
      </c>
      <c r="AQ424" s="34">
        <f>0.075398316/1.2</f>
        <v>6.2831930000000008E-2</v>
      </c>
      <c r="AR424" s="34">
        <f>0.093934284/1.2</f>
        <v>7.8278570000000006E-2</v>
      </c>
      <c r="AS424" s="34">
        <v>0</v>
      </c>
      <c r="AT424" s="34">
        <f t="shared" si="332"/>
        <v>0</v>
      </c>
      <c r="AU424" s="34">
        <v>0</v>
      </c>
      <c r="AV424" s="34">
        <v>0</v>
      </c>
      <c r="AW424" s="34">
        <v>0</v>
      </c>
      <c r="AX424" s="34">
        <v>0</v>
      </c>
      <c r="AY424" s="34">
        <f t="shared" si="333"/>
        <v>0</v>
      </c>
      <c r="AZ424" s="34">
        <v>0</v>
      </c>
      <c r="BA424" s="34">
        <v>0</v>
      </c>
      <c r="BB424" s="34">
        <v>0</v>
      </c>
      <c r="BC424" s="34">
        <v>0</v>
      </c>
    </row>
    <row r="425" spans="1:55" s="55" customFormat="1" ht="36.75" customHeight="1" x14ac:dyDescent="0.25">
      <c r="A425" s="110" t="s">
        <v>66</v>
      </c>
      <c r="B425" s="96" t="s">
        <v>570</v>
      </c>
      <c r="C425" s="116" t="s">
        <v>836</v>
      </c>
      <c r="D425" s="88">
        <v>0</v>
      </c>
      <c r="E425" s="29">
        <f t="shared" si="285"/>
        <v>6.4918751999999996E-2</v>
      </c>
      <c r="F425" s="29">
        <f t="shared" si="285"/>
        <v>0</v>
      </c>
      <c r="G425" s="29">
        <f t="shared" si="285"/>
        <v>3.747234E-2</v>
      </c>
      <c r="H425" s="29">
        <f t="shared" si="283"/>
        <v>2.7446411999999996E-2</v>
      </c>
      <c r="I425" s="29">
        <f t="shared" si="283"/>
        <v>0</v>
      </c>
      <c r="J425" s="29">
        <f t="shared" si="324"/>
        <v>0</v>
      </c>
      <c r="K425" s="29">
        <v>0</v>
      </c>
      <c r="L425" s="29">
        <v>0</v>
      </c>
      <c r="M425" s="29">
        <v>0</v>
      </c>
      <c r="N425" s="29">
        <v>0</v>
      </c>
      <c r="O425" s="29">
        <f t="shared" si="325"/>
        <v>6.4918751999999996E-2</v>
      </c>
      <c r="P425" s="29">
        <v>0</v>
      </c>
      <c r="Q425" s="29">
        <v>3.747234E-2</v>
      </c>
      <c r="R425" s="29">
        <v>2.7446411999999996E-2</v>
      </c>
      <c r="S425" s="29">
        <v>0</v>
      </c>
      <c r="T425" s="30">
        <f t="shared" si="330"/>
        <v>0</v>
      </c>
      <c r="U425" s="30">
        <v>0</v>
      </c>
      <c r="V425" s="30">
        <v>0</v>
      </c>
      <c r="W425" s="30">
        <v>0</v>
      </c>
      <c r="X425" s="30">
        <v>0</v>
      </c>
      <c r="Y425" s="30">
        <f t="shared" si="331"/>
        <v>0</v>
      </c>
      <c r="Z425" s="30">
        <v>0</v>
      </c>
      <c r="AA425" s="30">
        <v>0</v>
      </c>
      <c r="AB425" s="30">
        <v>0</v>
      </c>
      <c r="AC425" s="34">
        <v>0</v>
      </c>
      <c r="AD425" s="36">
        <f t="shared" si="329"/>
        <v>0</v>
      </c>
      <c r="AE425" s="36">
        <f t="shared" si="286"/>
        <v>9.22761E-2</v>
      </c>
      <c r="AF425" s="36">
        <f t="shared" si="286"/>
        <v>1.8411359999999998E-2</v>
      </c>
      <c r="AG425" s="36">
        <f t="shared" si="286"/>
        <v>5.0992730000000007E-2</v>
      </c>
      <c r="AH425" s="36">
        <f t="shared" si="284"/>
        <v>2.2872010000000002E-2</v>
      </c>
      <c r="AI425" s="36">
        <f t="shared" si="284"/>
        <v>0</v>
      </c>
      <c r="AJ425" s="36">
        <f t="shared" si="282"/>
        <v>0</v>
      </c>
      <c r="AK425" s="36">
        <v>0</v>
      </c>
      <c r="AL425" s="36">
        <v>0</v>
      </c>
      <c r="AM425" s="36">
        <v>0</v>
      </c>
      <c r="AN425" s="36">
        <v>0</v>
      </c>
      <c r="AO425" s="34">
        <f t="shared" si="326"/>
        <v>9.22761E-2</v>
      </c>
      <c r="AP425" s="34">
        <f>0.022093632/1.2</f>
        <v>1.8411359999999998E-2</v>
      </c>
      <c r="AQ425" s="34">
        <f>0.061191276/1.2</f>
        <v>5.0992730000000007E-2</v>
      </c>
      <c r="AR425" s="34">
        <f>0.027446412/1.2</f>
        <v>2.2872010000000002E-2</v>
      </c>
      <c r="AS425" s="34">
        <v>0</v>
      </c>
      <c r="AT425" s="34">
        <f t="shared" si="332"/>
        <v>0</v>
      </c>
      <c r="AU425" s="34">
        <v>0</v>
      </c>
      <c r="AV425" s="34">
        <v>0</v>
      </c>
      <c r="AW425" s="34">
        <v>0</v>
      </c>
      <c r="AX425" s="34">
        <v>0</v>
      </c>
      <c r="AY425" s="34">
        <f t="shared" si="333"/>
        <v>0</v>
      </c>
      <c r="AZ425" s="34">
        <v>0</v>
      </c>
      <c r="BA425" s="34">
        <v>0</v>
      </c>
      <c r="BB425" s="34">
        <v>0</v>
      </c>
      <c r="BC425" s="34">
        <v>0</v>
      </c>
    </row>
    <row r="426" spans="1:55" s="55" customFormat="1" ht="36.75" customHeight="1" x14ac:dyDescent="0.25">
      <c r="A426" s="110" t="s">
        <v>66</v>
      </c>
      <c r="B426" s="96" t="s">
        <v>571</v>
      </c>
      <c r="C426" s="116" t="s">
        <v>837</v>
      </c>
      <c r="D426" s="88">
        <v>0</v>
      </c>
      <c r="E426" s="29">
        <f t="shared" si="285"/>
        <v>0.108826692</v>
      </c>
      <c r="F426" s="29">
        <f t="shared" si="285"/>
        <v>0</v>
      </c>
      <c r="G426" s="29">
        <f t="shared" si="285"/>
        <v>3.7141512000000002E-2</v>
      </c>
      <c r="H426" s="29">
        <f t="shared" si="283"/>
        <v>7.1685180000000001E-2</v>
      </c>
      <c r="I426" s="29">
        <f t="shared" si="283"/>
        <v>0</v>
      </c>
      <c r="J426" s="29">
        <f t="shared" si="324"/>
        <v>0</v>
      </c>
      <c r="K426" s="29">
        <v>0</v>
      </c>
      <c r="L426" s="29">
        <v>0</v>
      </c>
      <c r="M426" s="29">
        <v>0</v>
      </c>
      <c r="N426" s="29">
        <v>0</v>
      </c>
      <c r="O426" s="29">
        <f t="shared" si="325"/>
        <v>0.108826692</v>
      </c>
      <c r="P426" s="29">
        <v>0</v>
      </c>
      <c r="Q426" s="29">
        <v>3.7141512000000002E-2</v>
      </c>
      <c r="R426" s="29">
        <v>7.1685180000000001E-2</v>
      </c>
      <c r="S426" s="29">
        <v>0</v>
      </c>
      <c r="T426" s="30">
        <f t="shared" si="330"/>
        <v>0</v>
      </c>
      <c r="U426" s="30">
        <v>0</v>
      </c>
      <c r="V426" s="30">
        <v>0</v>
      </c>
      <c r="W426" s="30">
        <v>0</v>
      </c>
      <c r="X426" s="30">
        <v>0</v>
      </c>
      <c r="Y426" s="30">
        <f t="shared" si="331"/>
        <v>0</v>
      </c>
      <c r="Z426" s="30">
        <v>0</v>
      </c>
      <c r="AA426" s="30">
        <v>0</v>
      </c>
      <c r="AB426" s="30">
        <v>0</v>
      </c>
      <c r="AC426" s="34">
        <v>0</v>
      </c>
      <c r="AD426" s="36">
        <f t="shared" si="329"/>
        <v>0</v>
      </c>
      <c r="AE426" s="36">
        <f t="shared" si="286"/>
        <v>9.0688910000000011E-2</v>
      </c>
      <c r="AF426" s="36">
        <f t="shared" si="286"/>
        <v>0</v>
      </c>
      <c r="AG426" s="36">
        <f t="shared" si="286"/>
        <v>3.0951260000000001E-2</v>
      </c>
      <c r="AH426" s="36">
        <f t="shared" si="284"/>
        <v>5.9737650000000003E-2</v>
      </c>
      <c r="AI426" s="36">
        <f t="shared" si="284"/>
        <v>0</v>
      </c>
      <c r="AJ426" s="36">
        <f t="shared" si="282"/>
        <v>0</v>
      </c>
      <c r="AK426" s="36">
        <v>0</v>
      </c>
      <c r="AL426" s="36">
        <v>0</v>
      </c>
      <c r="AM426" s="36">
        <v>0</v>
      </c>
      <c r="AN426" s="36">
        <v>0</v>
      </c>
      <c r="AO426" s="34">
        <f t="shared" si="326"/>
        <v>9.0688910000000011E-2</v>
      </c>
      <c r="AP426" s="34">
        <v>0</v>
      </c>
      <c r="AQ426" s="34">
        <f>0.037141512/1.2</f>
        <v>3.0951260000000001E-2</v>
      </c>
      <c r="AR426" s="34">
        <f>0.07168518/1.2</f>
        <v>5.9737650000000003E-2</v>
      </c>
      <c r="AS426" s="34">
        <v>0</v>
      </c>
      <c r="AT426" s="34">
        <f t="shared" si="332"/>
        <v>0</v>
      </c>
      <c r="AU426" s="34">
        <v>0</v>
      </c>
      <c r="AV426" s="34">
        <v>0</v>
      </c>
      <c r="AW426" s="34">
        <v>0</v>
      </c>
      <c r="AX426" s="34">
        <v>0</v>
      </c>
      <c r="AY426" s="34">
        <f t="shared" si="333"/>
        <v>0</v>
      </c>
      <c r="AZ426" s="34">
        <v>0</v>
      </c>
      <c r="BA426" s="34">
        <v>0</v>
      </c>
      <c r="BB426" s="34">
        <v>0</v>
      </c>
      <c r="BC426" s="34">
        <v>0</v>
      </c>
    </row>
    <row r="427" spans="1:55" s="55" customFormat="1" ht="36.75" customHeight="1" x14ac:dyDescent="0.25">
      <c r="A427" s="110" t="s">
        <v>66</v>
      </c>
      <c r="B427" s="96" t="s">
        <v>572</v>
      </c>
      <c r="C427" s="116" t="s">
        <v>838</v>
      </c>
      <c r="D427" s="88">
        <v>0</v>
      </c>
      <c r="E427" s="29">
        <f t="shared" si="285"/>
        <v>9.1762884000000003E-2</v>
      </c>
      <c r="F427" s="29">
        <f t="shared" si="285"/>
        <v>0</v>
      </c>
      <c r="G427" s="29">
        <f t="shared" si="285"/>
        <v>7.2489492000000003E-2</v>
      </c>
      <c r="H427" s="29">
        <f t="shared" si="283"/>
        <v>1.9273392E-2</v>
      </c>
      <c r="I427" s="29">
        <f t="shared" si="283"/>
        <v>0</v>
      </c>
      <c r="J427" s="29">
        <f t="shared" si="324"/>
        <v>0</v>
      </c>
      <c r="K427" s="29">
        <v>0</v>
      </c>
      <c r="L427" s="29">
        <v>0</v>
      </c>
      <c r="M427" s="29">
        <v>0</v>
      </c>
      <c r="N427" s="29">
        <v>0</v>
      </c>
      <c r="O427" s="29">
        <f t="shared" si="325"/>
        <v>9.1762884000000003E-2</v>
      </c>
      <c r="P427" s="29">
        <v>0</v>
      </c>
      <c r="Q427" s="29">
        <v>7.2489492000000003E-2</v>
      </c>
      <c r="R427" s="29">
        <v>1.9273392E-2</v>
      </c>
      <c r="S427" s="29">
        <v>0</v>
      </c>
      <c r="T427" s="30">
        <f t="shared" si="330"/>
        <v>0</v>
      </c>
      <c r="U427" s="30">
        <v>0</v>
      </c>
      <c r="V427" s="30">
        <v>0</v>
      </c>
      <c r="W427" s="30">
        <v>0</v>
      </c>
      <c r="X427" s="30">
        <v>0</v>
      </c>
      <c r="Y427" s="30">
        <f t="shared" si="331"/>
        <v>0</v>
      </c>
      <c r="Z427" s="30">
        <v>0</v>
      </c>
      <c r="AA427" s="30">
        <v>0</v>
      </c>
      <c r="AB427" s="30">
        <v>0</v>
      </c>
      <c r="AC427" s="34">
        <v>0</v>
      </c>
      <c r="AD427" s="36">
        <f t="shared" si="329"/>
        <v>0</v>
      </c>
      <c r="AE427" s="36">
        <f t="shared" si="286"/>
        <v>7.646907E-2</v>
      </c>
      <c r="AF427" s="36">
        <f t="shared" si="286"/>
        <v>0</v>
      </c>
      <c r="AG427" s="36">
        <f t="shared" si="286"/>
        <v>6.0407910000000002E-2</v>
      </c>
      <c r="AH427" s="36">
        <f t="shared" si="284"/>
        <v>1.6061160000000001E-2</v>
      </c>
      <c r="AI427" s="36">
        <f t="shared" si="284"/>
        <v>0</v>
      </c>
      <c r="AJ427" s="36">
        <f t="shared" si="282"/>
        <v>0</v>
      </c>
      <c r="AK427" s="36">
        <v>0</v>
      </c>
      <c r="AL427" s="36">
        <v>0</v>
      </c>
      <c r="AM427" s="36">
        <v>0</v>
      </c>
      <c r="AN427" s="36">
        <v>0</v>
      </c>
      <c r="AO427" s="34">
        <f t="shared" si="326"/>
        <v>7.646907E-2</v>
      </c>
      <c r="AP427" s="34">
        <v>0</v>
      </c>
      <c r="AQ427" s="34">
        <f>0.072489492/1.2</f>
        <v>6.0407910000000002E-2</v>
      </c>
      <c r="AR427" s="34">
        <f>0.019273392/1.2</f>
        <v>1.6061160000000001E-2</v>
      </c>
      <c r="AS427" s="34">
        <v>0</v>
      </c>
      <c r="AT427" s="34">
        <f t="shared" si="332"/>
        <v>0</v>
      </c>
      <c r="AU427" s="34">
        <v>0</v>
      </c>
      <c r="AV427" s="34">
        <v>0</v>
      </c>
      <c r="AW427" s="34">
        <v>0</v>
      </c>
      <c r="AX427" s="34">
        <v>0</v>
      </c>
      <c r="AY427" s="34">
        <f t="shared" si="333"/>
        <v>0</v>
      </c>
      <c r="AZ427" s="34">
        <v>0</v>
      </c>
      <c r="BA427" s="34">
        <v>0</v>
      </c>
      <c r="BB427" s="34">
        <v>0</v>
      </c>
      <c r="BC427" s="34">
        <v>0</v>
      </c>
    </row>
    <row r="428" spans="1:55" s="55" customFormat="1" ht="36.75" customHeight="1" x14ac:dyDescent="0.25">
      <c r="A428" s="110" t="s">
        <v>66</v>
      </c>
      <c r="B428" s="96" t="s">
        <v>573</v>
      </c>
      <c r="C428" s="116" t="s">
        <v>839</v>
      </c>
      <c r="D428" s="88">
        <v>0</v>
      </c>
      <c r="E428" s="29">
        <f t="shared" si="285"/>
        <v>0.332899632</v>
      </c>
      <c r="F428" s="29">
        <f t="shared" si="285"/>
        <v>0</v>
      </c>
      <c r="G428" s="29">
        <f t="shared" si="285"/>
        <v>0.26935439999999999</v>
      </c>
      <c r="H428" s="29">
        <f t="shared" si="283"/>
        <v>6.3545231999999993E-2</v>
      </c>
      <c r="I428" s="29">
        <f t="shared" si="283"/>
        <v>0</v>
      </c>
      <c r="J428" s="29">
        <f t="shared" si="324"/>
        <v>5.849399999999999E-2</v>
      </c>
      <c r="K428" s="29">
        <v>0</v>
      </c>
      <c r="L428" s="29">
        <f>48.745/1000*1.2</f>
        <v>5.849399999999999E-2</v>
      </c>
      <c r="M428" s="29">
        <v>0</v>
      </c>
      <c r="N428" s="29">
        <v>0</v>
      </c>
      <c r="O428" s="29">
        <f t="shared" si="325"/>
        <v>0.27440563200000001</v>
      </c>
      <c r="P428" s="29">
        <v>0</v>
      </c>
      <c r="Q428" s="29">
        <v>0.2108604</v>
      </c>
      <c r="R428" s="29">
        <v>6.3545231999999993E-2</v>
      </c>
      <c r="S428" s="29">
        <v>0</v>
      </c>
      <c r="T428" s="30">
        <f t="shared" si="330"/>
        <v>0</v>
      </c>
      <c r="U428" s="30">
        <v>0</v>
      </c>
      <c r="V428" s="30">
        <v>0</v>
      </c>
      <c r="W428" s="30">
        <v>0</v>
      </c>
      <c r="X428" s="30">
        <v>0</v>
      </c>
      <c r="Y428" s="30">
        <f t="shared" si="331"/>
        <v>0</v>
      </c>
      <c r="Z428" s="30">
        <v>0</v>
      </c>
      <c r="AA428" s="30">
        <v>0</v>
      </c>
      <c r="AB428" s="30">
        <v>0</v>
      </c>
      <c r="AC428" s="34">
        <v>0</v>
      </c>
      <c r="AD428" s="36">
        <f t="shared" si="329"/>
        <v>0</v>
      </c>
      <c r="AE428" s="36">
        <f t="shared" si="286"/>
        <v>0.27741635999999997</v>
      </c>
      <c r="AF428" s="36">
        <f t="shared" si="286"/>
        <v>0</v>
      </c>
      <c r="AG428" s="36">
        <f t="shared" si="286"/>
        <v>0.22446199999999999</v>
      </c>
      <c r="AH428" s="36">
        <f t="shared" si="284"/>
        <v>5.2954359999999999E-2</v>
      </c>
      <c r="AI428" s="36">
        <f t="shared" si="284"/>
        <v>0</v>
      </c>
      <c r="AJ428" s="36">
        <f t="shared" si="282"/>
        <v>0</v>
      </c>
      <c r="AK428" s="36">
        <v>0</v>
      </c>
      <c r="AL428" s="36">
        <v>0</v>
      </c>
      <c r="AM428" s="36">
        <v>0</v>
      </c>
      <c r="AN428" s="36">
        <v>0</v>
      </c>
      <c r="AO428" s="34">
        <f t="shared" si="326"/>
        <v>0.27741635999999997</v>
      </c>
      <c r="AP428" s="34">
        <v>0</v>
      </c>
      <c r="AQ428" s="34">
        <f>0.2693544/1.2</f>
        <v>0.22446199999999999</v>
      </c>
      <c r="AR428" s="34">
        <f>0.063545232/1.2</f>
        <v>5.2954359999999999E-2</v>
      </c>
      <c r="AS428" s="34">
        <v>0</v>
      </c>
      <c r="AT428" s="34">
        <f t="shared" si="332"/>
        <v>0</v>
      </c>
      <c r="AU428" s="34">
        <v>0</v>
      </c>
      <c r="AV428" s="34">
        <v>0</v>
      </c>
      <c r="AW428" s="34">
        <v>0</v>
      </c>
      <c r="AX428" s="34">
        <v>0</v>
      </c>
      <c r="AY428" s="34">
        <f t="shared" si="333"/>
        <v>0</v>
      </c>
      <c r="AZ428" s="34">
        <v>0</v>
      </c>
      <c r="BA428" s="34">
        <v>0</v>
      </c>
      <c r="BB428" s="34">
        <v>0</v>
      </c>
      <c r="BC428" s="34">
        <v>0</v>
      </c>
    </row>
    <row r="429" spans="1:55" s="55" customFormat="1" ht="36.75" customHeight="1" x14ac:dyDescent="0.25">
      <c r="A429" s="110" t="s">
        <v>66</v>
      </c>
      <c r="B429" s="96" t="s">
        <v>574</v>
      </c>
      <c r="C429" s="116" t="s">
        <v>840</v>
      </c>
      <c r="D429" s="88">
        <v>0</v>
      </c>
      <c r="E429" s="29">
        <f t="shared" si="285"/>
        <v>0.10906936799999997</v>
      </c>
      <c r="F429" s="29">
        <f t="shared" si="285"/>
        <v>0</v>
      </c>
      <c r="G429" s="29">
        <f t="shared" si="285"/>
        <v>0.10051439999999998</v>
      </c>
      <c r="H429" s="29">
        <f t="shared" si="283"/>
        <v>8.5549679999999996E-3</v>
      </c>
      <c r="I429" s="29">
        <f t="shared" si="283"/>
        <v>0</v>
      </c>
      <c r="J429" s="29">
        <f t="shared" si="324"/>
        <v>2.1833999999999999E-2</v>
      </c>
      <c r="K429" s="29">
        <v>0</v>
      </c>
      <c r="L429" s="29">
        <f>18.195/1000*1.2</f>
        <v>2.1833999999999999E-2</v>
      </c>
      <c r="M429" s="29">
        <v>0</v>
      </c>
      <c r="N429" s="29">
        <v>0</v>
      </c>
      <c r="O429" s="29">
        <f t="shared" si="325"/>
        <v>8.723536799999998E-2</v>
      </c>
      <c r="P429" s="29">
        <v>0</v>
      </c>
      <c r="Q429" s="29">
        <v>7.8680399999999984E-2</v>
      </c>
      <c r="R429" s="29">
        <v>8.5549679999999996E-3</v>
      </c>
      <c r="S429" s="29">
        <v>0</v>
      </c>
      <c r="T429" s="30">
        <f t="shared" si="330"/>
        <v>0</v>
      </c>
      <c r="U429" s="30">
        <v>0</v>
      </c>
      <c r="V429" s="30">
        <v>0</v>
      </c>
      <c r="W429" s="30">
        <v>0</v>
      </c>
      <c r="X429" s="30">
        <v>0</v>
      </c>
      <c r="Y429" s="30">
        <f t="shared" si="331"/>
        <v>0</v>
      </c>
      <c r="Z429" s="30">
        <v>0</v>
      </c>
      <c r="AA429" s="30">
        <v>0</v>
      </c>
      <c r="AB429" s="30">
        <v>0</v>
      </c>
      <c r="AC429" s="34">
        <v>0</v>
      </c>
      <c r="AD429" s="36">
        <f t="shared" si="329"/>
        <v>0</v>
      </c>
      <c r="AE429" s="36">
        <f t="shared" si="286"/>
        <v>9.0891140000000009E-2</v>
      </c>
      <c r="AF429" s="36">
        <f t="shared" si="286"/>
        <v>0</v>
      </c>
      <c r="AG429" s="36">
        <f t="shared" si="286"/>
        <v>8.3762000000000003E-2</v>
      </c>
      <c r="AH429" s="36">
        <f t="shared" si="284"/>
        <v>7.12914E-3</v>
      </c>
      <c r="AI429" s="36">
        <f t="shared" si="284"/>
        <v>0</v>
      </c>
      <c r="AJ429" s="36">
        <f t="shared" si="282"/>
        <v>0</v>
      </c>
      <c r="AK429" s="36">
        <v>0</v>
      </c>
      <c r="AL429" s="36">
        <v>0</v>
      </c>
      <c r="AM429" s="36">
        <v>0</v>
      </c>
      <c r="AN429" s="36">
        <v>0</v>
      </c>
      <c r="AO429" s="34">
        <f t="shared" si="326"/>
        <v>9.0891140000000009E-2</v>
      </c>
      <c r="AP429" s="34">
        <v>0</v>
      </c>
      <c r="AQ429" s="34">
        <f>0.1005144/1.2</f>
        <v>8.3762000000000003E-2</v>
      </c>
      <c r="AR429" s="34">
        <f>0.008554968/1.2</f>
        <v>7.12914E-3</v>
      </c>
      <c r="AS429" s="34">
        <v>0</v>
      </c>
      <c r="AT429" s="34">
        <f t="shared" si="332"/>
        <v>0</v>
      </c>
      <c r="AU429" s="34">
        <v>0</v>
      </c>
      <c r="AV429" s="34">
        <v>0</v>
      </c>
      <c r="AW429" s="34">
        <v>0</v>
      </c>
      <c r="AX429" s="34">
        <v>0</v>
      </c>
      <c r="AY429" s="34">
        <f t="shared" si="333"/>
        <v>0</v>
      </c>
      <c r="AZ429" s="34">
        <v>0</v>
      </c>
      <c r="BA429" s="34">
        <v>0</v>
      </c>
      <c r="BB429" s="34">
        <v>0</v>
      </c>
      <c r="BC429" s="34">
        <v>0</v>
      </c>
    </row>
    <row r="430" spans="1:55" s="55" customFormat="1" ht="36.75" customHeight="1" x14ac:dyDescent="0.25">
      <c r="A430" s="110" t="s">
        <v>66</v>
      </c>
      <c r="B430" s="96" t="s">
        <v>575</v>
      </c>
      <c r="C430" s="116" t="s">
        <v>841</v>
      </c>
      <c r="D430" s="88">
        <v>0</v>
      </c>
      <c r="E430" s="29">
        <f t="shared" si="285"/>
        <v>0.18424992000000001</v>
      </c>
      <c r="F430" s="29">
        <f t="shared" si="285"/>
        <v>0</v>
      </c>
      <c r="G430" s="29">
        <f t="shared" si="285"/>
        <v>0.12973079999999998</v>
      </c>
      <c r="H430" s="29">
        <f t="shared" si="283"/>
        <v>5.4519120000000004E-2</v>
      </c>
      <c r="I430" s="29">
        <f t="shared" si="283"/>
        <v>0</v>
      </c>
      <c r="J430" s="29">
        <f t="shared" si="324"/>
        <v>2.81724E-2</v>
      </c>
      <c r="K430" s="29">
        <v>0</v>
      </c>
      <c r="L430" s="29">
        <f>23.477/1000*1.2</f>
        <v>2.81724E-2</v>
      </c>
      <c r="M430" s="29">
        <v>0</v>
      </c>
      <c r="N430" s="29">
        <v>0</v>
      </c>
      <c r="O430" s="29">
        <f t="shared" si="325"/>
        <v>0.15607752</v>
      </c>
      <c r="P430" s="29">
        <v>0</v>
      </c>
      <c r="Q430" s="29">
        <v>0.10155839999999999</v>
      </c>
      <c r="R430" s="29">
        <v>5.4519120000000004E-2</v>
      </c>
      <c r="S430" s="29">
        <v>0</v>
      </c>
      <c r="T430" s="30">
        <f t="shared" si="330"/>
        <v>0</v>
      </c>
      <c r="U430" s="30">
        <v>0</v>
      </c>
      <c r="V430" s="30">
        <v>0</v>
      </c>
      <c r="W430" s="30">
        <v>0</v>
      </c>
      <c r="X430" s="30">
        <v>0</v>
      </c>
      <c r="Y430" s="30">
        <f t="shared" si="331"/>
        <v>0</v>
      </c>
      <c r="Z430" s="30">
        <v>0</v>
      </c>
      <c r="AA430" s="30">
        <v>0</v>
      </c>
      <c r="AB430" s="30">
        <v>0</v>
      </c>
      <c r="AC430" s="34">
        <v>0</v>
      </c>
      <c r="AD430" s="36">
        <f t="shared" si="329"/>
        <v>0</v>
      </c>
      <c r="AE430" s="36">
        <f t="shared" si="286"/>
        <v>0.1535416</v>
      </c>
      <c r="AF430" s="36">
        <f t="shared" si="286"/>
        <v>0</v>
      </c>
      <c r="AG430" s="36">
        <f t="shared" si="286"/>
        <v>0.10810900000000001</v>
      </c>
      <c r="AH430" s="36">
        <f t="shared" si="284"/>
        <v>4.5432599999999997E-2</v>
      </c>
      <c r="AI430" s="36">
        <f t="shared" si="284"/>
        <v>0</v>
      </c>
      <c r="AJ430" s="36">
        <f t="shared" si="282"/>
        <v>0</v>
      </c>
      <c r="AK430" s="36">
        <v>0</v>
      </c>
      <c r="AL430" s="36">
        <v>0</v>
      </c>
      <c r="AM430" s="36">
        <v>0</v>
      </c>
      <c r="AN430" s="36">
        <v>0</v>
      </c>
      <c r="AO430" s="34">
        <f t="shared" si="326"/>
        <v>0.1535416</v>
      </c>
      <c r="AP430" s="34">
        <v>0</v>
      </c>
      <c r="AQ430" s="34">
        <f>0.1297308/1.2</f>
        <v>0.10810900000000001</v>
      </c>
      <c r="AR430" s="34">
        <f>0.05451912/1.2</f>
        <v>4.5432599999999997E-2</v>
      </c>
      <c r="AS430" s="34">
        <v>0</v>
      </c>
      <c r="AT430" s="34">
        <f t="shared" si="332"/>
        <v>0</v>
      </c>
      <c r="AU430" s="34">
        <v>0</v>
      </c>
      <c r="AV430" s="34">
        <v>0</v>
      </c>
      <c r="AW430" s="34">
        <v>0</v>
      </c>
      <c r="AX430" s="34">
        <v>0</v>
      </c>
      <c r="AY430" s="34">
        <f t="shared" si="333"/>
        <v>0</v>
      </c>
      <c r="AZ430" s="34">
        <v>0</v>
      </c>
      <c r="BA430" s="34">
        <v>0</v>
      </c>
      <c r="BB430" s="34">
        <v>0</v>
      </c>
      <c r="BC430" s="34">
        <v>0</v>
      </c>
    </row>
    <row r="431" spans="1:55" s="55" customFormat="1" ht="36.75" customHeight="1" x14ac:dyDescent="0.25">
      <c r="A431" s="110" t="s">
        <v>66</v>
      </c>
      <c r="B431" s="96" t="s">
        <v>576</v>
      </c>
      <c r="C431" s="116" t="s">
        <v>842</v>
      </c>
      <c r="D431" s="88">
        <v>0</v>
      </c>
      <c r="E431" s="29">
        <f t="shared" si="285"/>
        <v>0.18424992000000001</v>
      </c>
      <c r="F431" s="29">
        <f t="shared" si="285"/>
        <v>0</v>
      </c>
      <c r="G431" s="29">
        <f t="shared" si="285"/>
        <v>0.12973079999999998</v>
      </c>
      <c r="H431" s="29">
        <f t="shared" si="283"/>
        <v>5.4519120000000004E-2</v>
      </c>
      <c r="I431" s="29">
        <f t="shared" si="283"/>
        <v>0</v>
      </c>
      <c r="J431" s="29">
        <f t="shared" si="324"/>
        <v>2.81724E-2</v>
      </c>
      <c r="K431" s="29">
        <v>0</v>
      </c>
      <c r="L431" s="29">
        <f>23.477/1000*1.2</f>
        <v>2.81724E-2</v>
      </c>
      <c r="M431" s="29">
        <v>0</v>
      </c>
      <c r="N431" s="29">
        <v>0</v>
      </c>
      <c r="O431" s="29">
        <f t="shared" si="325"/>
        <v>0.15607752</v>
      </c>
      <c r="P431" s="29">
        <v>0</v>
      </c>
      <c r="Q431" s="29">
        <v>0.10155839999999999</v>
      </c>
      <c r="R431" s="29">
        <v>5.4519120000000004E-2</v>
      </c>
      <c r="S431" s="29">
        <v>0</v>
      </c>
      <c r="T431" s="30">
        <f t="shared" si="330"/>
        <v>0</v>
      </c>
      <c r="U431" s="30">
        <v>0</v>
      </c>
      <c r="V431" s="30">
        <v>0</v>
      </c>
      <c r="W431" s="30">
        <v>0</v>
      </c>
      <c r="X431" s="30">
        <v>0</v>
      </c>
      <c r="Y431" s="30">
        <f t="shared" si="331"/>
        <v>0</v>
      </c>
      <c r="Z431" s="30">
        <v>0</v>
      </c>
      <c r="AA431" s="30">
        <v>0</v>
      </c>
      <c r="AB431" s="30">
        <v>0</v>
      </c>
      <c r="AC431" s="34">
        <v>0</v>
      </c>
      <c r="AD431" s="36">
        <f t="shared" si="329"/>
        <v>0</v>
      </c>
      <c r="AE431" s="36">
        <f t="shared" si="286"/>
        <v>0.1535416</v>
      </c>
      <c r="AF431" s="36">
        <f t="shared" si="286"/>
        <v>0</v>
      </c>
      <c r="AG431" s="36">
        <f t="shared" si="286"/>
        <v>0.10810900000000001</v>
      </c>
      <c r="AH431" s="36">
        <f t="shared" si="284"/>
        <v>4.5432599999999997E-2</v>
      </c>
      <c r="AI431" s="36">
        <f t="shared" si="284"/>
        <v>0</v>
      </c>
      <c r="AJ431" s="36">
        <f t="shared" si="282"/>
        <v>0</v>
      </c>
      <c r="AK431" s="36">
        <v>0</v>
      </c>
      <c r="AL431" s="36">
        <v>0</v>
      </c>
      <c r="AM431" s="36">
        <v>0</v>
      </c>
      <c r="AN431" s="36">
        <v>0</v>
      </c>
      <c r="AO431" s="34">
        <f t="shared" si="326"/>
        <v>0.1535416</v>
      </c>
      <c r="AP431" s="34">
        <v>0</v>
      </c>
      <c r="AQ431" s="34">
        <f>0.1297308/1.2</f>
        <v>0.10810900000000001</v>
      </c>
      <c r="AR431" s="34">
        <f>0.05451912/1.2</f>
        <v>4.5432599999999997E-2</v>
      </c>
      <c r="AS431" s="34">
        <v>0</v>
      </c>
      <c r="AT431" s="34">
        <f t="shared" si="332"/>
        <v>0</v>
      </c>
      <c r="AU431" s="34">
        <v>0</v>
      </c>
      <c r="AV431" s="34">
        <v>0</v>
      </c>
      <c r="AW431" s="34">
        <v>0</v>
      </c>
      <c r="AX431" s="34">
        <v>0</v>
      </c>
      <c r="AY431" s="34">
        <f t="shared" si="333"/>
        <v>0</v>
      </c>
      <c r="AZ431" s="34">
        <v>0</v>
      </c>
      <c r="BA431" s="34">
        <v>0</v>
      </c>
      <c r="BB431" s="34">
        <v>0</v>
      </c>
      <c r="BC431" s="34">
        <v>0</v>
      </c>
    </row>
    <row r="432" spans="1:55" s="55" customFormat="1" ht="36.75" customHeight="1" x14ac:dyDescent="0.25">
      <c r="A432" s="110" t="s">
        <v>66</v>
      </c>
      <c r="B432" s="96" t="s">
        <v>577</v>
      </c>
      <c r="C432" s="116" t="s">
        <v>843</v>
      </c>
      <c r="D432" s="88">
        <v>0</v>
      </c>
      <c r="E432" s="29">
        <f t="shared" si="285"/>
        <v>0.14074355999999999</v>
      </c>
      <c r="F432" s="29">
        <f t="shared" si="285"/>
        <v>0</v>
      </c>
      <c r="G432" s="29">
        <f t="shared" si="285"/>
        <v>0.11348399999999999</v>
      </c>
      <c r="H432" s="29">
        <f t="shared" si="283"/>
        <v>2.7259560000000002E-2</v>
      </c>
      <c r="I432" s="29">
        <f t="shared" si="283"/>
        <v>0</v>
      </c>
      <c r="J432" s="29">
        <f t="shared" si="324"/>
        <v>2.4651599999999999E-2</v>
      </c>
      <c r="K432" s="29">
        <v>0</v>
      </c>
      <c r="L432" s="29">
        <f>20.543/1000*1.2</f>
        <v>2.4651599999999999E-2</v>
      </c>
      <c r="M432" s="29">
        <v>0</v>
      </c>
      <c r="N432" s="29">
        <v>0</v>
      </c>
      <c r="O432" s="29">
        <f t="shared" si="325"/>
        <v>0.11609195999999999</v>
      </c>
      <c r="P432" s="29">
        <v>0</v>
      </c>
      <c r="Q432" s="29">
        <v>8.8832399999999992E-2</v>
      </c>
      <c r="R432" s="29">
        <v>2.7259560000000002E-2</v>
      </c>
      <c r="S432" s="29">
        <v>0</v>
      </c>
      <c r="T432" s="30">
        <f t="shared" si="330"/>
        <v>0</v>
      </c>
      <c r="U432" s="30">
        <v>0</v>
      </c>
      <c r="V432" s="30">
        <v>0</v>
      </c>
      <c r="W432" s="30">
        <v>0</v>
      </c>
      <c r="X432" s="30">
        <v>0</v>
      </c>
      <c r="Y432" s="30">
        <f t="shared" si="331"/>
        <v>0</v>
      </c>
      <c r="Z432" s="30">
        <v>0</v>
      </c>
      <c r="AA432" s="30">
        <v>0</v>
      </c>
      <c r="AB432" s="30">
        <v>0</v>
      </c>
      <c r="AC432" s="34">
        <v>0</v>
      </c>
      <c r="AD432" s="36">
        <f t="shared" si="329"/>
        <v>0</v>
      </c>
      <c r="AE432" s="36">
        <f t="shared" si="286"/>
        <v>0.1172863</v>
      </c>
      <c r="AF432" s="36">
        <f t="shared" si="286"/>
        <v>0</v>
      </c>
      <c r="AG432" s="36">
        <f t="shared" si="286"/>
        <v>9.4570000000000001E-2</v>
      </c>
      <c r="AH432" s="36">
        <f t="shared" si="284"/>
        <v>2.2716299999999998E-2</v>
      </c>
      <c r="AI432" s="36">
        <f t="shared" si="284"/>
        <v>0</v>
      </c>
      <c r="AJ432" s="36">
        <f t="shared" si="282"/>
        <v>0</v>
      </c>
      <c r="AK432" s="36">
        <v>0</v>
      </c>
      <c r="AL432" s="36">
        <v>0</v>
      </c>
      <c r="AM432" s="36">
        <v>0</v>
      </c>
      <c r="AN432" s="36">
        <v>0</v>
      </c>
      <c r="AO432" s="34">
        <f t="shared" si="326"/>
        <v>0.1172863</v>
      </c>
      <c r="AP432" s="34">
        <v>0</v>
      </c>
      <c r="AQ432" s="34">
        <f>0.113484/1.2</f>
        <v>9.4570000000000001E-2</v>
      </c>
      <c r="AR432" s="34">
        <f>0.02725956/1.2</f>
        <v>2.2716299999999998E-2</v>
      </c>
      <c r="AS432" s="34">
        <v>0</v>
      </c>
      <c r="AT432" s="34">
        <f t="shared" si="332"/>
        <v>0</v>
      </c>
      <c r="AU432" s="34">
        <v>0</v>
      </c>
      <c r="AV432" s="34">
        <v>0</v>
      </c>
      <c r="AW432" s="34">
        <v>0</v>
      </c>
      <c r="AX432" s="34">
        <v>0</v>
      </c>
      <c r="AY432" s="34">
        <f t="shared" si="333"/>
        <v>0</v>
      </c>
      <c r="AZ432" s="34">
        <v>0</v>
      </c>
      <c r="BA432" s="34">
        <v>0</v>
      </c>
      <c r="BB432" s="34">
        <v>0</v>
      </c>
      <c r="BC432" s="34">
        <v>0</v>
      </c>
    </row>
    <row r="433" spans="1:55" s="55" customFormat="1" ht="36.75" customHeight="1" x14ac:dyDescent="0.25">
      <c r="A433" s="110" t="s">
        <v>66</v>
      </c>
      <c r="B433" s="96" t="s">
        <v>578</v>
      </c>
      <c r="C433" s="116" t="s">
        <v>844</v>
      </c>
      <c r="D433" s="88">
        <v>0</v>
      </c>
      <c r="E433" s="29">
        <f t="shared" si="285"/>
        <v>0.17324743200000001</v>
      </c>
      <c r="F433" s="29">
        <f t="shared" si="285"/>
        <v>0</v>
      </c>
      <c r="G433" s="29">
        <f t="shared" si="285"/>
        <v>0.118728312</v>
      </c>
      <c r="H433" s="29">
        <f t="shared" si="283"/>
        <v>5.4519120000000004E-2</v>
      </c>
      <c r="I433" s="29">
        <f t="shared" si="283"/>
        <v>0</v>
      </c>
      <c r="J433" s="29">
        <f t="shared" si="324"/>
        <v>1.7169912000000002E-2</v>
      </c>
      <c r="K433" s="29">
        <v>0</v>
      </c>
      <c r="L433" s="29">
        <f>14.30826/1000*1.2</f>
        <v>1.7169912000000002E-2</v>
      </c>
      <c r="M433" s="29">
        <v>0</v>
      </c>
      <c r="N433" s="29">
        <v>0</v>
      </c>
      <c r="O433" s="29">
        <f t="shared" si="325"/>
        <v>0.15607752</v>
      </c>
      <c r="P433" s="29">
        <v>0</v>
      </c>
      <c r="Q433" s="29">
        <v>0.10155839999999999</v>
      </c>
      <c r="R433" s="29">
        <v>5.4519120000000004E-2</v>
      </c>
      <c r="S433" s="29">
        <v>0</v>
      </c>
      <c r="T433" s="30">
        <f t="shared" si="330"/>
        <v>0</v>
      </c>
      <c r="U433" s="30">
        <v>0</v>
      </c>
      <c r="V433" s="30">
        <v>0</v>
      </c>
      <c r="W433" s="30">
        <v>0</v>
      </c>
      <c r="X433" s="30">
        <v>0</v>
      </c>
      <c r="Y433" s="30">
        <f t="shared" si="331"/>
        <v>0</v>
      </c>
      <c r="Z433" s="30">
        <v>0</v>
      </c>
      <c r="AA433" s="30">
        <v>0</v>
      </c>
      <c r="AB433" s="30">
        <v>0</v>
      </c>
      <c r="AC433" s="34">
        <v>0</v>
      </c>
      <c r="AD433" s="36">
        <f t="shared" si="329"/>
        <v>0</v>
      </c>
      <c r="AE433" s="36">
        <f t="shared" si="286"/>
        <v>0.1535416</v>
      </c>
      <c r="AF433" s="36">
        <f t="shared" si="286"/>
        <v>0</v>
      </c>
      <c r="AG433" s="36">
        <f t="shared" si="286"/>
        <v>0.10810900000000001</v>
      </c>
      <c r="AH433" s="36">
        <f t="shared" si="284"/>
        <v>4.5432599999999997E-2</v>
      </c>
      <c r="AI433" s="36">
        <f t="shared" si="284"/>
        <v>0</v>
      </c>
      <c r="AJ433" s="36">
        <f t="shared" si="282"/>
        <v>0</v>
      </c>
      <c r="AK433" s="36">
        <v>0</v>
      </c>
      <c r="AL433" s="36">
        <v>0</v>
      </c>
      <c r="AM433" s="36">
        <v>0</v>
      </c>
      <c r="AN433" s="36">
        <v>0</v>
      </c>
      <c r="AO433" s="34">
        <f t="shared" si="326"/>
        <v>0.1535416</v>
      </c>
      <c r="AP433" s="34">
        <v>0</v>
      </c>
      <c r="AQ433" s="34">
        <f>0.1297308/1.2</f>
        <v>0.10810900000000001</v>
      </c>
      <c r="AR433" s="34">
        <f>0.05451912/1.2</f>
        <v>4.5432599999999997E-2</v>
      </c>
      <c r="AS433" s="34">
        <v>0</v>
      </c>
      <c r="AT433" s="34">
        <f t="shared" si="332"/>
        <v>0</v>
      </c>
      <c r="AU433" s="34">
        <v>0</v>
      </c>
      <c r="AV433" s="34">
        <v>0</v>
      </c>
      <c r="AW433" s="34">
        <v>0</v>
      </c>
      <c r="AX433" s="34">
        <v>0</v>
      </c>
      <c r="AY433" s="34">
        <f t="shared" si="333"/>
        <v>0</v>
      </c>
      <c r="AZ433" s="34">
        <v>0</v>
      </c>
      <c r="BA433" s="34">
        <v>0</v>
      </c>
      <c r="BB433" s="34">
        <v>0</v>
      </c>
      <c r="BC433" s="34">
        <v>0</v>
      </c>
    </row>
    <row r="434" spans="1:55" s="55" customFormat="1" ht="36.75" customHeight="1" x14ac:dyDescent="0.25">
      <c r="A434" s="110" t="s">
        <v>66</v>
      </c>
      <c r="B434" s="96" t="s">
        <v>580</v>
      </c>
      <c r="C434" s="116" t="s">
        <v>845</v>
      </c>
      <c r="D434" s="88">
        <v>0</v>
      </c>
      <c r="E434" s="29">
        <f t="shared" si="285"/>
        <v>0.46653532799999997</v>
      </c>
      <c r="F434" s="29">
        <f t="shared" si="285"/>
        <v>0</v>
      </c>
      <c r="G434" s="29">
        <f t="shared" si="285"/>
        <v>0.33468331200000001</v>
      </c>
      <c r="H434" s="29">
        <f t="shared" si="283"/>
        <v>0.13185201599999999</v>
      </c>
      <c r="I434" s="29">
        <f t="shared" si="283"/>
        <v>0</v>
      </c>
      <c r="J434" s="29">
        <f t="shared" si="324"/>
        <v>0</v>
      </c>
      <c r="K434" s="29">
        <v>0</v>
      </c>
      <c r="L434" s="29">
        <v>0</v>
      </c>
      <c r="M434" s="29">
        <v>0</v>
      </c>
      <c r="N434" s="29">
        <v>0</v>
      </c>
      <c r="O434" s="29">
        <f t="shared" si="325"/>
        <v>0.46653532799999997</v>
      </c>
      <c r="P434" s="29">
        <v>0</v>
      </c>
      <c r="Q434" s="29">
        <v>0.33468331200000001</v>
      </c>
      <c r="R434" s="29">
        <v>0.13185201599999999</v>
      </c>
      <c r="S434" s="29">
        <v>0</v>
      </c>
      <c r="T434" s="30">
        <f t="shared" si="330"/>
        <v>0</v>
      </c>
      <c r="U434" s="30">
        <v>0</v>
      </c>
      <c r="V434" s="30">
        <v>0</v>
      </c>
      <c r="W434" s="30">
        <v>0</v>
      </c>
      <c r="X434" s="30">
        <v>0</v>
      </c>
      <c r="Y434" s="30">
        <f t="shared" si="331"/>
        <v>0</v>
      </c>
      <c r="Z434" s="30">
        <v>0</v>
      </c>
      <c r="AA434" s="30">
        <v>0</v>
      </c>
      <c r="AB434" s="30">
        <v>0</v>
      </c>
      <c r="AC434" s="34">
        <v>0</v>
      </c>
      <c r="AD434" s="36">
        <f t="shared" si="329"/>
        <v>0</v>
      </c>
      <c r="AE434" s="36">
        <f t="shared" si="286"/>
        <v>0.47168401000000004</v>
      </c>
      <c r="AF434" s="36">
        <f t="shared" si="286"/>
        <v>0</v>
      </c>
      <c r="AG434" s="36">
        <f t="shared" si="286"/>
        <v>0.36180733000000004</v>
      </c>
      <c r="AH434" s="36">
        <f t="shared" si="284"/>
        <v>0.10987667999999999</v>
      </c>
      <c r="AI434" s="36">
        <f t="shared" si="284"/>
        <v>0</v>
      </c>
      <c r="AJ434" s="36">
        <f t="shared" si="282"/>
        <v>0</v>
      </c>
      <c r="AK434" s="36">
        <v>0</v>
      </c>
      <c r="AL434" s="36">
        <v>0</v>
      </c>
      <c r="AM434" s="36">
        <v>0</v>
      </c>
      <c r="AN434" s="36">
        <v>0</v>
      </c>
      <c r="AO434" s="34">
        <f t="shared" si="326"/>
        <v>0.47168401000000004</v>
      </c>
      <c r="AP434" s="34">
        <v>0</v>
      </c>
      <c r="AQ434" s="34">
        <f>0.434168796/1.2</f>
        <v>0.36180733000000004</v>
      </c>
      <c r="AR434" s="34">
        <f>0.131852016/1.2</f>
        <v>0.10987667999999999</v>
      </c>
      <c r="AS434" s="34">
        <v>0</v>
      </c>
      <c r="AT434" s="34">
        <f t="shared" si="332"/>
        <v>0</v>
      </c>
      <c r="AU434" s="34">
        <v>0</v>
      </c>
      <c r="AV434" s="34">
        <v>0</v>
      </c>
      <c r="AW434" s="34">
        <v>0</v>
      </c>
      <c r="AX434" s="34">
        <v>0</v>
      </c>
      <c r="AY434" s="34">
        <f t="shared" si="333"/>
        <v>0</v>
      </c>
      <c r="AZ434" s="34">
        <v>0</v>
      </c>
      <c r="BA434" s="34">
        <v>0</v>
      </c>
      <c r="BB434" s="34">
        <v>0</v>
      </c>
      <c r="BC434" s="34">
        <v>0</v>
      </c>
    </row>
    <row r="435" spans="1:55" s="55" customFormat="1" ht="36.75" customHeight="1" x14ac:dyDescent="0.25">
      <c r="A435" s="110" t="s">
        <v>66</v>
      </c>
      <c r="B435" s="96" t="s">
        <v>581</v>
      </c>
      <c r="C435" s="116" t="s">
        <v>846</v>
      </c>
      <c r="D435" s="88">
        <v>0</v>
      </c>
      <c r="E435" s="29">
        <f t="shared" si="285"/>
        <v>0.17568068399999998</v>
      </c>
      <c r="F435" s="29">
        <f t="shared" si="285"/>
        <v>0</v>
      </c>
      <c r="G435" s="29">
        <f t="shared" si="285"/>
        <v>0.1183152</v>
      </c>
      <c r="H435" s="29">
        <f t="shared" si="283"/>
        <v>5.7365483999999994E-2</v>
      </c>
      <c r="I435" s="29">
        <f t="shared" si="283"/>
        <v>0</v>
      </c>
      <c r="J435" s="29">
        <f t="shared" si="324"/>
        <v>0</v>
      </c>
      <c r="K435" s="29">
        <v>0</v>
      </c>
      <c r="L435" s="29">
        <v>0</v>
      </c>
      <c r="M435" s="29">
        <v>0</v>
      </c>
      <c r="N435" s="29">
        <v>0</v>
      </c>
      <c r="O435" s="29">
        <f t="shared" si="325"/>
        <v>0.17568068399999998</v>
      </c>
      <c r="P435" s="29">
        <v>0</v>
      </c>
      <c r="Q435" s="29">
        <v>0.1183152</v>
      </c>
      <c r="R435" s="29">
        <v>5.7365483999999994E-2</v>
      </c>
      <c r="S435" s="29">
        <v>0</v>
      </c>
      <c r="T435" s="30">
        <f t="shared" si="330"/>
        <v>0</v>
      </c>
      <c r="U435" s="30">
        <v>0</v>
      </c>
      <c r="V435" s="30">
        <v>0</v>
      </c>
      <c r="W435" s="30">
        <v>0</v>
      </c>
      <c r="X435" s="30">
        <v>0</v>
      </c>
      <c r="Y435" s="30">
        <f t="shared" si="331"/>
        <v>0</v>
      </c>
      <c r="Z435" s="30">
        <v>0</v>
      </c>
      <c r="AA435" s="30">
        <v>0</v>
      </c>
      <c r="AB435" s="30">
        <v>0</v>
      </c>
      <c r="AC435" s="34">
        <v>0</v>
      </c>
      <c r="AD435" s="36">
        <f t="shared" si="329"/>
        <v>0</v>
      </c>
      <c r="AE435" s="36">
        <f t="shared" si="286"/>
        <v>0.17375157000000002</v>
      </c>
      <c r="AF435" s="36">
        <f t="shared" si="286"/>
        <v>0</v>
      </c>
      <c r="AG435" s="36">
        <f t="shared" si="286"/>
        <v>0.125947</v>
      </c>
      <c r="AH435" s="36">
        <f t="shared" si="284"/>
        <v>4.7804570000000005E-2</v>
      </c>
      <c r="AI435" s="36">
        <f t="shared" si="284"/>
        <v>0</v>
      </c>
      <c r="AJ435" s="36">
        <f t="shared" si="282"/>
        <v>0</v>
      </c>
      <c r="AK435" s="36">
        <v>0</v>
      </c>
      <c r="AL435" s="36">
        <v>0</v>
      </c>
      <c r="AM435" s="36">
        <v>0</v>
      </c>
      <c r="AN435" s="36">
        <v>0</v>
      </c>
      <c r="AO435" s="34">
        <f t="shared" si="326"/>
        <v>0.17375157000000002</v>
      </c>
      <c r="AP435" s="34">
        <v>0</v>
      </c>
      <c r="AQ435" s="34">
        <f>0.1511364/1.2</f>
        <v>0.125947</v>
      </c>
      <c r="AR435" s="34">
        <f>0.057365484/1.2</f>
        <v>4.7804570000000005E-2</v>
      </c>
      <c r="AS435" s="34">
        <v>0</v>
      </c>
      <c r="AT435" s="34">
        <f t="shared" si="332"/>
        <v>0</v>
      </c>
      <c r="AU435" s="34">
        <v>0</v>
      </c>
      <c r="AV435" s="34">
        <v>0</v>
      </c>
      <c r="AW435" s="34">
        <v>0</v>
      </c>
      <c r="AX435" s="34">
        <v>0</v>
      </c>
      <c r="AY435" s="34">
        <f t="shared" si="333"/>
        <v>0</v>
      </c>
      <c r="AZ435" s="34">
        <v>0</v>
      </c>
      <c r="BA435" s="34">
        <v>0</v>
      </c>
      <c r="BB435" s="34">
        <v>0</v>
      </c>
      <c r="BC435" s="34">
        <v>0</v>
      </c>
    </row>
    <row r="436" spans="1:55" s="55" customFormat="1" ht="45" customHeight="1" x14ac:dyDescent="0.25">
      <c r="A436" s="110" t="s">
        <v>66</v>
      </c>
      <c r="B436" s="96" t="s">
        <v>584</v>
      </c>
      <c r="C436" s="116" t="s">
        <v>907</v>
      </c>
      <c r="D436" s="88">
        <v>0</v>
      </c>
      <c r="E436" s="29">
        <f t="shared" si="285"/>
        <v>1.063128348</v>
      </c>
      <c r="F436" s="29">
        <f t="shared" si="285"/>
        <v>3.4012319999999997E-3</v>
      </c>
      <c r="G436" s="29">
        <f t="shared" si="285"/>
        <v>0.41291313600000001</v>
      </c>
      <c r="H436" s="29">
        <f t="shared" si="283"/>
        <v>0.64681398000000001</v>
      </c>
      <c r="I436" s="29">
        <f t="shared" si="283"/>
        <v>0</v>
      </c>
      <c r="J436" s="29">
        <f t="shared" si="324"/>
        <v>0</v>
      </c>
      <c r="K436" s="29">
        <v>0</v>
      </c>
      <c r="L436" s="29">
        <v>0</v>
      </c>
      <c r="M436" s="29">
        <v>0</v>
      </c>
      <c r="N436" s="29">
        <v>0</v>
      </c>
      <c r="O436" s="29">
        <f t="shared" si="325"/>
        <v>2.3812320000000001E-3</v>
      </c>
      <c r="P436" s="29">
        <v>2.3812320000000001E-3</v>
      </c>
      <c r="Q436" s="29">
        <v>0</v>
      </c>
      <c r="R436" s="29">
        <v>0</v>
      </c>
      <c r="S436" s="29">
        <v>0</v>
      </c>
      <c r="T436" s="30">
        <f t="shared" si="330"/>
        <v>1.0199999999999999E-3</v>
      </c>
      <c r="U436" s="30">
        <v>1.0199999999999999E-3</v>
      </c>
      <c r="V436" s="30">
        <v>0</v>
      </c>
      <c r="W436" s="30">
        <v>0</v>
      </c>
      <c r="X436" s="30">
        <v>0</v>
      </c>
      <c r="Y436" s="30">
        <f t="shared" si="331"/>
        <v>1.0597271159999999</v>
      </c>
      <c r="Z436" s="30">
        <v>0</v>
      </c>
      <c r="AA436" s="30">
        <v>0.41291313600000001</v>
      </c>
      <c r="AB436" s="30">
        <v>0.64681398000000001</v>
      </c>
      <c r="AC436" s="34">
        <v>0</v>
      </c>
      <c r="AD436" s="36">
        <f t="shared" si="329"/>
        <v>0</v>
      </c>
      <c r="AE436" s="36">
        <f t="shared" si="286"/>
        <v>0.88594029000000007</v>
      </c>
      <c r="AF436" s="36">
        <f t="shared" si="286"/>
        <v>2.8343600000000002E-3</v>
      </c>
      <c r="AG436" s="36">
        <f t="shared" si="286"/>
        <v>0.34409428000000003</v>
      </c>
      <c r="AH436" s="36">
        <f t="shared" si="284"/>
        <v>0.53901165000000006</v>
      </c>
      <c r="AI436" s="36">
        <f t="shared" si="284"/>
        <v>0</v>
      </c>
      <c r="AJ436" s="36">
        <f t="shared" si="282"/>
        <v>0</v>
      </c>
      <c r="AK436" s="36">
        <v>0</v>
      </c>
      <c r="AL436" s="36">
        <v>0</v>
      </c>
      <c r="AM436" s="36">
        <v>0</v>
      </c>
      <c r="AN436" s="36">
        <v>0</v>
      </c>
      <c r="AO436" s="34">
        <f t="shared" si="326"/>
        <v>0</v>
      </c>
      <c r="AP436" s="34">
        <v>0</v>
      </c>
      <c r="AQ436" s="34">
        <v>0</v>
      </c>
      <c r="AR436" s="34">
        <v>0</v>
      </c>
      <c r="AS436" s="34">
        <v>0</v>
      </c>
      <c r="AT436" s="34">
        <f t="shared" si="332"/>
        <v>0</v>
      </c>
      <c r="AU436" s="34">
        <v>0</v>
      </c>
      <c r="AV436" s="34">
        <v>0</v>
      </c>
      <c r="AW436" s="34">
        <v>0</v>
      </c>
      <c r="AX436" s="34">
        <v>0</v>
      </c>
      <c r="AY436" s="34">
        <f t="shared" si="333"/>
        <v>0.88594029000000007</v>
      </c>
      <c r="AZ436" s="34">
        <v>2.8343600000000002E-3</v>
      </c>
      <c r="BA436" s="34">
        <v>0.34409428000000003</v>
      </c>
      <c r="BB436" s="34">
        <v>0.53901165000000006</v>
      </c>
      <c r="BC436" s="34">
        <v>0</v>
      </c>
    </row>
    <row r="437" spans="1:55" s="55" customFormat="1" ht="45" customHeight="1" x14ac:dyDescent="0.25">
      <c r="A437" s="110" t="s">
        <v>66</v>
      </c>
      <c r="B437" s="96" t="s">
        <v>665</v>
      </c>
      <c r="C437" s="116" t="s">
        <v>847</v>
      </c>
      <c r="D437" s="88">
        <v>0</v>
      </c>
      <c r="E437" s="29">
        <f t="shared" si="285"/>
        <v>8.9999999999999993E-3</v>
      </c>
      <c r="F437" s="29">
        <f t="shared" si="285"/>
        <v>8.9999999999999993E-3</v>
      </c>
      <c r="G437" s="29">
        <f t="shared" si="285"/>
        <v>0</v>
      </c>
      <c r="H437" s="29">
        <f t="shared" si="283"/>
        <v>0</v>
      </c>
      <c r="I437" s="29">
        <f t="shared" si="283"/>
        <v>0</v>
      </c>
      <c r="J437" s="29">
        <f t="shared" si="324"/>
        <v>0</v>
      </c>
      <c r="K437" s="29">
        <v>0</v>
      </c>
      <c r="L437" s="29">
        <v>0</v>
      </c>
      <c r="M437" s="29">
        <v>0</v>
      </c>
      <c r="N437" s="29">
        <v>0</v>
      </c>
      <c r="O437" s="29">
        <v>0</v>
      </c>
      <c r="P437" s="29">
        <v>0</v>
      </c>
      <c r="Q437" s="29">
        <v>0</v>
      </c>
      <c r="R437" s="29">
        <v>0</v>
      </c>
      <c r="S437" s="29">
        <v>0</v>
      </c>
      <c r="T437" s="30">
        <f t="shared" si="330"/>
        <v>8.9999999999999993E-3</v>
      </c>
      <c r="U437" s="30">
        <v>8.9999999999999993E-3</v>
      </c>
      <c r="V437" s="30">
        <v>0</v>
      </c>
      <c r="W437" s="30">
        <v>0</v>
      </c>
      <c r="X437" s="30">
        <v>0</v>
      </c>
      <c r="Y437" s="30">
        <f t="shared" si="331"/>
        <v>0</v>
      </c>
      <c r="Z437" s="30">
        <v>0</v>
      </c>
      <c r="AA437" s="30">
        <v>0</v>
      </c>
      <c r="AB437" s="30">
        <v>0</v>
      </c>
      <c r="AC437" s="34">
        <v>0</v>
      </c>
      <c r="AD437" s="36">
        <f t="shared" si="329"/>
        <v>0</v>
      </c>
      <c r="AE437" s="36">
        <f t="shared" si="286"/>
        <v>0</v>
      </c>
      <c r="AF437" s="36">
        <f t="shared" si="286"/>
        <v>0</v>
      </c>
      <c r="AG437" s="36">
        <f t="shared" si="286"/>
        <v>0</v>
      </c>
      <c r="AH437" s="36">
        <f t="shared" si="284"/>
        <v>0</v>
      </c>
      <c r="AI437" s="36">
        <f t="shared" si="284"/>
        <v>0</v>
      </c>
      <c r="AJ437" s="36">
        <v>0</v>
      </c>
      <c r="AK437" s="36">
        <v>0</v>
      </c>
      <c r="AL437" s="36">
        <v>0</v>
      </c>
      <c r="AM437" s="36">
        <v>0</v>
      </c>
      <c r="AN437" s="36">
        <v>0</v>
      </c>
      <c r="AO437" s="34">
        <v>0</v>
      </c>
      <c r="AP437" s="34">
        <v>0</v>
      </c>
      <c r="AQ437" s="34">
        <v>0</v>
      </c>
      <c r="AR437" s="34">
        <v>0</v>
      </c>
      <c r="AS437" s="34">
        <v>0</v>
      </c>
      <c r="AT437" s="34">
        <f t="shared" si="332"/>
        <v>0</v>
      </c>
      <c r="AU437" s="34">
        <v>0</v>
      </c>
      <c r="AV437" s="34">
        <v>0</v>
      </c>
      <c r="AW437" s="34">
        <v>0</v>
      </c>
      <c r="AX437" s="34">
        <v>0</v>
      </c>
      <c r="AY437" s="34">
        <f t="shared" si="333"/>
        <v>0</v>
      </c>
      <c r="AZ437" s="34">
        <v>0</v>
      </c>
      <c r="BA437" s="34">
        <v>0</v>
      </c>
      <c r="BB437" s="34">
        <v>0</v>
      </c>
      <c r="BC437" s="34">
        <v>0</v>
      </c>
    </row>
    <row r="438" spans="1:55" s="55" customFormat="1" ht="45" customHeight="1" x14ac:dyDescent="0.25">
      <c r="A438" s="110" t="s">
        <v>66</v>
      </c>
      <c r="B438" s="96" t="s">
        <v>669</v>
      </c>
      <c r="C438" s="116" t="s">
        <v>848</v>
      </c>
      <c r="D438" s="88">
        <v>0</v>
      </c>
      <c r="E438" s="29">
        <f t="shared" si="285"/>
        <v>4.7727852000000001E-2</v>
      </c>
      <c r="F438" s="29">
        <f t="shared" si="285"/>
        <v>1.8597599999999999E-2</v>
      </c>
      <c r="G438" s="29">
        <f t="shared" si="285"/>
        <v>2.9130252000000002E-2</v>
      </c>
      <c r="H438" s="29">
        <f t="shared" si="283"/>
        <v>0</v>
      </c>
      <c r="I438" s="29">
        <f t="shared" si="283"/>
        <v>0</v>
      </c>
      <c r="J438" s="29">
        <f t="shared" si="324"/>
        <v>0</v>
      </c>
      <c r="K438" s="29">
        <v>0</v>
      </c>
      <c r="L438" s="29">
        <v>0</v>
      </c>
      <c r="M438" s="29">
        <v>0</v>
      </c>
      <c r="N438" s="29">
        <v>0</v>
      </c>
      <c r="O438" s="29">
        <v>0</v>
      </c>
      <c r="P438" s="29">
        <v>0</v>
      </c>
      <c r="Q438" s="29">
        <v>0</v>
      </c>
      <c r="R438" s="29">
        <v>0</v>
      </c>
      <c r="S438" s="29">
        <v>0</v>
      </c>
      <c r="T438" s="30">
        <f t="shared" si="330"/>
        <v>2.9130252000000002E-2</v>
      </c>
      <c r="U438" s="30">
        <v>0</v>
      </c>
      <c r="V438" s="30">
        <v>2.9130252000000002E-2</v>
      </c>
      <c r="W438" s="30">
        <v>0</v>
      </c>
      <c r="X438" s="30">
        <v>0</v>
      </c>
      <c r="Y438" s="30">
        <f t="shared" si="331"/>
        <v>1.8597599999999999E-2</v>
      </c>
      <c r="Z438" s="30">
        <v>1.8597599999999999E-2</v>
      </c>
      <c r="AA438" s="30">
        <v>0</v>
      </c>
      <c r="AB438" s="30">
        <v>0</v>
      </c>
      <c r="AC438" s="34">
        <v>0</v>
      </c>
      <c r="AD438" s="36">
        <v>0</v>
      </c>
      <c r="AE438" s="36">
        <f t="shared" si="286"/>
        <v>0</v>
      </c>
      <c r="AF438" s="36">
        <f t="shared" si="286"/>
        <v>0</v>
      </c>
      <c r="AG438" s="36">
        <f t="shared" si="286"/>
        <v>0</v>
      </c>
      <c r="AH438" s="36">
        <f t="shared" si="284"/>
        <v>0</v>
      </c>
      <c r="AI438" s="36">
        <f t="shared" si="284"/>
        <v>0</v>
      </c>
      <c r="AJ438" s="36">
        <v>0</v>
      </c>
      <c r="AK438" s="36">
        <v>0</v>
      </c>
      <c r="AL438" s="36">
        <v>0</v>
      </c>
      <c r="AM438" s="36">
        <v>0</v>
      </c>
      <c r="AN438" s="36">
        <v>0</v>
      </c>
      <c r="AO438" s="34">
        <v>0</v>
      </c>
      <c r="AP438" s="34">
        <v>0</v>
      </c>
      <c r="AQ438" s="34">
        <v>0</v>
      </c>
      <c r="AR438" s="34">
        <v>0</v>
      </c>
      <c r="AS438" s="34">
        <v>0</v>
      </c>
      <c r="AT438" s="34">
        <f t="shared" si="332"/>
        <v>0</v>
      </c>
      <c r="AU438" s="34">
        <v>0</v>
      </c>
      <c r="AV438" s="34">
        <v>0</v>
      </c>
      <c r="AW438" s="34">
        <v>0</v>
      </c>
      <c r="AX438" s="34">
        <v>0</v>
      </c>
      <c r="AY438" s="34">
        <f t="shared" si="333"/>
        <v>0</v>
      </c>
      <c r="AZ438" s="34">
        <v>0</v>
      </c>
      <c r="BA438" s="34">
        <v>0</v>
      </c>
      <c r="BB438" s="34">
        <v>0</v>
      </c>
      <c r="BC438" s="34">
        <v>0</v>
      </c>
    </row>
    <row r="439" spans="1:55" s="55" customFormat="1" ht="45" customHeight="1" x14ac:dyDescent="0.25">
      <c r="A439" s="110" t="s">
        <v>66</v>
      </c>
      <c r="B439" s="96" t="s">
        <v>849</v>
      </c>
      <c r="C439" s="116" t="s">
        <v>850</v>
      </c>
      <c r="D439" s="88">
        <v>0</v>
      </c>
      <c r="E439" s="29">
        <f t="shared" si="285"/>
        <v>3.5098296000000001E-2</v>
      </c>
      <c r="F439" s="29">
        <f t="shared" si="285"/>
        <v>0</v>
      </c>
      <c r="G439" s="29">
        <f t="shared" si="285"/>
        <v>1.6456175999999999E-2</v>
      </c>
      <c r="H439" s="29">
        <f t="shared" si="283"/>
        <v>1.8642119999999998E-2</v>
      </c>
      <c r="I439" s="29">
        <f t="shared" si="283"/>
        <v>0</v>
      </c>
      <c r="J439" s="29">
        <f t="shared" si="324"/>
        <v>0</v>
      </c>
      <c r="K439" s="29">
        <v>0</v>
      </c>
      <c r="L439" s="29">
        <v>0</v>
      </c>
      <c r="M439" s="29">
        <v>0</v>
      </c>
      <c r="N439" s="29">
        <v>0</v>
      </c>
      <c r="O439" s="29">
        <v>0</v>
      </c>
      <c r="P439" s="29">
        <v>0</v>
      </c>
      <c r="Q439" s="29">
        <v>0</v>
      </c>
      <c r="R439" s="29">
        <v>0</v>
      </c>
      <c r="S439" s="29">
        <v>0</v>
      </c>
      <c r="T439" s="30">
        <v>0</v>
      </c>
      <c r="U439" s="30">
        <v>0</v>
      </c>
      <c r="V439" s="30">
        <v>0</v>
      </c>
      <c r="W439" s="30">
        <v>0</v>
      </c>
      <c r="X439" s="30">
        <v>0</v>
      </c>
      <c r="Y439" s="30">
        <f>Z439+AA439+AB439</f>
        <v>3.5098296000000001E-2</v>
      </c>
      <c r="Z439" s="30">
        <v>0</v>
      </c>
      <c r="AA439" s="30">
        <v>1.6456175999999999E-2</v>
      </c>
      <c r="AB439" s="30">
        <v>1.8642119999999998E-2</v>
      </c>
      <c r="AC439" s="34">
        <v>0</v>
      </c>
      <c r="AD439" s="36">
        <v>0</v>
      </c>
      <c r="AE439" s="36">
        <f t="shared" si="286"/>
        <v>2.924858E-2</v>
      </c>
      <c r="AF439" s="36">
        <f t="shared" si="286"/>
        <v>0</v>
      </c>
      <c r="AG439" s="36">
        <f t="shared" si="286"/>
        <v>1.371348E-2</v>
      </c>
      <c r="AH439" s="36">
        <f t="shared" si="284"/>
        <v>1.55351E-2</v>
      </c>
      <c r="AI439" s="36">
        <f t="shared" si="284"/>
        <v>0</v>
      </c>
      <c r="AJ439" s="36">
        <v>0</v>
      </c>
      <c r="AK439" s="36">
        <v>0</v>
      </c>
      <c r="AL439" s="36">
        <v>0</v>
      </c>
      <c r="AM439" s="36">
        <v>0</v>
      </c>
      <c r="AN439" s="36">
        <v>0</v>
      </c>
      <c r="AO439" s="34">
        <v>0</v>
      </c>
      <c r="AP439" s="34">
        <v>0</v>
      </c>
      <c r="AQ439" s="34">
        <v>0</v>
      </c>
      <c r="AR439" s="34">
        <v>0</v>
      </c>
      <c r="AS439" s="34">
        <v>0</v>
      </c>
      <c r="AT439" s="34">
        <v>0</v>
      </c>
      <c r="AU439" s="34">
        <v>0</v>
      </c>
      <c r="AV439" s="34">
        <v>0</v>
      </c>
      <c r="AW439" s="34">
        <v>0</v>
      </c>
      <c r="AX439" s="34">
        <v>0</v>
      </c>
      <c r="AY439" s="34">
        <f t="shared" ref="AY439:AY442" si="334">AZ439+BA439+BB439</f>
        <v>2.924858E-2</v>
      </c>
      <c r="AZ439" s="34">
        <v>0</v>
      </c>
      <c r="BA439" s="34">
        <v>1.371348E-2</v>
      </c>
      <c r="BB439" s="34">
        <v>1.55351E-2</v>
      </c>
      <c r="BC439" s="34">
        <v>0</v>
      </c>
    </row>
    <row r="440" spans="1:55" s="55" customFormat="1" ht="31.5" customHeight="1" x14ac:dyDescent="0.25">
      <c r="A440" s="110" t="s">
        <v>66</v>
      </c>
      <c r="B440" s="96" t="s">
        <v>544</v>
      </c>
      <c r="C440" s="99" t="s">
        <v>153</v>
      </c>
      <c r="D440" s="88">
        <v>0</v>
      </c>
      <c r="E440" s="29">
        <f t="shared" si="285"/>
        <v>0.53208497999999993</v>
      </c>
      <c r="F440" s="29">
        <f t="shared" si="285"/>
        <v>0</v>
      </c>
      <c r="G440" s="29">
        <f t="shared" si="285"/>
        <v>0.238434072</v>
      </c>
      <c r="H440" s="29">
        <f t="shared" si="283"/>
        <v>0.29365090799999999</v>
      </c>
      <c r="I440" s="29">
        <f t="shared" si="283"/>
        <v>0</v>
      </c>
      <c r="J440" s="29">
        <f t="shared" si="324"/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f t="shared" ref="O440" si="335">P440+Q440+R440+S440</f>
        <v>0.46283761199999995</v>
      </c>
      <c r="P440" s="29">
        <v>0</v>
      </c>
      <c r="Q440" s="29">
        <f>168.53825*1.2/1000</f>
        <v>0.20224590000000001</v>
      </c>
      <c r="R440" s="29">
        <f>217.15976*1.2/1000</f>
        <v>0.26059171199999998</v>
      </c>
      <c r="S440" s="29">
        <v>0</v>
      </c>
      <c r="T440" s="30">
        <f t="shared" ref="T440" si="336">U440+V440+W440+X440</f>
        <v>6.9247368000000004E-2</v>
      </c>
      <c r="U440" s="30">
        <v>0</v>
      </c>
      <c r="V440" s="30">
        <f>30.15681*1.2/1000</f>
        <v>3.6188172000000005E-2</v>
      </c>
      <c r="W440" s="30">
        <f>27.54933*1.2/1000</f>
        <v>3.3059195999999999E-2</v>
      </c>
      <c r="X440" s="30">
        <v>0</v>
      </c>
      <c r="Y440" s="30">
        <f t="shared" ref="Y440" si="337">Z440+AA440+AB440+AC440</f>
        <v>0</v>
      </c>
      <c r="Z440" s="30">
        <v>0</v>
      </c>
      <c r="AA440" s="30">
        <v>0</v>
      </c>
      <c r="AB440" s="30">
        <v>0</v>
      </c>
      <c r="AC440" s="34">
        <v>0</v>
      </c>
      <c r="AD440" s="36">
        <v>0</v>
      </c>
      <c r="AE440" s="36">
        <f t="shared" si="286"/>
        <v>0.44340415</v>
      </c>
      <c r="AF440" s="36">
        <f t="shared" si="286"/>
        <v>0</v>
      </c>
      <c r="AG440" s="36">
        <f t="shared" si="286"/>
        <v>0.19869506000000001</v>
      </c>
      <c r="AH440" s="36">
        <f t="shared" si="284"/>
        <v>0.24470908999999999</v>
      </c>
      <c r="AI440" s="36">
        <f t="shared" si="284"/>
        <v>0</v>
      </c>
      <c r="AJ440" s="36">
        <f t="shared" ref="AJ440" si="338">AK440+AL440+AM440+AN440</f>
        <v>0</v>
      </c>
      <c r="AK440" s="36">
        <v>0</v>
      </c>
      <c r="AL440" s="36">
        <v>0</v>
      </c>
      <c r="AM440" s="36">
        <v>0</v>
      </c>
      <c r="AN440" s="36">
        <v>0</v>
      </c>
      <c r="AO440" s="34">
        <f t="shared" ref="AO440" si="339">AP440+AQ440+AR440+AS440</f>
        <v>0.38569800999999998</v>
      </c>
      <c r="AP440" s="34">
        <v>0</v>
      </c>
      <c r="AQ440" s="34">
        <v>0.16853825</v>
      </c>
      <c r="AR440" s="34">
        <v>0.21715975999999998</v>
      </c>
      <c r="AS440" s="34">
        <v>0</v>
      </c>
      <c r="AT440" s="34">
        <f t="shared" ref="AT440" si="340">AU440+AV440+AW440+AX440</f>
        <v>5.7706140000000003E-2</v>
      </c>
      <c r="AU440" s="34">
        <v>0</v>
      </c>
      <c r="AV440" s="34">
        <v>3.0156809999999999E-2</v>
      </c>
      <c r="AW440" s="34">
        <v>2.754933E-2</v>
      </c>
      <c r="AX440" s="34">
        <v>0</v>
      </c>
      <c r="AY440" s="34">
        <f t="shared" ref="AY440" si="341">AZ440+BA440+BB440+BC440</f>
        <v>0</v>
      </c>
      <c r="AZ440" s="34">
        <v>0</v>
      </c>
      <c r="BA440" s="34">
        <v>0</v>
      </c>
      <c r="BB440" s="34">
        <v>0</v>
      </c>
      <c r="BC440" s="34">
        <v>0</v>
      </c>
    </row>
    <row r="441" spans="1:55" s="55" customFormat="1" ht="45" customHeight="1" x14ac:dyDescent="0.25">
      <c r="A441" s="110" t="s">
        <v>66</v>
      </c>
      <c r="B441" s="96" t="s">
        <v>851</v>
      </c>
      <c r="C441" s="116" t="s">
        <v>852</v>
      </c>
      <c r="D441" s="88">
        <v>0</v>
      </c>
      <c r="E441" s="29">
        <f t="shared" si="285"/>
        <v>26.603999999999999</v>
      </c>
      <c r="F441" s="29">
        <f t="shared" si="285"/>
        <v>0</v>
      </c>
      <c r="G441" s="29">
        <f t="shared" si="285"/>
        <v>0</v>
      </c>
      <c r="H441" s="29">
        <f t="shared" si="283"/>
        <v>26.603999999999999</v>
      </c>
      <c r="I441" s="29">
        <f t="shared" si="283"/>
        <v>0</v>
      </c>
      <c r="J441" s="29">
        <f t="shared" si="324"/>
        <v>0</v>
      </c>
      <c r="K441" s="29">
        <v>0</v>
      </c>
      <c r="L441" s="29">
        <v>0</v>
      </c>
      <c r="M441" s="29">
        <v>0</v>
      </c>
      <c r="N441" s="29">
        <v>0</v>
      </c>
      <c r="O441" s="29">
        <v>0</v>
      </c>
      <c r="P441" s="29">
        <v>0</v>
      </c>
      <c r="Q441" s="29">
        <v>0</v>
      </c>
      <c r="R441" s="29">
        <v>0</v>
      </c>
      <c r="S441" s="29">
        <v>0</v>
      </c>
      <c r="T441" s="30">
        <v>0</v>
      </c>
      <c r="U441" s="30">
        <v>0</v>
      </c>
      <c r="V441" s="30">
        <v>0</v>
      </c>
      <c r="W441" s="30">
        <v>0</v>
      </c>
      <c r="X441" s="30">
        <v>0</v>
      </c>
      <c r="Y441" s="30">
        <f>AB441</f>
        <v>26.603999999999999</v>
      </c>
      <c r="Z441" s="30">
        <v>0</v>
      </c>
      <c r="AA441" s="30">
        <v>0</v>
      </c>
      <c r="AB441" s="30">
        <v>26.603999999999999</v>
      </c>
      <c r="AC441" s="34">
        <v>0</v>
      </c>
      <c r="AD441" s="36">
        <v>0</v>
      </c>
      <c r="AE441" s="36">
        <f t="shared" si="286"/>
        <v>22.17</v>
      </c>
      <c r="AF441" s="36">
        <f t="shared" si="286"/>
        <v>0</v>
      </c>
      <c r="AG441" s="36">
        <f t="shared" si="286"/>
        <v>0</v>
      </c>
      <c r="AH441" s="36">
        <f t="shared" si="284"/>
        <v>22.17</v>
      </c>
      <c r="AI441" s="36">
        <f t="shared" si="284"/>
        <v>0</v>
      </c>
      <c r="AJ441" s="36">
        <v>0</v>
      </c>
      <c r="AK441" s="36">
        <v>0</v>
      </c>
      <c r="AL441" s="36">
        <v>0</v>
      </c>
      <c r="AM441" s="36">
        <v>0</v>
      </c>
      <c r="AN441" s="36">
        <v>0</v>
      </c>
      <c r="AO441" s="34">
        <v>0</v>
      </c>
      <c r="AP441" s="34">
        <v>0</v>
      </c>
      <c r="AQ441" s="34">
        <v>0</v>
      </c>
      <c r="AR441" s="34">
        <v>0</v>
      </c>
      <c r="AS441" s="34">
        <v>0</v>
      </c>
      <c r="AT441" s="34">
        <v>0</v>
      </c>
      <c r="AU441" s="34">
        <v>0</v>
      </c>
      <c r="AV441" s="34">
        <v>0</v>
      </c>
      <c r="AW441" s="34">
        <v>0</v>
      </c>
      <c r="AX441" s="34">
        <v>0</v>
      </c>
      <c r="AY441" s="34">
        <f t="shared" si="334"/>
        <v>22.17</v>
      </c>
      <c r="AZ441" s="34">
        <v>0</v>
      </c>
      <c r="BA441" s="34">
        <v>0</v>
      </c>
      <c r="BB441" s="34">
        <v>22.17</v>
      </c>
      <c r="BC441" s="34">
        <v>0</v>
      </c>
    </row>
    <row r="442" spans="1:55" s="55" customFormat="1" ht="45" customHeight="1" x14ac:dyDescent="0.25">
      <c r="A442" s="110" t="s">
        <v>66</v>
      </c>
      <c r="B442" s="96" t="s">
        <v>670</v>
      </c>
      <c r="C442" s="116" t="s">
        <v>671</v>
      </c>
      <c r="D442" s="88">
        <v>0</v>
      </c>
      <c r="E442" s="29">
        <f t="shared" si="285"/>
        <v>2.27412E-2</v>
      </c>
      <c r="F442" s="29">
        <f t="shared" si="285"/>
        <v>2.27412E-2</v>
      </c>
      <c r="G442" s="29">
        <f t="shared" si="285"/>
        <v>0</v>
      </c>
      <c r="H442" s="29">
        <f t="shared" si="283"/>
        <v>0</v>
      </c>
      <c r="I442" s="29">
        <f t="shared" si="283"/>
        <v>0</v>
      </c>
      <c r="J442" s="29">
        <f t="shared" si="324"/>
        <v>0</v>
      </c>
      <c r="K442" s="29">
        <v>0</v>
      </c>
      <c r="L442" s="29">
        <v>0</v>
      </c>
      <c r="M442" s="29">
        <v>0</v>
      </c>
      <c r="N442" s="29">
        <v>0</v>
      </c>
      <c r="O442" s="29">
        <v>0</v>
      </c>
      <c r="P442" s="29">
        <v>0</v>
      </c>
      <c r="Q442" s="29">
        <v>0</v>
      </c>
      <c r="R442" s="29">
        <v>0</v>
      </c>
      <c r="S442" s="29">
        <v>0</v>
      </c>
      <c r="T442" s="30">
        <f t="shared" si="330"/>
        <v>2.27412E-2</v>
      </c>
      <c r="U442" s="30">
        <v>2.27412E-2</v>
      </c>
      <c r="V442" s="30">
        <v>0</v>
      </c>
      <c r="W442" s="30">
        <v>0</v>
      </c>
      <c r="X442" s="30">
        <v>0</v>
      </c>
      <c r="Y442" s="30">
        <f t="shared" si="331"/>
        <v>0</v>
      </c>
      <c r="Z442" s="30">
        <v>0</v>
      </c>
      <c r="AA442" s="30">
        <v>0</v>
      </c>
      <c r="AB442" s="30">
        <v>0</v>
      </c>
      <c r="AC442" s="34">
        <v>0</v>
      </c>
      <c r="AD442" s="36">
        <v>0</v>
      </c>
      <c r="AE442" s="36">
        <f>SUM('[1]12квОсв '!$I$458+D436)</f>
        <v>42.871311410000004</v>
      </c>
      <c r="AF442" s="36">
        <f t="shared" si="286"/>
        <v>0</v>
      </c>
      <c r="AG442" s="36">
        <f t="shared" si="286"/>
        <v>0</v>
      </c>
      <c r="AH442" s="36">
        <f t="shared" si="284"/>
        <v>0</v>
      </c>
      <c r="AI442" s="36">
        <f t="shared" si="284"/>
        <v>0</v>
      </c>
      <c r="AJ442" s="36">
        <v>0</v>
      </c>
      <c r="AK442" s="36">
        <v>0</v>
      </c>
      <c r="AL442" s="36">
        <v>0</v>
      </c>
      <c r="AM442" s="36">
        <v>0</v>
      </c>
      <c r="AN442" s="36">
        <v>0</v>
      </c>
      <c r="AO442" s="34">
        <v>0</v>
      </c>
      <c r="AP442" s="34">
        <v>0</v>
      </c>
      <c r="AQ442" s="34">
        <v>0</v>
      </c>
      <c r="AR442" s="34">
        <v>0</v>
      </c>
      <c r="AS442" s="34">
        <v>0</v>
      </c>
      <c r="AT442" s="34">
        <f t="shared" si="332"/>
        <v>0</v>
      </c>
      <c r="AU442" s="34">
        <v>0</v>
      </c>
      <c r="AV442" s="34">
        <v>0</v>
      </c>
      <c r="AW442" s="34">
        <v>0</v>
      </c>
      <c r="AX442" s="34">
        <v>0</v>
      </c>
      <c r="AY442" s="34">
        <f t="shared" si="334"/>
        <v>0</v>
      </c>
      <c r="AZ442" s="34">
        <v>0</v>
      </c>
      <c r="BA442" s="34">
        <v>0</v>
      </c>
      <c r="BB442" s="34">
        <v>0</v>
      </c>
      <c r="BC442" s="34">
        <v>0</v>
      </c>
    </row>
    <row r="443" spans="1:55" s="55" customFormat="1" ht="34.5" customHeight="1" x14ac:dyDescent="0.25">
      <c r="A443" s="71" t="s">
        <v>88</v>
      </c>
      <c r="B443" s="78" t="s">
        <v>361</v>
      </c>
      <c r="C443" s="79" t="s">
        <v>101</v>
      </c>
      <c r="D443" s="84">
        <v>0</v>
      </c>
      <c r="E443" s="75">
        <f t="shared" si="285"/>
        <v>0</v>
      </c>
      <c r="F443" s="75">
        <f t="shared" si="285"/>
        <v>0</v>
      </c>
      <c r="G443" s="75">
        <f t="shared" si="285"/>
        <v>0</v>
      </c>
      <c r="H443" s="75">
        <f t="shared" si="283"/>
        <v>0</v>
      </c>
      <c r="I443" s="75">
        <f t="shared" si="283"/>
        <v>0</v>
      </c>
      <c r="J443" s="75">
        <f t="shared" si="281"/>
        <v>0</v>
      </c>
      <c r="K443" s="75">
        <v>0</v>
      </c>
      <c r="L443" s="75">
        <v>0</v>
      </c>
      <c r="M443" s="75">
        <v>0</v>
      </c>
      <c r="N443" s="75">
        <v>0</v>
      </c>
      <c r="O443" s="75">
        <v>0</v>
      </c>
      <c r="P443" s="75">
        <f t="shared" ref="P443" si="342">Q443+R443+S443</f>
        <v>0</v>
      </c>
      <c r="Q443" s="75">
        <v>0</v>
      </c>
      <c r="R443" s="75">
        <v>0</v>
      </c>
      <c r="S443" s="75">
        <v>0</v>
      </c>
      <c r="T443" s="118">
        <f t="shared" si="330"/>
        <v>0</v>
      </c>
      <c r="U443" s="118">
        <v>0</v>
      </c>
      <c r="V443" s="118">
        <v>0</v>
      </c>
      <c r="W443" s="118">
        <v>0</v>
      </c>
      <c r="X443" s="118">
        <v>0</v>
      </c>
      <c r="Y443" s="118">
        <f t="shared" si="331"/>
        <v>0</v>
      </c>
      <c r="Z443" s="118">
        <v>0</v>
      </c>
      <c r="AA443" s="118">
        <v>0</v>
      </c>
      <c r="AB443" s="118">
        <v>0</v>
      </c>
      <c r="AC443" s="53">
        <v>0</v>
      </c>
      <c r="AD443" s="35">
        <f t="shared" ref="AD443:AD449" si="343">D443/1.2</f>
        <v>0</v>
      </c>
      <c r="AE443" s="35">
        <f t="shared" si="286"/>
        <v>0</v>
      </c>
      <c r="AF443" s="35">
        <f t="shared" si="286"/>
        <v>0</v>
      </c>
      <c r="AG443" s="35">
        <f t="shared" si="286"/>
        <v>0</v>
      </c>
      <c r="AH443" s="35">
        <f t="shared" si="284"/>
        <v>0</v>
      </c>
      <c r="AI443" s="35">
        <f t="shared" si="284"/>
        <v>0</v>
      </c>
      <c r="AJ443" s="35">
        <f t="shared" si="282"/>
        <v>0</v>
      </c>
      <c r="AK443" s="35">
        <v>0</v>
      </c>
      <c r="AL443" s="35">
        <v>0</v>
      </c>
      <c r="AM443" s="35">
        <v>0</v>
      </c>
      <c r="AN443" s="35">
        <v>0</v>
      </c>
      <c r="AO443" s="53">
        <v>0</v>
      </c>
      <c r="AP443" s="53">
        <f t="shared" ref="AP443" si="344">AQ443+AR443+AS443</f>
        <v>0</v>
      </c>
      <c r="AQ443" s="53">
        <v>0</v>
      </c>
      <c r="AR443" s="53">
        <v>0</v>
      </c>
      <c r="AS443" s="53">
        <v>0</v>
      </c>
      <c r="AT443" s="53">
        <f t="shared" si="332"/>
        <v>0</v>
      </c>
      <c r="AU443" s="53">
        <v>0</v>
      </c>
      <c r="AV443" s="53">
        <v>0</v>
      </c>
      <c r="AW443" s="53">
        <v>0</v>
      </c>
      <c r="AX443" s="53">
        <v>0</v>
      </c>
      <c r="AY443" s="53">
        <f t="shared" si="333"/>
        <v>0</v>
      </c>
      <c r="AZ443" s="53">
        <v>0</v>
      </c>
      <c r="BA443" s="53">
        <v>0</v>
      </c>
      <c r="BB443" s="53">
        <v>0</v>
      </c>
      <c r="BC443" s="53">
        <v>0</v>
      </c>
    </row>
    <row r="444" spans="1:55" s="55" customFormat="1" ht="31.5" customHeight="1" x14ac:dyDescent="0.25">
      <c r="A444" s="71" t="s">
        <v>89</v>
      </c>
      <c r="B444" s="78" t="s">
        <v>362</v>
      </c>
      <c r="C444" s="79" t="s">
        <v>101</v>
      </c>
      <c r="D444" s="84">
        <f>D445+D446+D447+D448+D449</f>
        <v>53.930135999999997</v>
      </c>
      <c r="E444" s="75">
        <f t="shared" si="285"/>
        <v>37.322009375999997</v>
      </c>
      <c r="F444" s="75">
        <f t="shared" si="285"/>
        <v>0</v>
      </c>
      <c r="G444" s="75">
        <f t="shared" si="285"/>
        <v>0</v>
      </c>
      <c r="H444" s="75">
        <f t="shared" si="283"/>
        <v>37.322009375999997</v>
      </c>
      <c r="I444" s="75">
        <f t="shared" si="283"/>
        <v>0</v>
      </c>
      <c r="J444" s="84">
        <f t="shared" ref="J444:X444" si="345">J445+J446+J447+J448+J449</f>
        <v>9.727050492</v>
      </c>
      <c r="K444" s="84">
        <f t="shared" si="345"/>
        <v>0</v>
      </c>
      <c r="L444" s="84">
        <f t="shared" si="345"/>
        <v>0</v>
      </c>
      <c r="M444" s="84">
        <f t="shared" si="345"/>
        <v>9.727050492</v>
      </c>
      <c r="N444" s="84">
        <f t="shared" si="345"/>
        <v>0</v>
      </c>
      <c r="O444" s="84">
        <f t="shared" si="345"/>
        <v>-0.16718473200000003</v>
      </c>
      <c r="P444" s="84">
        <f t="shared" si="345"/>
        <v>0</v>
      </c>
      <c r="Q444" s="84">
        <f t="shared" si="345"/>
        <v>0</v>
      </c>
      <c r="R444" s="84">
        <f t="shared" si="345"/>
        <v>-0.16718473200000003</v>
      </c>
      <c r="S444" s="84">
        <f t="shared" si="345"/>
        <v>0</v>
      </c>
      <c r="T444" s="118">
        <f t="shared" si="345"/>
        <v>0</v>
      </c>
      <c r="U444" s="118">
        <f t="shared" si="345"/>
        <v>0</v>
      </c>
      <c r="V444" s="118">
        <f t="shared" si="345"/>
        <v>0</v>
      </c>
      <c r="W444" s="118">
        <f t="shared" si="345"/>
        <v>0</v>
      </c>
      <c r="X444" s="118">
        <f t="shared" si="345"/>
        <v>0</v>
      </c>
      <c r="Y444" s="118">
        <f t="shared" ref="Y444:AC444" si="346">Y445+Y446+Y447+Y448+Y449</f>
        <v>27.762143615999996</v>
      </c>
      <c r="Z444" s="118">
        <f t="shared" si="346"/>
        <v>0</v>
      </c>
      <c r="AA444" s="118">
        <f t="shared" si="346"/>
        <v>0</v>
      </c>
      <c r="AB444" s="118">
        <f t="shared" si="346"/>
        <v>27.762143615999996</v>
      </c>
      <c r="AC444" s="53">
        <f t="shared" si="346"/>
        <v>0</v>
      </c>
      <c r="AD444" s="35">
        <f t="shared" si="343"/>
        <v>44.941780000000001</v>
      </c>
      <c r="AE444" s="35">
        <f t="shared" si="286"/>
        <v>31.749132100000004</v>
      </c>
      <c r="AF444" s="35">
        <f t="shared" si="286"/>
        <v>0</v>
      </c>
      <c r="AG444" s="35">
        <f t="shared" si="286"/>
        <v>0</v>
      </c>
      <c r="AH444" s="35">
        <f t="shared" si="284"/>
        <v>31.749132100000004</v>
      </c>
      <c r="AI444" s="35">
        <f t="shared" si="284"/>
        <v>0</v>
      </c>
      <c r="AJ444" s="35">
        <f t="shared" ref="AJ444:AN444" si="347">AJ445+AJ446+AJ447+AJ448+AJ449</f>
        <v>8.7533330300000003</v>
      </c>
      <c r="AK444" s="35">
        <f t="shared" si="347"/>
        <v>0</v>
      </c>
      <c r="AL444" s="35">
        <f t="shared" si="347"/>
        <v>0</v>
      </c>
      <c r="AM444" s="35">
        <f t="shared" si="347"/>
        <v>8.7533330300000003</v>
      </c>
      <c r="AN444" s="35">
        <f t="shared" si="347"/>
        <v>0</v>
      </c>
      <c r="AO444" s="35">
        <f t="shared" ref="AO444:AX444" si="348">AO445+AO446+AO447+AO448+AO449</f>
        <v>-0.13932061000000001</v>
      </c>
      <c r="AP444" s="35">
        <f t="shared" si="348"/>
        <v>0</v>
      </c>
      <c r="AQ444" s="35">
        <f t="shared" si="348"/>
        <v>0</v>
      </c>
      <c r="AR444" s="35">
        <f t="shared" si="348"/>
        <v>-0.13932061000000001</v>
      </c>
      <c r="AS444" s="35">
        <f t="shared" si="348"/>
        <v>0</v>
      </c>
      <c r="AT444" s="35">
        <f t="shared" si="348"/>
        <v>0</v>
      </c>
      <c r="AU444" s="35">
        <f t="shared" si="348"/>
        <v>0</v>
      </c>
      <c r="AV444" s="35">
        <f t="shared" si="348"/>
        <v>0</v>
      </c>
      <c r="AW444" s="35">
        <f t="shared" si="348"/>
        <v>0</v>
      </c>
      <c r="AX444" s="35">
        <f t="shared" si="348"/>
        <v>0</v>
      </c>
      <c r="AY444" s="53">
        <f t="shared" ref="AY444:BC444" si="349">AY445+AY446+AY447+AY448+AY449</f>
        <v>23.135119680000003</v>
      </c>
      <c r="AZ444" s="53">
        <f t="shared" si="349"/>
        <v>0</v>
      </c>
      <c r="BA444" s="53">
        <f t="shared" si="349"/>
        <v>0</v>
      </c>
      <c r="BB444" s="53">
        <f t="shared" si="349"/>
        <v>23.135119680000003</v>
      </c>
      <c r="BC444" s="53">
        <f t="shared" si="349"/>
        <v>0</v>
      </c>
    </row>
    <row r="445" spans="1:55" s="55" customFormat="1" ht="240.75" customHeight="1" x14ac:dyDescent="0.25">
      <c r="A445" s="85" t="s">
        <v>89</v>
      </c>
      <c r="B445" s="117" t="s">
        <v>454</v>
      </c>
      <c r="C445" s="87" t="s">
        <v>455</v>
      </c>
      <c r="D445" s="88">
        <v>0</v>
      </c>
      <c r="E445" s="29">
        <f t="shared" si="285"/>
        <v>9.1698867600000007</v>
      </c>
      <c r="F445" s="29">
        <f t="shared" si="285"/>
        <v>0</v>
      </c>
      <c r="G445" s="29">
        <f t="shared" si="285"/>
        <v>0</v>
      </c>
      <c r="H445" s="29">
        <f t="shared" si="283"/>
        <v>9.1698867600000007</v>
      </c>
      <c r="I445" s="29">
        <f t="shared" si="283"/>
        <v>0</v>
      </c>
      <c r="J445" s="29">
        <f>K445+L445+M445+N445</f>
        <v>9.4019715000000001</v>
      </c>
      <c r="K445" s="29">
        <v>0</v>
      </c>
      <c r="L445" s="29">
        <v>0</v>
      </c>
      <c r="M445" s="29">
        <v>9.4019715000000001</v>
      </c>
      <c r="N445" s="29">
        <v>0</v>
      </c>
      <c r="O445" s="29">
        <f>P445+Q445+R445+S445</f>
        <v>-0.31508474400000003</v>
      </c>
      <c r="P445" s="29">
        <v>0</v>
      </c>
      <c r="Q445" s="29">
        <v>0</v>
      </c>
      <c r="R445" s="29">
        <v>-0.31508474400000003</v>
      </c>
      <c r="S445" s="29">
        <v>0</v>
      </c>
      <c r="T445" s="30">
        <f>U445+V445+W445+X445</f>
        <v>0</v>
      </c>
      <c r="U445" s="30">
        <v>0</v>
      </c>
      <c r="V445" s="30">
        <v>0</v>
      </c>
      <c r="W445" s="30">
        <v>0</v>
      </c>
      <c r="X445" s="30">
        <v>0</v>
      </c>
      <c r="Y445" s="30">
        <f>Z445+AA445+AB445+AC445</f>
        <v>8.3000003999999988E-2</v>
      </c>
      <c r="Z445" s="30">
        <v>0</v>
      </c>
      <c r="AA445" s="30">
        <v>0</v>
      </c>
      <c r="AB445" s="30">
        <f>69.16667*1.2/1000</f>
        <v>8.3000003999999988E-2</v>
      </c>
      <c r="AC445" s="34">
        <v>0</v>
      </c>
      <c r="AD445" s="36">
        <f t="shared" si="343"/>
        <v>0</v>
      </c>
      <c r="AE445" s="36">
        <f t="shared" si="286"/>
        <v>7.6415723</v>
      </c>
      <c r="AF445" s="36">
        <f t="shared" si="286"/>
        <v>0</v>
      </c>
      <c r="AG445" s="36">
        <f t="shared" si="286"/>
        <v>0</v>
      </c>
      <c r="AH445" s="36">
        <f t="shared" si="284"/>
        <v>7.6415723</v>
      </c>
      <c r="AI445" s="36">
        <f t="shared" si="284"/>
        <v>0</v>
      </c>
      <c r="AJ445" s="36">
        <f t="shared" si="282"/>
        <v>7.8349762499999995</v>
      </c>
      <c r="AK445" s="36">
        <v>0</v>
      </c>
      <c r="AL445" s="36">
        <v>0</v>
      </c>
      <c r="AM445" s="36">
        <v>7.8349762499999995</v>
      </c>
      <c r="AN445" s="36">
        <v>0</v>
      </c>
      <c r="AO445" s="34">
        <f>AP445+AQ445+AR445+AS445</f>
        <v>-0.26257062000000003</v>
      </c>
      <c r="AP445" s="34">
        <v>0</v>
      </c>
      <c r="AQ445" s="34">
        <v>0</v>
      </c>
      <c r="AR445" s="34">
        <f>-0.315084744/1.2</f>
        <v>-0.26257062000000003</v>
      </c>
      <c r="AS445" s="34">
        <v>0</v>
      </c>
      <c r="AT445" s="34">
        <f>AU445+AV445+AW445+AX445</f>
        <v>0</v>
      </c>
      <c r="AU445" s="34">
        <v>0</v>
      </c>
      <c r="AV445" s="34"/>
      <c r="AW445" s="34">
        <v>0</v>
      </c>
      <c r="AX445" s="34"/>
      <c r="AY445" s="34">
        <f>AZ445+BA445+BB445+BC445</f>
        <v>6.916667E-2</v>
      </c>
      <c r="AZ445" s="34">
        <v>0</v>
      </c>
      <c r="BA445" s="34">
        <v>0</v>
      </c>
      <c r="BB445" s="34">
        <f>69.16667/1000</f>
        <v>6.916667E-2</v>
      </c>
      <c r="BC445" s="34">
        <v>0</v>
      </c>
    </row>
    <row r="446" spans="1:55" s="55" customFormat="1" ht="240.75" customHeight="1" x14ac:dyDescent="0.25">
      <c r="A446" s="31" t="s">
        <v>89</v>
      </c>
      <c r="B446" s="96" t="s">
        <v>620</v>
      </c>
      <c r="C446" s="90" t="s">
        <v>363</v>
      </c>
      <c r="D446" s="88">
        <v>6.7556280000000006</v>
      </c>
      <c r="E446" s="29">
        <f t="shared" si="285"/>
        <v>5.8400492999999987</v>
      </c>
      <c r="F446" s="29">
        <f t="shared" si="285"/>
        <v>0</v>
      </c>
      <c r="G446" s="29">
        <f t="shared" si="285"/>
        <v>0</v>
      </c>
      <c r="H446" s="29">
        <f t="shared" si="283"/>
        <v>5.8400492999999987</v>
      </c>
      <c r="I446" s="29">
        <f t="shared" si="283"/>
        <v>0</v>
      </c>
      <c r="J446" s="29">
        <f t="shared" si="281"/>
        <v>0.32507899199999996</v>
      </c>
      <c r="K446" s="29">
        <v>0</v>
      </c>
      <c r="L446" s="29">
        <v>0</v>
      </c>
      <c r="M446" s="29">
        <v>0.32507899199999996</v>
      </c>
      <c r="N446" s="29">
        <v>0</v>
      </c>
      <c r="O446" s="29">
        <v>0</v>
      </c>
      <c r="P446" s="29">
        <v>0</v>
      </c>
      <c r="Q446" s="29">
        <v>0</v>
      </c>
      <c r="R446" s="29">
        <v>0</v>
      </c>
      <c r="S446" s="29">
        <v>0</v>
      </c>
      <c r="T446" s="30">
        <f t="shared" ref="T446:T449" si="350">U446+V446+W446+X446</f>
        <v>0</v>
      </c>
      <c r="U446" s="30">
        <v>0</v>
      </c>
      <c r="V446" s="30">
        <v>0</v>
      </c>
      <c r="W446" s="30">
        <v>0</v>
      </c>
      <c r="X446" s="30">
        <v>0</v>
      </c>
      <c r="Y446" s="30">
        <f t="shared" ref="Y446:Y449" si="351">Z446+AA446+AB446+AC446</f>
        <v>5.5149703079999988</v>
      </c>
      <c r="Z446" s="30">
        <v>0</v>
      </c>
      <c r="AA446" s="30">
        <v>0</v>
      </c>
      <c r="AB446" s="30">
        <f>4595.80859*1.2/1000</f>
        <v>5.5149703079999988</v>
      </c>
      <c r="AC446" s="34">
        <v>0</v>
      </c>
      <c r="AD446" s="36">
        <f t="shared" si="343"/>
        <v>5.629690000000001</v>
      </c>
      <c r="AE446" s="36">
        <f t="shared" si="286"/>
        <v>4.8667077499999998</v>
      </c>
      <c r="AF446" s="36">
        <f t="shared" si="286"/>
        <v>0</v>
      </c>
      <c r="AG446" s="36">
        <f t="shared" si="286"/>
        <v>0</v>
      </c>
      <c r="AH446" s="36">
        <f t="shared" si="284"/>
        <v>4.8667077499999998</v>
      </c>
      <c r="AI446" s="36">
        <f t="shared" si="284"/>
        <v>0</v>
      </c>
      <c r="AJ446" s="36">
        <f t="shared" si="282"/>
        <v>0.27089915999999997</v>
      </c>
      <c r="AK446" s="36">
        <v>0</v>
      </c>
      <c r="AL446" s="36">
        <v>0</v>
      </c>
      <c r="AM446" s="36">
        <v>0.27089915999999997</v>
      </c>
      <c r="AN446" s="36">
        <v>0</v>
      </c>
      <c r="AO446" s="34">
        <f t="shared" ref="AO446:AO449" si="352">AP446+AQ446+AR446+AS446</f>
        <v>0</v>
      </c>
      <c r="AP446" s="34">
        <v>0</v>
      </c>
      <c r="AQ446" s="34">
        <v>0</v>
      </c>
      <c r="AR446" s="34">
        <v>0</v>
      </c>
      <c r="AS446" s="34">
        <v>0</v>
      </c>
      <c r="AT446" s="34">
        <f t="shared" ref="AT446:AT449" si="353">AU446+AV446+AW446+AX446</f>
        <v>0</v>
      </c>
      <c r="AU446" s="34">
        <v>0</v>
      </c>
      <c r="AV446" s="34">
        <v>0</v>
      </c>
      <c r="AW446" s="34">
        <v>0</v>
      </c>
      <c r="AX446" s="34">
        <v>0</v>
      </c>
      <c r="AY446" s="34">
        <f t="shared" ref="AY446:AY449" si="354">AZ446+BA446+BB446+BC446</f>
        <v>4.5958085899999999</v>
      </c>
      <c r="AZ446" s="34">
        <v>0</v>
      </c>
      <c r="BA446" s="34">
        <v>0</v>
      </c>
      <c r="BB446" s="34">
        <f>4595.80859/1000</f>
        <v>4.5958085899999999</v>
      </c>
      <c r="BC446" s="34">
        <v>0</v>
      </c>
    </row>
    <row r="447" spans="1:55" s="55" customFormat="1" ht="240.75" customHeight="1" x14ac:dyDescent="0.25">
      <c r="A447" s="31" t="s">
        <v>89</v>
      </c>
      <c r="B447" s="101" t="s">
        <v>621</v>
      </c>
      <c r="C447" s="90" t="s">
        <v>364</v>
      </c>
      <c r="D447" s="88">
        <v>47.174507999999996</v>
      </c>
      <c r="E447" s="29">
        <f t="shared" si="285"/>
        <v>22.164173303999998</v>
      </c>
      <c r="F447" s="29">
        <f t="shared" si="285"/>
        <v>0</v>
      </c>
      <c r="G447" s="29">
        <f t="shared" si="285"/>
        <v>0</v>
      </c>
      <c r="H447" s="29">
        <f t="shared" si="283"/>
        <v>22.164173303999998</v>
      </c>
      <c r="I447" s="29">
        <f t="shared" si="283"/>
        <v>0</v>
      </c>
      <c r="J447" s="29">
        <f t="shared" si="281"/>
        <v>0</v>
      </c>
      <c r="K447" s="29">
        <v>0</v>
      </c>
      <c r="L447" s="29">
        <v>0</v>
      </c>
      <c r="M447" s="29">
        <v>0</v>
      </c>
      <c r="N447" s="29">
        <v>0</v>
      </c>
      <c r="O447" s="29">
        <v>0</v>
      </c>
      <c r="P447" s="29">
        <v>0</v>
      </c>
      <c r="Q447" s="29">
        <v>0</v>
      </c>
      <c r="R447" s="29">
        <v>0</v>
      </c>
      <c r="S447" s="29">
        <v>0</v>
      </c>
      <c r="T447" s="30">
        <f t="shared" si="350"/>
        <v>0</v>
      </c>
      <c r="U447" s="30">
        <v>0</v>
      </c>
      <c r="V447" s="30">
        <v>0</v>
      </c>
      <c r="W447" s="30">
        <v>0</v>
      </c>
      <c r="X447" s="30">
        <v>0</v>
      </c>
      <c r="Y447" s="30">
        <f t="shared" si="351"/>
        <v>22.164173303999998</v>
      </c>
      <c r="Z447" s="30">
        <v>0</v>
      </c>
      <c r="AA447" s="30">
        <v>0</v>
      </c>
      <c r="AB447" s="30">
        <v>22.164173303999998</v>
      </c>
      <c r="AC447" s="34">
        <v>0</v>
      </c>
      <c r="AD447" s="36">
        <f t="shared" si="343"/>
        <v>39.312089999999998</v>
      </c>
      <c r="AE447" s="36">
        <f t="shared" si="286"/>
        <v>18.47014442</v>
      </c>
      <c r="AF447" s="36">
        <f t="shared" si="286"/>
        <v>0</v>
      </c>
      <c r="AG447" s="36">
        <f t="shared" si="286"/>
        <v>0</v>
      </c>
      <c r="AH447" s="36">
        <f t="shared" si="284"/>
        <v>18.47014442</v>
      </c>
      <c r="AI447" s="36">
        <f t="shared" si="284"/>
        <v>0</v>
      </c>
      <c r="AJ447" s="36">
        <f t="shared" si="282"/>
        <v>0</v>
      </c>
      <c r="AK447" s="36">
        <v>0</v>
      </c>
      <c r="AL447" s="36">
        <v>0</v>
      </c>
      <c r="AM447" s="36">
        <v>0</v>
      </c>
      <c r="AN447" s="36">
        <v>0</v>
      </c>
      <c r="AO447" s="34">
        <f t="shared" si="352"/>
        <v>0</v>
      </c>
      <c r="AP447" s="34">
        <v>0</v>
      </c>
      <c r="AQ447" s="34">
        <v>0</v>
      </c>
      <c r="AR447" s="34">
        <v>0</v>
      </c>
      <c r="AS447" s="34">
        <v>0</v>
      </c>
      <c r="AT447" s="34">
        <f t="shared" si="353"/>
        <v>0</v>
      </c>
      <c r="AU447" s="34">
        <v>0</v>
      </c>
      <c r="AV447" s="34">
        <v>0</v>
      </c>
      <c r="AW447" s="34">
        <v>0</v>
      </c>
      <c r="AX447" s="34">
        <v>0</v>
      </c>
      <c r="AY447" s="34">
        <f t="shared" si="354"/>
        <v>18.47014442</v>
      </c>
      <c r="AZ447" s="34">
        <v>0</v>
      </c>
      <c r="BA447" s="34">
        <v>0</v>
      </c>
      <c r="BB447" s="34">
        <v>18.47014442</v>
      </c>
      <c r="BC447" s="34">
        <v>0</v>
      </c>
    </row>
    <row r="448" spans="1:55" s="55" customFormat="1" ht="240.75" customHeight="1" x14ac:dyDescent="0.25">
      <c r="A448" s="85" t="s">
        <v>89</v>
      </c>
      <c r="B448" s="96" t="s">
        <v>456</v>
      </c>
      <c r="C448" s="87" t="s">
        <v>583</v>
      </c>
      <c r="D448" s="29">
        <v>0</v>
      </c>
      <c r="E448" s="29">
        <f t="shared" si="285"/>
        <v>0</v>
      </c>
      <c r="F448" s="29">
        <f t="shared" si="285"/>
        <v>0</v>
      </c>
      <c r="G448" s="29">
        <f t="shared" si="285"/>
        <v>0</v>
      </c>
      <c r="H448" s="29">
        <f t="shared" si="285"/>
        <v>0</v>
      </c>
      <c r="I448" s="29">
        <f t="shared" si="285"/>
        <v>0</v>
      </c>
      <c r="J448" s="29">
        <f t="shared" si="281"/>
        <v>0</v>
      </c>
      <c r="K448" s="29">
        <v>0</v>
      </c>
      <c r="L448" s="29">
        <v>0</v>
      </c>
      <c r="M448" s="29">
        <v>0</v>
      </c>
      <c r="N448" s="29">
        <v>0</v>
      </c>
      <c r="O448" s="29">
        <v>0</v>
      </c>
      <c r="P448" s="29">
        <v>0</v>
      </c>
      <c r="Q448" s="29">
        <v>0</v>
      </c>
      <c r="R448" s="29">
        <v>0</v>
      </c>
      <c r="S448" s="29">
        <v>0</v>
      </c>
      <c r="T448" s="30">
        <f t="shared" si="350"/>
        <v>0</v>
      </c>
      <c r="U448" s="30">
        <v>0</v>
      </c>
      <c r="V448" s="30">
        <v>0</v>
      </c>
      <c r="W448" s="30">
        <v>0</v>
      </c>
      <c r="X448" s="30">
        <v>0</v>
      </c>
      <c r="Y448" s="30">
        <f t="shared" si="351"/>
        <v>0</v>
      </c>
      <c r="Z448" s="30">
        <v>0</v>
      </c>
      <c r="AA448" s="30">
        <v>0</v>
      </c>
      <c r="AB448" s="30">
        <v>0</v>
      </c>
      <c r="AC448" s="34">
        <v>0</v>
      </c>
      <c r="AD448" s="36">
        <f t="shared" si="343"/>
        <v>0</v>
      </c>
      <c r="AE448" s="36">
        <f t="shared" si="286"/>
        <v>0.64745761999999996</v>
      </c>
      <c r="AF448" s="36">
        <f t="shared" si="286"/>
        <v>0</v>
      </c>
      <c r="AG448" s="36">
        <f t="shared" si="286"/>
        <v>0</v>
      </c>
      <c r="AH448" s="36">
        <f t="shared" si="286"/>
        <v>0.64745761999999996</v>
      </c>
      <c r="AI448" s="36">
        <f t="shared" si="286"/>
        <v>0</v>
      </c>
      <c r="AJ448" s="36">
        <f t="shared" si="282"/>
        <v>0.64745761999999996</v>
      </c>
      <c r="AK448" s="36">
        <v>0</v>
      </c>
      <c r="AL448" s="36">
        <v>0</v>
      </c>
      <c r="AM448" s="36">
        <v>0.64745761999999996</v>
      </c>
      <c r="AN448" s="36">
        <v>0</v>
      </c>
      <c r="AO448" s="34">
        <f t="shared" si="352"/>
        <v>0</v>
      </c>
      <c r="AP448" s="34">
        <v>0</v>
      </c>
      <c r="AQ448" s="34">
        <v>0</v>
      </c>
      <c r="AR448" s="34">
        <v>0</v>
      </c>
      <c r="AS448" s="34">
        <v>0</v>
      </c>
      <c r="AT448" s="34">
        <f t="shared" si="353"/>
        <v>0</v>
      </c>
      <c r="AU448" s="34">
        <v>0</v>
      </c>
      <c r="AV448" s="34">
        <v>0</v>
      </c>
      <c r="AW448" s="34">
        <v>0</v>
      </c>
      <c r="AX448" s="34">
        <v>0</v>
      </c>
      <c r="AY448" s="34">
        <f t="shared" si="354"/>
        <v>0</v>
      </c>
      <c r="AZ448" s="34">
        <v>0</v>
      </c>
      <c r="BA448" s="34">
        <v>0</v>
      </c>
      <c r="BB448" s="34">
        <v>0</v>
      </c>
      <c r="BC448" s="34">
        <v>0</v>
      </c>
    </row>
    <row r="449" spans="1:55" s="55" customFormat="1" ht="240.75" customHeight="1" x14ac:dyDescent="0.25">
      <c r="A449" s="115" t="s">
        <v>89</v>
      </c>
      <c r="B449" s="96" t="s">
        <v>582</v>
      </c>
      <c r="C449" s="116" t="s">
        <v>453</v>
      </c>
      <c r="D449" s="30">
        <v>0</v>
      </c>
      <c r="E449" s="29">
        <f t="shared" ref="E449:I449" si="355">J449+O449+T449+Y449</f>
        <v>0.147900012</v>
      </c>
      <c r="F449" s="29">
        <f t="shared" si="355"/>
        <v>0</v>
      </c>
      <c r="G449" s="29">
        <f t="shared" si="355"/>
        <v>0</v>
      </c>
      <c r="H449" s="29">
        <f t="shared" si="355"/>
        <v>0.147900012</v>
      </c>
      <c r="I449" s="29">
        <f t="shared" si="355"/>
        <v>0</v>
      </c>
      <c r="J449" s="29">
        <f t="shared" si="281"/>
        <v>0</v>
      </c>
      <c r="K449" s="30">
        <v>0</v>
      </c>
      <c r="L449" s="30">
        <v>0</v>
      </c>
      <c r="M449" s="30">
        <v>0</v>
      </c>
      <c r="N449" s="30">
        <v>0</v>
      </c>
      <c r="O449" s="30">
        <f>P449+Q449+R449+S449</f>
        <v>0.147900012</v>
      </c>
      <c r="P449" s="29">
        <v>0</v>
      </c>
      <c r="Q449" s="30">
        <v>0</v>
      </c>
      <c r="R449" s="30">
        <v>0.147900012</v>
      </c>
      <c r="S449" s="30">
        <v>0</v>
      </c>
      <c r="T449" s="30">
        <f t="shared" si="350"/>
        <v>0</v>
      </c>
      <c r="U449" s="30">
        <v>0</v>
      </c>
      <c r="V449" s="30">
        <v>0</v>
      </c>
      <c r="W449" s="30">
        <v>0</v>
      </c>
      <c r="X449" s="30">
        <v>0</v>
      </c>
      <c r="Y449" s="30">
        <f t="shared" si="351"/>
        <v>0</v>
      </c>
      <c r="Z449" s="30">
        <v>0</v>
      </c>
      <c r="AA449" s="30">
        <v>0</v>
      </c>
      <c r="AB449" s="30">
        <v>0</v>
      </c>
      <c r="AC449" s="34">
        <v>0</v>
      </c>
      <c r="AD449" s="36">
        <f t="shared" si="343"/>
        <v>0</v>
      </c>
      <c r="AE449" s="36">
        <f t="shared" ref="AE449:AI449" si="356">AJ449+AO449+AT449+AY449</f>
        <v>0.12325001000000001</v>
      </c>
      <c r="AF449" s="36">
        <f t="shared" si="356"/>
        <v>0</v>
      </c>
      <c r="AG449" s="36">
        <f t="shared" si="356"/>
        <v>0</v>
      </c>
      <c r="AH449" s="36">
        <f t="shared" si="356"/>
        <v>0.12325001000000001</v>
      </c>
      <c r="AI449" s="36">
        <f t="shared" si="356"/>
        <v>0</v>
      </c>
      <c r="AJ449" s="36">
        <f t="shared" si="282"/>
        <v>0</v>
      </c>
      <c r="AK449" s="34">
        <v>0</v>
      </c>
      <c r="AL449" s="34">
        <v>0</v>
      </c>
      <c r="AM449" s="34">
        <v>0</v>
      </c>
      <c r="AN449" s="34">
        <v>0</v>
      </c>
      <c r="AO449" s="34">
        <f t="shared" si="352"/>
        <v>0.12325001000000001</v>
      </c>
      <c r="AP449" s="34">
        <v>0</v>
      </c>
      <c r="AQ449" s="34">
        <v>0</v>
      </c>
      <c r="AR449" s="34">
        <f>0.147900012/1.2</f>
        <v>0.12325001000000001</v>
      </c>
      <c r="AS449" s="34">
        <v>0</v>
      </c>
      <c r="AT449" s="34">
        <f t="shared" si="353"/>
        <v>0</v>
      </c>
      <c r="AU449" s="34">
        <v>0</v>
      </c>
      <c r="AV449" s="34">
        <v>0</v>
      </c>
      <c r="AW449" s="34">
        <v>0</v>
      </c>
      <c r="AX449" s="34">
        <v>0</v>
      </c>
      <c r="AY449" s="34">
        <f t="shared" si="354"/>
        <v>0</v>
      </c>
      <c r="AZ449" s="34">
        <v>0</v>
      </c>
      <c r="BA449" s="34">
        <v>0</v>
      </c>
      <c r="BB449" s="34">
        <v>0</v>
      </c>
      <c r="BC449" s="34">
        <v>0</v>
      </c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7">
    <mergeCell ref="G12:AN12"/>
    <mergeCell ref="G13:AN13"/>
    <mergeCell ref="AO285:AO287"/>
    <mergeCell ref="AP285:AP287"/>
    <mergeCell ref="AQ285:AQ287"/>
    <mergeCell ref="AR285:AR287"/>
    <mergeCell ref="AS285:AS287"/>
    <mergeCell ref="A15:A18"/>
    <mergeCell ref="C15:C18"/>
    <mergeCell ref="E16:AC16"/>
    <mergeCell ref="E17:I17"/>
    <mergeCell ref="AE16:BC16"/>
    <mergeCell ref="AE17:AI17"/>
    <mergeCell ref="AJ17:AN17"/>
    <mergeCell ref="AO17:AS17"/>
    <mergeCell ref="AT17:AX17"/>
    <mergeCell ref="S285:S287"/>
    <mergeCell ref="Q285:Q287"/>
    <mergeCell ref="O285:O287"/>
    <mergeCell ref="P285:P287"/>
    <mergeCell ref="R285:R287"/>
    <mergeCell ref="A4:BC4"/>
    <mergeCell ref="A7:BC7"/>
    <mergeCell ref="A8:BC8"/>
    <mergeCell ref="A10:BC10"/>
    <mergeCell ref="AY17:BC17"/>
    <mergeCell ref="D17:D18"/>
    <mergeCell ref="AD17:AD18"/>
    <mergeCell ref="J17:N17"/>
    <mergeCell ref="O17:S17"/>
    <mergeCell ref="T17:X17"/>
    <mergeCell ref="A5:BC5"/>
    <mergeCell ref="B15:B18"/>
    <mergeCell ref="A14:BC14"/>
    <mergeCell ref="D15:AC15"/>
    <mergeCell ref="Y17:AC17"/>
    <mergeCell ref="AD15:BC15"/>
  </mergeCells>
  <pageMargins left="0.78740157480314965" right="0.39370078740157483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17квЭт</vt:lpstr>
      <vt:lpstr>'17квЭт'!Область_печати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2020-03-31T10:46:01Z</dcterms:modified>
</cp:coreProperties>
</file>