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" yWindow="15" windowWidth="28590" windowHeight="14445" tabRatio="796"/>
  </bookViews>
  <sheets>
    <sheet name="12квОсв " sheetId="14" r:id="rId1"/>
  </sheets>
  <definedNames>
    <definedName name="_xlnm._FilterDatabase" localSheetId="0" hidden="1">'12квОсв '!$A$17:$BP$507</definedName>
    <definedName name="Z_500C2F4F_1743_499A_A051_20565DBF52B2_.wvu.PrintArea" localSheetId="0" hidden="1">'12квОсв '!$A$1:$V$17</definedName>
    <definedName name="_xlnm.Print_Area" localSheetId="0">'12квОсв '!$A$1:$V$17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164" i="14" l="1"/>
  <c r="Q315" i="14" l="1"/>
  <c r="O315" i="14"/>
  <c r="L449" i="14"/>
  <c r="M449" i="14"/>
  <c r="N449" i="14"/>
  <c r="O449" i="14"/>
  <c r="P449" i="14"/>
  <c r="Q449" i="14"/>
  <c r="J449" i="14"/>
  <c r="U378" i="14" l="1"/>
  <c r="U379" i="14"/>
  <c r="U380" i="14"/>
  <c r="U381" i="14"/>
  <c r="U382" i="14"/>
  <c r="U383" i="14"/>
  <c r="U384" i="14"/>
  <c r="U385" i="14"/>
  <c r="U386" i="14"/>
  <c r="U387" i="14"/>
  <c r="U388" i="14"/>
  <c r="U389" i="14"/>
  <c r="U390" i="14"/>
  <c r="U391" i="14"/>
  <c r="U392" i="14"/>
  <c r="U393" i="14"/>
  <c r="U394" i="14"/>
  <c r="U395" i="14"/>
  <c r="U398" i="14"/>
  <c r="U443" i="14"/>
  <c r="U444" i="14"/>
  <c r="U445" i="14"/>
  <c r="U457" i="14"/>
  <c r="U458" i="14"/>
  <c r="U459" i="14"/>
  <c r="U460" i="14"/>
  <c r="U461" i="14"/>
  <c r="U462" i="14"/>
  <c r="U463" i="14"/>
  <c r="U464" i="14"/>
  <c r="U465" i="14"/>
  <c r="U466" i="14"/>
  <c r="U467" i="14"/>
  <c r="U469" i="14"/>
  <c r="U470" i="14"/>
  <c r="U471" i="14"/>
  <c r="U505" i="14"/>
  <c r="U144" i="14"/>
  <c r="U167" i="14"/>
  <c r="U168" i="14"/>
  <c r="U169" i="14"/>
  <c r="U170" i="14"/>
  <c r="U171" i="14"/>
  <c r="U172" i="14"/>
  <c r="U174" i="14"/>
  <c r="U182" i="14"/>
  <c r="U183" i="14"/>
  <c r="U200" i="14"/>
  <c r="U201" i="14"/>
  <c r="U202" i="14"/>
  <c r="U203" i="14"/>
  <c r="U204" i="14"/>
  <c r="U205" i="14"/>
  <c r="U206" i="14"/>
  <c r="U207" i="14"/>
  <c r="U208" i="14"/>
  <c r="U209" i="14"/>
  <c r="U210" i="14"/>
  <c r="U211" i="14"/>
  <c r="U212" i="14"/>
  <c r="U213" i="14"/>
  <c r="U214" i="14"/>
  <c r="U215" i="14"/>
  <c r="U216" i="14"/>
  <c r="U217" i="14"/>
  <c r="U218" i="14"/>
  <c r="U219" i="14"/>
  <c r="U225" i="14"/>
  <c r="U226" i="14"/>
  <c r="U227" i="14"/>
  <c r="U228" i="14"/>
  <c r="U229" i="14"/>
  <c r="U230" i="14"/>
  <c r="U231" i="14"/>
  <c r="U232" i="14"/>
  <c r="U233" i="14"/>
  <c r="U249" i="14"/>
  <c r="U260" i="14"/>
  <c r="U300" i="14"/>
  <c r="U329" i="14"/>
  <c r="U331" i="14"/>
  <c r="U332" i="14"/>
  <c r="T344" i="14"/>
  <c r="T345" i="14"/>
  <c r="T346" i="14"/>
  <c r="T347" i="14"/>
  <c r="T348" i="14"/>
  <c r="T349" i="14"/>
  <c r="T360" i="14"/>
  <c r="T361" i="14"/>
  <c r="T362" i="14"/>
  <c r="T363" i="14"/>
  <c r="T364" i="14"/>
  <c r="T365" i="14"/>
  <c r="T366" i="14"/>
  <c r="T367" i="14"/>
  <c r="T368" i="14"/>
  <c r="T369" i="14"/>
  <c r="T370" i="14"/>
  <c r="T371" i="14"/>
  <c r="T372" i="14"/>
  <c r="T373" i="14"/>
  <c r="T374" i="14"/>
  <c r="T375" i="14"/>
  <c r="T376" i="14"/>
  <c r="T377" i="14"/>
  <c r="T378" i="14"/>
  <c r="T379" i="14"/>
  <c r="T380" i="14"/>
  <c r="T381" i="14"/>
  <c r="T382" i="14"/>
  <c r="T383" i="14"/>
  <c r="T384" i="14"/>
  <c r="T385" i="14"/>
  <c r="T386" i="14"/>
  <c r="T387" i="14"/>
  <c r="T388" i="14"/>
  <c r="T389" i="14"/>
  <c r="T390" i="14"/>
  <c r="T391" i="14"/>
  <c r="T392" i="14"/>
  <c r="T393" i="14"/>
  <c r="T394" i="14"/>
  <c r="T395" i="14"/>
  <c r="T398" i="14"/>
  <c r="T401" i="14"/>
  <c r="T404" i="14"/>
  <c r="T408" i="14"/>
  <c r="T409" i="14"/>
  <c r="T410" i="14"/>
  <c r="T417" i="14"/>
  <c r="T418" i="14"/>
  <c r="T419" i="14"/>
  <c r="T420" i="14"/>
  <c r="T421" i="14"/>
  <c r="T422" i="14"/>
  <c r="T423" i="14"/>
  <c r="T424" i="14"/>
  <c r="T425" i="14"/>
  <c r="T426" i="14"/>
  <c r="T427" i="14"/>
  <c r="T428" i="14"/>
  <c r="T429" i="14"/>
  <c r="T430" i="14"/>
  <c r="T431" i="14"/>
  <c r="T432" i="14"/>
  <c r="T433" i="14"/>
  <c r="T434" i="14"/>
  <c r="T435" i="14"/>
  <c r="T436" i="14"/>
  <c r="T437" i="14"/>
  <c r="T438" i="14"/>
  <c r="T439" i="14"/>
  <c r="T441" i="14"/>
  <c r="T443" i="14"/>
  <c r="T444" i="14"/>
  <c r="T445" i="14"/>
  <c r="T446" i="14"/>
  <c r="T447" i="14"/>
  <c r="T448" i="14"/>
  <c r="T450" i="14"/>
  <c r="T451" i="14"/>
  <c r="T452" i="14"/>
  <c r="T453" i="14"/>
  <c r="T454" i="14"/>
  <c r="T455" i="14"/>
  <c r="T456" i="14"/>
  <c r="T457" i="14"/>
  <c r="T458" i="14"/>
  <c r="T459" i="14"/>
  <c r="T460" i="14"/>
  <c r="T461" i="14"/>
  <c r="T462" i="14"/>
  <c r="T463" i="14"/>
  <c r="T464" i="14"/>
  <c r="T465" i="14"/>
  <c r="T466" i="14"/>
  <c r="T467" i="14"/>
  <c r="T468" i="14"/>
  <c r="T469" i="14"/>
  <c r="T470" i="14"/>
  <c r="T471" i="14"/>
  <c r="T475" i="14"/>
  <c r="T476" i="14"/>
  <c r="T477" i="14"/>
  <c r="T478" i="14"/>
  <c r="T479" i="14"/>
  <c r="T480" i="14"/>
  <c r="T481" i="14"/>
  <c r="T482" i="14"/>
  <c r="T483" i="14"/>
  <c r="T484" i="14"/>
  <c r="T485" i="14"/>
  <c r="T486" i="14"/>
  <c r="T487" i="14"/>
  <c r="T488" i="14"/>
  <c r="T489" i="14"/>
  <c r="T490" i="14"/>
  <c r="T491" i="14"/>
  <c r="T492" i="14"/>
  <c r="T493" i="14"/>
  <c r="T494" i="14"/>
  <c r="T495" i="14"/>
  <c r="T496" i="14"/>
  <c r="T497" i="14"/>
  <c r="T498" i="14"/>
  <c r="T499" i="14"/>
  <c r="T500" i="14"/>
  <c r="T501" i="14"/>
  <c r="T505" i="14"/>
  <c r="T329" i="14"/>
  <c r="T331" i="14"/>
  <c r="T332" i="14"/>
  <c r="T316" i="14"/>
  <c r="T317" i="14"/>
  <c r="T318" i="14"/>
  <c r="T319" i="14"/>
  <c r="T320" i="14"/>
  <c r="T321" i="14"/>
  <c r="T322" i="14"/>
  <c r="T323" i="14"/>
  <c r="T324" i="14"/>
  <c r="T300" i="14"/>
  <c r="T301" i="14"/>
  <c r="T302" i="14"/>
  <c r="T304" i="14"/>
  <c r="T305" i="14"/>
  <c r="T306" i="14"/>
  <c r="T307" i="14"/>
  <c r="T308" i="14"/>
  <c r="T309" i="14"/>
  <c r="T310" i="14"/>
  <c r="T311" i="14"/>
  <c r="T312" i="14"/>
  <c r="T313" i="14"/>
  <c r="T284" i="14"/>
  <c r="T285" i="14"/>
  <c r="T286" i="14"/>
  <c r="T287" i="14"/>
  <c r="T288" i="14"/>
  <c r="T289" i="14"/>
  <c r="T290" i="14"/>
  <c r="T291" i="14"/>
  <c r="T292" i="14"/>
  <c r="T293" i="14"/>
  <c r="T294" i="14"/>
  <c r="T295" i="14"/>
  <c r="T296" i="14"/>
  <c r="T297" i="14"/>
  <c r="T298" i="14"/>
  <c r="T299" i="14"/>
  <c r="T275" i="14"/>
  <c r="T276" i="14"/>
  <c r="T277" i="14"/>
  <c r="T278" i="14"/>
  <c r="T279" i="14"/>
  <c r="T280" i="14"/>
  <c r="T281" i="14"/>
  <c r="T282" i="14"/>
  <c r="T283" i="14"/>
  <c r="T258" i="14"/>
  <c r="T259" i="14"/>
  <c r="T260" i="14"/>
  <c r="T261" i="14"/>
  <c r="T262" i="14"/>
  <c r="T263" i="14"/>
  <c r="T264" i="14"/>
  <c r="T265" i="14"/>
  <c r="T266" i="14"/>
  <c r="T268" i="14"/>
  <c r="T269" i="14"/>
  <c r="T247" i="14"/>
  <c r="T248" i="14"/>
  <c r="T249" i="14"/>
  <c r="T252" i="14"/>
  <c r="T253" i="14"/>
  <c r="T254" i="14"/>
  <c r="T255" i="14"/>
  <c r="T256" i="14"/>
  <c r="T257" i="14"/>
  <c r="T241" i="14"/>
  <c r="T242" i="14"/>
  <c r="T243" i="14"/>
  <c r="T244" i="14"/>
  <c r="T245" i="14"/>
  <c r="T246" i="14"/>
  <c r="T223" i="14"/>
  <c r="T225" i="14"/>
  <c r="T226" i="14"/>
  <c r="T227" i="14"/>
  <c r="T228" i="14"/>
  <c r="T229" i="14"/>
  <c r="T230" i="14"/>
  <c r="T231" i="14"/>
  <c r="T232" i="14"/>
  <c r="T233" i="14"/>
  <c r="T215" i="14"/>
  <c r="T216" i="14"/>
  <c r="T217" i="14"/>
  <c r="T218" i="14"/>
  <c r="T219" i="14"/>
  <c r="T220" i="14"/>
  <c r="T221" i="14"/>
  <c r="T222" i="14"/>
  <c r="T206" i="14"/>
  <c r="T207" i="14"/>
  <c r="T208" i="14"/>
  <c r="T209" i="14"/>
  <c r="T210" i="14"/>
  <c r="T211" i="14"/>
  <c r="T212" i="14"/>
  <c r="T213" i="14"/>
  <c r="T214" i="14"/>
  <c r="T200" i="14"/>
  <c r="T201" i="14"/>
  <c r="T202" i="14"/>
  <c r="T203" i="14"/>
  <c r="T204" i="14"/>
  <c r="T205" i="14"/>
  <c r="T188" i="14"/>
  <c r="T189" i="14"/>
  <c r="T190" i="14"/>
  <c r="T191" i="14"/>
  <c r="T192" i="14"/>
  <c r="T193" i="14"/>
  <c r="T181" i="14"/>
  <c r="T182" i="14"/>
  <c r="T183" i="14"/>
  <c r="T184" i="14"/>
  <c r="T185" i="14"/>
  <c r="T186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119" i="14"/>
  <c r="T120" i="14"/>
  <c r="T121" i="14"/>
  <c r="T122" i="14"/>
  <c r="T123" i="14"/>
  <c r="T124" i="14"/>
  <c r="T125" i="14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9" i="14"/>
  <c r="T140" i="14"/>
  <c r="T141" i="14"/>
  <c r="T144" i="14"/>
  <c r="T149" i="14"/>
  <c r="T150" i="14"/>
  <c r="T153" i="14"/>
  <c r="T154" i="14"/>
  <c r="T156" i="14"/>
  <c r="T157" i="14"/>
  <c r="T158" i="14"/>
  <c r="T159" i="14"/>
  <c r="T160" i="14"/>
  <c r="T161" i="14"/>
  <c r="T167" i="14"/>
  <c r="T168" i="14"/>
  <c r="T169" i="14"/>
  <c r="T170" i="14"/>
  <c r="T171" i="14"/>
  <c r="T172" i="14"/>
  <c r="T174" i="14"/>
  <c r="T176" i="14"/>
  <c r="T177" i="14"/>
  <c r="T178" i="14"/>
  <c r="T179" i="14"/>
  <c r="T25" i="14"/>
  <c r="T28" i="14"/>
  <c r="T30" i="14"/>
  <c r="T31" i="14"/>
  <c r="T32" i="14"/>
  <c r="T33" i="14"/>
  <c r="T34" i="14"/>
  <c r="T35" i="14"/>
  <c r="T36" i="14"/>
  <c r="T37" i="14"/>
  <c r="T42" i="14"/>
  <c r="T45" i="14"/>
  <c r="T46" i="14"/>
  <c r="T47" i="14"/>
  <c r="T48" i="14"/>
  <c r="T49" i="14"/>
  <c r="T50" i="14"/>
  <c r="T51" i="14"/>
  <c r="T52" i="14"/>
  <c r="T53" i="14"/>
  <c r="T57" i="14"/>
  <c r="T58" i="14"/>
  <c r="T59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5" i="14"/>
  <c r="T86" i="14"/>
  <c r="T87" i="14"/>
  <c r="T88" i="14"/>
  <c r="T89" i="14"/>
  <c r="T90" i="14"/>
  <c r="T91" i="14"/>
  <c r="T92" i="14"/>
  <c r="T93" i="14"/>
  <c r="T94" i="14"/>
  <c r="S43" i="14"/>
  <c r="S138" i="14"/>
  <c r="I344" i="14"/>
  <c r="S344" i="14" s="1"/>
  <c r="I345" i="14"/>
  <c r="S345" i="14" s="1"/>
  <c r="I346" i="14"/>
  <c r="S346" i="14" s="1"/>
  <c r="I347" i="14"/>
  <c r="S347" i="14" s="1"/>
  <c r="I348" i="14"/>
  <c r="S348" i="14" s="1"/>
  <c r="I349" i="14"/>
  <c r="S349" i="14" s="1"/>
  <c r="I360" i="14"/>
  <c r="S360" i="14" s="1"/>
  <c r="I361" i="14"/>
  <c r="S361" i="14" s="1"/>
  <c r="I362" i="14"/>
  <c r="S362" i="14" s="1"/>
  <c r="I363" i="14"/>
  <c r="S363" i="14" s="1"/>
  <c r="I364" i="14"/>
  <c r="S364" i="14" s="1"/>
  <c r="I365" i="14"/>
  <c r="S365" i="14" s="1"/>
  <c r="I366" i="14"/>
  <c r="S366" i="14" s="1"/>
  <c r="I367" i="14"/>
  <c r="S367" i="14" s="1"/>
  <c r="I368" i="14"/>
  <c r="S368" i="14" s="1"/>
  <c r="I369" i="14"/>
  <c r="S369" i="14" s="1"/>
  <c r="I370" i="14"/>
  <c r="S370" i="14" s="1"/>
  <c r="I371" i="14"/>
  <c r="S371" i="14" s="1"/>
  <c r="I372" i="14"/>
  <c r="S372" i="14" s="1"/>
  <c r="I373" i="14"/>
  <c r="S373" i="14" s="1"/>
  <c r="I374" i="14"/>
  <c r="S374" i="14" s="1"/>
  <c r="I375" i="14"/>
  <c r="S375" i="14" s="1"/>
  <c r="I376" i="14"/>
  <c r="S376" i="14" s="1"/>
  <c r="I377" i="14"/>
  <c r="S377" i="14" s="1"/>
  <c r="I378" i="14"/>
  <c r="S378" i="14" s="1"/>
  <c r="I379" i="14"/>
  <c r="S379" i="14" s="1"/>
  <c r="I380" i="14"/>
  <c r="S380" i="14" s="1"/>
  <c r="I381" i="14"/>
  <c r="S381" i="14" s="1"/>
  <c r="I382" i="14"/>
  <c r="S382" i="14" s="1"/>
  <c r="I383" i="14"/>
  <c r="S383" i="14" s="1"/>
  <c r="I384" i="14"/>
  <c r="S384" i="14" s="1"/>
  <c r="I385" i="14"/>
  <c r="S385" i="14" s="1"/>
  <c r="I386" i="14"/>
  <c r="S386" i="14" s="1"/>
  <c r="I387" i="14"/>
  <c r="S387" i="14" s="1"/>
  <c r="I388" i="14"/>
  <c r="S388" i="14" s="1"/>
  <c r="I389" i="14"/>
  <c r="S389" i="14" s="1"/>
  <c r="I390" i="14"/>
  <c r="S390" i="14" s="1"/>
  <c r="I391" i="14"/>
  <c r="S391" i="14" s="1"/>
  <c r="I392" i="14"/>
  <c r="S392" i="14" s="1"/>
  <c r="I393" i="14"/>
  <c r="S393" i="14" s="1"/>
  <c r="I394" i="14"/>
  <c r="S394" i="14" s="1"/>
  <c r="I395" i="14"/>
  <c r="S395" i="14" s="1"/>
  <c r="I398" i="14"/>
  <c r="S398" i="14" s="1"/>
  <c r="I401" i="14"/>
  <c r="S401" i="14" s="1"/>
  <c r="I404" i="14"/>
  <c r="S404" i="14" s="1"/>
  <c r="I408" i="14"/>
  <c r="S408" i="14" s="1"/>
  <c r="I409" i="14"/>
  <c r="S409" i="14" s="1"/>
  <c r="I410" i="14"/>
  <c r="S410" i="14" s="1"/>
  <c r="I417" i="14"/>
  <c r="S417" i="14" s="1"/>
  <c r="I418" i="14"/>
  <c r="S418" i="14" s="1"/>
  <c r="I419" i="14"/>
  <c r="S419" i="14" s="1"/>
  <c r="I420" i="14"/>
  <c r="S420" i="14" s="1"/>
  <c r="I421" i="14"/>
  <c r="S421" i="14" s="1"/>
  <c r="I422" i="14"/>
  <c r="S422" i="14" s="1"/>
  <c r="I423" i="14"/>
  <c r="S423" i="14" s="1"/>
  <c r="I424" i="14"/>
  <c r="S424" i="14" s="1"/>
  <c r="I425" i="14"/>
  <c r="S425" i="14" s="1"/>
  <c r="I426" i="14"/>
  <c r="S426" i="14" s="1"/>
  <c r="I427" i="14"/>
  <c r="S427" i="14" s="1"/>
  <c r="I428" i="14"/>
  <c r="S428" i="14" s="1"/>
  <c r="I429" i="14"/>
  <c r="S429" i="14" s="1"/>
  <c r="I430" i="14"/>
  <c r="S430" i="14" s="1"/>
  <c r="I431" i="14"/>
  <c r="S431" i="14" s="1"/>
  <c r="I432" i="14"/>
  <c r="S432" i="14" s="1"/>
  <c r="I433" i="14"/>
  <c r="S433" i="14" s="1"/>
  <c r="I434" i="14"/>
  <c r="S434" i="14" s="1"/>
  <c r="I435" i="14"/>
  <c r="S435" i="14" s="1"/>
  <c r="I436" i="14"/>
  <c r="S436" i="14" s="1"/>
  <c r="I437" i="14"/>
  <c r="S437" i="14" s="1"/>
  <c r="I438" i="14"/>
  <c r="S438" i="14" s="1"/>
  <c r="I439" i="14"/>
  <c r="S439" i="14" s="1"/>
  <c r="I441" i="14"/>
  <c r="S441" i="14" s="1"/>
  <c r="I443" i="14"/>
  <c r="S443" i="14" s="1"/>
  <c r="I444" i="14"/>
  <c r="S444" i="14" s="1"/>
  <c r="I445" i="14"/>
  <c r="S445" i="14" s="1"/>
  <c r="I446" i="14"/>
  <c r="S446" i="14" s="1"/>
  <c r="I447" i="14"/>
  <c r="S447" i="14" s="1"/>
  <c r="I448" i="14"/>
  <c r="S448" i="14" s="1"/>
  <c r="I450" i="14"/>
  <c r="S450" i="14" s="1"/>
  <c r="I451" i="14"/>
  <c r="S451" i="14" s="1"/>
  <c r="I452" i="14"/>
  <c r="S452" i="14" s="1"/>
  <c r="I453" i="14"/>
  <c r="S453" i="14" s="1"/>
  <c r="I454" i="14"/>
  <c r="S454" i="14" s="1"/>
  <c r="I455" i="14"/>
  <c r="S455" i="14" s="1"/>
  <c r="I456" i="14"/>
  <c r="S456" i="14" s="1"/>
  <c r="I457" i="14"/>
  <c r="S457" i="14" s="1"/>
  <c r="I458" i="14"/>
  <c r="S458" i="14" s="1"/>
  <c r="I459" i="14"/>
  <c r="S459" i="14" s="1"/>
  <c r="I460" i="14"/>
  <c r="S460" i="14" s="1"/>
  <c r="I461" i="14"/>
  <c r="S461" i="14" s="1"/>
  <c r="I462" i="14"/>
  <c r="S462" i="14" s="1"/>
  <c r="I463" i="14"/>
  <c r="S463" i="14" s="1"/>
  <c r="I464" i="14"/>
  <c r="S464" i="14" s="1"/>
  <c r="I465" i="14"/>
  <c r="S465" i="14" s="1"/>
  <c r="I466" i="14"/>
  <c r="S466" i="14" s="1"/>
  <c r="I467" i="14"/>
  <c r="S467" i="14" s="1"/>
  <c r="I468" i="14"/>
  <c r="S468" i="14" s="1"/>
  <c r="I469" i="14"/>
  <c r="S469" i="14" s="1"/>
  <c r="I470" i="14"/>
  <c r="S470" i="14" s="1"/>
  <c r="I471" i="14"/>
  <c r="S471" i="14" s="1"/>
  <c r="I475" i="14"/>
  <c r="S475" i="14" s="1"/>
  <c r="I476" i="14"/>
  <c r="S476" i="14" s="1"/>
  <c r="I477" i="14"/>
  <c r="S477" i="14" s="1"/>
  <c r="I478" i="14"/>
  <c r="S478" i="14" s="1"/>
  <c r="I479" i="14"/>
  <c r="S479" i="14" s="1"/>
  <c r="I480" i="14"/>
  <c r="S480" i="14" s="1"/>
  <c r="I481" i="14"/>
  <c r="S481" i="14" s="1"/>
  <c r="I482" i="14"/>
  <c r="S482" i="14" s="1"/>
  <c r="I483" i="14"/>
  <c r="S483" i="14" s="1"/>
  <c r="I484" i="14"/>
  <c r="S484" i="14" s="1"/>
  <c r="I485" i="14"/>
  <c r="S485" i="14" s="1"/>
  <c r="I486" i="14"/>
  <c r="S486" i="14" s="1"/>
  <c r="I487" i="14"/>
  <c r="S487" i="14" s="1"/>
  <c r="I488" i="14"/>
  <c r="S488" i="14" s="1"/>
  <c r="I489" i="14"/>
  <c r="S489" i="14" s="1"/>
  <c r="I490" i="14"/>
  <c r="S490" i="14" s="1"/>
  <c r="I491" i="14"/>
  <c r="S491" i="14" s="1"/>
  <c r="I492" i="14"/>
  <c r="S492" i="14" s="1"/>
  <c r="I493" i="14"/>
  <c r="S493" i="14" s="1"/>
  <c r="I494" i="14"/>
  <c r="S494" i="14" s="1"/>
  <c r="I495" i="14"/>
  <c r="S495" i="14" s="1"/>
  <c r="I496" i="14"/>
  <c r="S496" i="14" s="1"/>
  <c r="I497" i="14"/>
  <c r="S497" i="14" s="1"/>
  <c r="I498" i="14"/>
  <c r="S498" i="14" s="1"/>
  <c r="I499" i="14"/>
  <c r="S499" i="14" s="1"/>
  <c r="I500" i="14"/>
  <c r="S500" i="14" s="1"/>
  <c r="I501" i="14"/>
  <c r="S501" i="14" s="1"/>
  <c r="I505" i="14"/>
  <c r="S505" i="14" s="1"/>
  <c r="I329" i="14"/>
  <c r="S329" i="14" s="1"/>
  <c r="I331" i="14"/>
  <c r="S331" i="14" s="1"/>
  <c r="I332" i="14"/>
  <c r="S332" i="14" s="1"/>
  <c r="I316" i="14"/>
  <c r="S316" i="14" s="1"/>
  <c r="I317" i="14"/>
  <c r="S317" i="14" s="1"/>
  <c r="I318" i="14"/>
  <c r="S318" i="14" s="1"/>
  <c r="I319" i="14"/>
  <c r="S319" i="14" s="1"/>
  <c r="I320" i="14"/>
  <c r="S320" i="14" s="1"/>
  <c r="I321" i="14"/>
  <c r="S321" i="14" s="1"/>
  <c r="I322" i="14"/>
  <c r="S322" i="14" s="1"/>
  <c r="I323" i="14"/>
  <c r="S323" i="14" s="1"/>
  <c r="I324" i="14"/>
  <c r="S324" i="14" s="1"/>
  <c r="I139" i="14"/>
  <c r="S139" i="14" s="1"/>
  <c r="I140" i="14"/>
  <c r="S140" i="14" s="1"/>
  <c r="I141" i="14"/>
  <c r="S141" i="14" s="1"/>
  <c r="I144" i="14"/>
  <c r="S144" i="14" s="1"/>
  <c r="I149" i="14"/>
  <c r="S149" i="14" s="1"/>
  <c r="I150" i="14"/>
  <c r="S150" i="14" s="1"/>
  <c r="I153" i="14"/>
  <c r="S153" i="14" s="1"/>
  <c r="I154" i="14"/>
  <c r="S154" i="14" s="1"/>
  <c r="I156" i="14"/>
  <c r="S156" i="14" s="1"/>
  <c r="I157" i="14"/>
  <c r="S157" i="14" s="1"/>
  <c r="I158" i="14"/>
  <c r="S158" i="14" s="1"/>
  <c r="I159" i="14"/>
  <c r="S159" i="14" s="1"/>
  <c r="I160" i="14"/>
  <c r="S160" i="14" s="1"/>
  <c r="I161" i="14"/>
  <c r="S161" i="14" s="1"/>
  <c r="I167" i="14"/>
  <c r="S167" i="14" s="1"/>
  <c r="I168" i="14"/>
  <c r="S168" i="14" s="1"/>
  <c r="I169" i="14"/>
  <c r="S169" i="14" s="1"/>
  <c r="I170" i="14"/>
  <c r="S170" i="14" s="1"/>
  <c r="I171" i="14"/>
  <c r="S171" i="14" s="1"/>
  <c r="I172" i="14"/>
  <c r="S172" i="14" s="1"/>
  <c r="I174" i="14"/>
  <c r="S174" i="14" s="1"/>
  <c r="I176" i="14"/>
  <c r="S176" i="14" s="1"/>
  <c r="I177" i="14"/>
  <c r="S177" i="14" s="1"/>
  <c r="I178" i="14"/>
  <c r="S178" i="14" s="1"/>
  <c r="I179" i="14"/>
  <c r="S179" i="14" s="1"/>
  <c r="I181" i="14"/>
  <c r="S181" i="14" s="1"/>
  <c r="I182" i="14"/>
  <c r="S182" i="14" s="1"/>
  <c r="I183" i="14"/>
  <c r="S183" i="14" s="1"/>
  <c r="I184" i="14"/>
  <c r="S184" i="14" s="1"/>
  <c r="I185" i="14"/>
  <c r="S185" i="14" s="1"/>
  <c r="I186" i="14"/>
  <c r="S186" i="14" s="1"/>
  <c r="I188" i="14"/>
  <c r="S188" i="14" s="1"/>
  <c r="I189" i="14"/>
  <c r="S189" i="14" s="1"/>
  <c r="I190" i="14"/>
  <c r="S190" i="14" s="1"/>
  <c r="I191" i="14"/>
  <c r="S191" i="14" s="1"/>
  <c r="I192" i="14"/>
  <c r="S192" i="14" s="1"/>
  <c r="I193" i="14"/>
  <c r="S193" i="14" s="1"/>
  <c r="I200" i="14"/>
  <c r="S200" i="14" s="1"/>
  <c r="I201" i="14"/>
  <c r="S201" i="14" s="1"/>
  <c r="I202" i="14"/>
  <c r="S202" i="14" s="1"/>
  <c r="I203" i="14"/>
  <c r="S203" i="14" s="1"/>
  <c r="I204" i="14"/>
  <c r="S204" i="14" s="1"/>
  <c r="I205" i="14"/>
  <c r="S205" i="14" s="1"/>
  <c r="I206" i="14"/>
  <c r="S206" i="14" s="1"/>
  <c r="I207" i="14"/>
  <c r="S207" i="14" s="1"/>
  <c r="I208" i="14"/>
  <c r="S208" i="14" s="1"/>
  <c r="I209" i="14"/>
  <c r="S209" i="14" s="1"/>
  <c r="I210" i="14"/>
  <c r="S210" i="14" s="1"/>
  <c r="I211" i="14"/>
  <c r="S211" i="14" s="1"/>
  <c r="I212" i="14"/>
  <c r="S212" i="14" s="1"/>
  <c r="I213" i="14"/>
  <c r="S213" i="14" s="1"/>
  <c r="I214" i="14"/>
  <c r="S214" i="14" s="1"/>
  <c r="I215" i="14"/>
  <c r="S215" i="14" s="1"/>
  <c r="I216" i="14"/>
  <c r="S216" i="14" s="1"/>
  <c r="I217" i="14"/>
  <c r="S217" i="14" s="1"/>
  <c r="I218" i="14"/>
  <c r="S218" i="14" s="1"/>
  <c r="I219" i="14"/>
  <c r="S219" i="14" s="1"/>
  <c r="I220" i="14"/>
  <c r="S220" i="14" s="1"/>
  <c r="I221" i="14"/>
  <c r="S221" i="14" s="1"/>
  <c r="I222" i="14"/>
  <c r="S222" i="14" s="1"/>
  <c r="I223" i="14"/>
  <c r="S223" i="14" s="1"/>
  <c r="I225" i="14"/>
  <c r="S225" i="14" s="1"/>
  <c r="I226" i="14"/>
  <c r="S226" i="14" s="1"/>
  <c r="I227" i="14"/>
  <c r="S227" i="14" s="1"/>
  <c r="I228" i="14"/>
  <c r="S228" i="14" s="1"/>
  <c r="I229" i="14"/>
  <c r="S229" i="14" s="1"/>
  <c r="I230" i="14"/>
  <c r="S230" i="14" s="1"/>
  <c r="I231" i="14"/>
  <c r="S231" i="14" s="1"/>
  <c r="I232" i="14"/>
  <c r="S232" i="14" s="1"/>
  <c r="I233" i="14"/>
  <c r="S233" i="14" s="1"/>
  <c r="I241" i="14"/>
  <c r="S241" i="14" s="1"/>
  <c r="I242" i="14"/>
  <c r="S242" i="14" s="1"/>
  <c r="I243" i="14"/>
  <c r="S243" i="14" s="1"/>
  <c r="I244" i="14"/>
  <c r="S244" i="14" s="1"/>
  <c r="I245" i="14"/>
  <c r="S245" i="14" s="1"/>
  <c r="I246" i="14"/>
  <c r="S246" i="14" s="1"/>
  <c r="I247" i="14"/>
  <c r="S247" i="14" s="1"/>
  <c r="I248" i="14"/>
  <c r="S248" i="14" s="1"/>
  <c r="I249" i="14"/>
  <c r="S249" i="14" s="1"/>
  <c r="I252" i="14"/>
  <c r="S252" i="14" s="1"/>
  <c r="I253" i="14"/>
  <c r="S253" i="14" s="1"/>
  <c r="I254" i="14"/>
  <c r="S254" i="14" s="1"/>
  <c r="I255" i="14"/>
  <c r="S255" i="14" s="1"/>
  <c r="I256" i="14"/>
  <c r="S256" i="14" s="1"/>
  <c r="I257" i="14"/>
  <c r="S257" i="14" s="1"/>
  <c r="I258" i="14"/>
  <c r="S258" i="14" s="1"/>
  <c r="I259" i="14"/>
  <c r="S259" i="14" s="1"/>
  <c r="I260" i="14"/>
  <c r="S260" i="14" s="1"/>
  <c r="I261" i="14"/>
  <c r="S261" i="14" s="1"/>
  <c r="I262" i="14"/>
  <c r="S262" i="14" s="1"/>
  <c r="I263" i="14"/>
  <c r="S263" i="14" s="1"/>
  <c r="I264" i="14"/>
  <c r="S264" i="14" s="1"/>
  <c r="I265" i="14"/>
  <c r="S265" i="14" s="1"/>
  <c r="I266" i="14"/>
  <c r="S266" i="14" s="1"/>
  <c r="I268" i="14"/>
  <c r="S268" i="14" s="1"/>
  <c r="I269" i="14"/>
  <c r="S269" i="14" s="1"/>
  <c r="I275" i="14"/>
  <c r="S275" i="14" s="1"/>
  <c r="I276" i="14"/>
  <c r="S276" i="14" s="1"/>
  <c r="I277" i="14"/>
  <c r="S277" i="14" s="1"/>
  <c r="I278" i="14"/>
  <c r="S278" i="14" s="1"/>
  <c r="I279" i="14"/>
  <c r="S279" i="14" s="1"/>
  <c r="I280" i="14"/>
  <c r="S280" i="14" s="1"/>
  <c r="I281" i="14"/>
  <c r="S281" i="14" s="1"/>
  <c r="I282" i="14"/>
  <c r="S282" i="14" s="1"/>
  <c r="I283" i="14"/>
  <c r="S283" i="14" s="1"/>
  <c r="I284" i="14"/>
  <c r="S284" i="14" s="1"/>
  <c r="I285" i="14"/>
  <c r="S285" i="14" s="1"/>
  <c r="I286" i="14"/>
  <c r="S286" i="14" s="1"/>
  <c r="I287" i="14"/>
  <c r="S287" i="14" s="1"/>
  <c r="I288" i="14"/>
  <c r="S288" i="14" s="1"/>
  <c r="I289" i="14"/>
  <c r="S289" i="14" s="1"/>
  <c r="I290" i="14"/>
  <c r="S290" i="14" s="1"/>
  <c r="I291" i="14"/>
  <c r="S291" i="14" s="1"/>
  <c r="I292" i="14"/>
  <c r="S292" i="14" s="1"/>
  <c r="I293" i="14"/>
  <c r="S293" i="14" s="1"/>
  <c r="I294" i="14"/>
  <c r="S294" i="14" s="1"/>
  <c r="I295" i="14"/>
  <c r="S295" i="14" s="1"/>
  <c r="I296" i="14"/>
  <c r="S296" i="14" s="1"/>
  <c r="I297" i="14"/>
  <c r="S297" i="14" s="1"/>
  <c r="I298" i="14"/>
  <c r="S298" i="14" s="1"/>
  <c r="I299" i="14"/>
  <c r="S299" i="14" s="1"/>
  <c r="I300" i="14"/>
  <c r="S300" i="14" s="1"/>
  <c r="I301" i="14"/>
  <c r="S301" i="14" s="1"/>
  <c r="I302" i="14"/>
  <c r="S302" i="14" s="1"/>
  <c r="I304" i="14"/>
  <c r="S304" i="14" s="1"/>
  <c r="I305" i="14"/>
  <c r="S305" i="14" s="1"/>
  <c r="I306" i="14"/>
  <c r="S306" i="14" s="1"/>
  <c r="I307" i="14"/>
  <c r="S307" i="14" s="1"/>
  <c r="I308" i="14"/>
  <c r="S308" i="14" s="1"/>
  <c r="I309" i="14"/>
  <c r="S309" i="14" s="1"/>
  <c r="I310" i="14"/>
  <c r="S310" i="14" s="1"/>
  <c r="I311" i="14"/>
  <c r="S311" i="14" s="1"/>
  <c r="I312" i="14"/>
  <c r="S312" i="14" s="1"/>
  <c r="I313" i="14"/>
  <c r="S313" i="14" s="1"/>
  <c r="I61" i="14"/>
  <c r="S61" i="14" s="1"/>
  <c r="I62" i="14"/>
  <c r="S62" i="14" s="1"/>
  <c r="I63" i="14"/>
  <c r="S63" i="14" s="1"/>
  <c r="I64" i="14"/>
  <c r="S64" i="14" s="1"/>
  <c r="I65" i="14"/>
  <c r="S65" i="14" s="1"/>
  <c r="I66" i="14"/>
  <c r="S66" i="14" s="1"/>
  <c r="I67" i="14"/>
  <c r="S67" i="14" s="1"/>
  <c r="I68" i="14"/>
  <c r="S68" i="14" s="1"/>
  <c r="I69" i="14"/>
  <c r="S69" i="14" s="1"/>
  <c r="I70" i="14"/>
  <c r="S70" i="14" s="1"/>
  <c r="I71" i="14"/>
  <c r="S71" i="14" s="1"/>
  <c r="I72" i="14"/>
  <c r="S72" i="14" s="1"/>
  <c r="I73" i="14"/>
  <c r="S73" i="14" s="1"/>
  <c r="I74" i="14"/>
  <c r="S74" i="14" s="1"/>
  <c r="I75" i="14"/>
  <c r="S75" i="14" s="1"/>
  <c r="I76" i="14"/>
  <c r="S76" i="14" s="1"/>
  <c r="I77" i="14"/>
  <c r="S77" i="14" s="1"/>
  <c r="I78" i="14"/>
  <c r="S78" i="14" s="1"/>
  <c r="I79" i="14"/>
  <c r="S79" i="14" s="1"/>
  <c r="I80" i="14"/>
  <c r="S80" i="14" s="1"/>
  <c r="I81" i="14"/>
  <c r="S81" i="14" s="1"/>
  <c r="I82" i="14"/>
  <c r="S82" i="14" s="1"/>
  <c r="I85" i="14"/>
  <c r="S85" i="14" s="1"/>
  <c r="I86" i="14"/>
  <c r="S86" i="14" s="1"/>
  <c r="I87" i="14"/>
  <c r="S87" i="14" s="1"/>
  <c r="I88" i="14"/>
  <c r="S88" i="14" s="1"/>
  <c r="I89" i="14"/>
  <c r="S89" i="14" s="1"/>
  <c r="I90" i="14"/>
  <c r="S90" i="14" s="1"/>
  <c r="I91" i="14"/>
  <c r="S91" i="14" s="1"/>
  <c r="I92" i="14"/>
  <c r="S92" i="14" s="1"/>
  <c r="I93" i="14"/>
  <c r="S93" i="14" s="1"/>
  <c r="I94" i="14"/>
  <c r="S94" i="14" s="1"/>
  <c r="I95" i="14"/>
  <c r="S95" i="14" s="1"/>
  <c r="I96" i="14"/>
  <c r="S96" i="14" s="1"/>
  <c r="I97" i="14"/>
  <c r="S97" i="14" s="1"/>
  <c r="I98" i="14"/>
  <c r="S98" i="14" s="1"/>
  <c r="I99" i="14"/>
  <c r="S99" i="14" s="1"/>
  <c r="I100" i="14"/>
  <c r="S100" i="14" s="1"/>
  <c r="I101" i="14"/>
  <c r="S101" i="14" s="1"/>
  <c r="I102" i="14"/>
  <c r="S102" i="14" s="1"/>
  <c r="I103" i="14"/>
  <c r="S103" i="14" s="1"/>
  <c r="I104" i="14"/>
  <c r="S104" i="14" s="1"/>
  <c r="I105" i="14"/>
  <c r="S105" i="14" s="1"/>
  <c r="I106" i="14"/>
  <c r="S106" i="14" s="1"/>
  <c r="I107" i="14"/>
  <c r="S107" i="14" s="1"/>
  <c r="I108" i="14"/>
  <c r="S108" i="14" s="1"/>
  <c r="I109" i="14"/>
  <c r="S109" i="14" s="1"/>
  <c r="I110" i="14"/>
  <c r="S110" i="14" s="1"/>
  <c r="I111" i="14"/>
  <c r="S111" i="14" s="1"/>
  <c r="I112" i="14"/>
  <c r="S112" i="14" s="1"/>
  <c r="I113" i="14"/>
  <c r="S113" i="14" s="1"/>
  <c r="I114" i="14"/>
  <c r="S114" i="14" s="1"/>
  <c r="I115" i="14"/>
  <c r="S115" i="14" s="1"/>
  <c r="I116" i="14"/>
  <c r="S116" i="14" s="1"/>
  <c r="I117" i="14"/>
  <c r="S117" i="14" s="1"/>
  <c r="I118" i="14"/>
  <c r="S118" i="14" s="1"/>
  <c r="I119" i="14"/>
  <c r="S119" i="14" s="1"/>
  <c r="I120" i="14"/>
  <c r="S120" i="14" s="1"/>
  <c r="I121" i="14"/>
  <c r="S121" i="14" s="1"/>
  <c r="I122" i="14"/>
  <c r="S122" i="14" s="1"/>
  <c r="I123" i="14"/>
  <c r="S123" i="14" s="1"/>
  <c r="I124" i="14"/>
  <c r="S124" i="14" s="1"/>
  <c r="I125" i="14"/>
  <c r="S125" i="14" s="1"/>
  <c r="I126" i="14"/>
  <c r="S126" i="14" s="1"/>
  <c r="I127" i="14"/>
  <c r="S127" i="14" s="1"/>
  <c r="I128" i="14"/>
  <c r="S128" i="14" s="1"/>
  <c r="I129" i="14"/>
  <c r="S129" i="14" s="1"/>
  <c r="I130" i="14"/>
  <c r="S130" i="14" s="1"/>
  <c r="I131" i="14"/>
  <c r="S131" i="14" s="1"/>
  <c r="I132" i="14"/>
  <c r="S132" i="14" s="1"/>
  <c r="I133" i="14"/>
  <c r="S133" i="14" s="1"/>
  <c r="I134" i="14"/>
  <c r="S134" i="14" s="1"/>
  <c r="I135" i="14"/>
  <c r="S135" i="14" s="1"/>
  <c r="I136" i="14"/>
  <c r="S136" i="14" s="1"/>
  <c r="I137" i="14"/>
  <c r="S137" i="14" s="1"/>
  <c r="I25" i="14"/>
  <c r="S25" i="14" s="1"/>
  <c r="I28" i="14"/>
  <c r="S28" i="14" s="1"/>
  <c r="I30" i="14"/>
  <c r="S30" i="14" s="1"/>
  <c r="I31" i="14"/>
  <c r="S31" i="14" s="1"/>
  <c r="I32" i="14"/>
  <c r="S32" i="14" s="1"/>
  <c r="I33" i="14"/>
  <c r="S33" i="14" s="1"/>
  <c r="I34" i="14"/>
  <c r="S34" i="14" s="1"/>
  <c r="I35" i="14"/>
  <c r="S35" i="14" s="1"/>
  <c r="I36" i="14"/>
  <c r="S36" i="14" s="1"/>
  <c r="I37" i="14"/>
  <c r="S37" i="14" s="1"/>
  <c r="I42" i="14"/>
  <c r="S42" i="14" s="1"/>
  <c r="I45" i="14"/>
  <c r="S45" i="14" s="1"/>
  <c r="I46" i="14"/>
  <c r="S46" i="14" s="1"/>
  <c r="I47" i="14"/>
  <c r="S47" i="14" s="1"/>
  <c r="I48" i="14"/>
  <c r="S48" i="14" s="1"/>
  <c r="I49" i="14"/>
  <c r="S49" i="14" s="1"/>
  <c r="I50" i="14"/>
  <c r="S50" i="14" s="1"/>
  <c r="I51" i="14"/>
  <c r="S51" i="14" s="1"/>
  <c r="I52" i="14"/>
  <c r="S52" i="14" s="1"/>
  <c r="I53" i="14"/>
  <c r="S53" i="14" s="1"/>
  <c r="I57" i="14"/>
  <c r="S57" i="14" s="1"/>
  <c r="I58" i="14"/>
  <c r="S58" i="14" s="1"/>
  <c r="I59" i="14"/>
  <c r="S59" i="14" s="1"/>
  <c r="Q60" i="14"/>
  <c r="Q22" i="14"/>
  <c r="Q502" i="14"/>
  <c r="Q24" i="14" s="1"/>
  <c r="Q442" i="14"/>
  <c r="Q440" i="14" s="1"/>
  <c r="Q314" i="14"/>
  <c r="Q180" i="14"/>
  <c r="Q164" i="14"/>
  <c r="Q143" i="14"/>
  <c r="Q142" i="14" s="1"/>
  <c r="Q44" i="14"/>
  <c r="Q29" i="14"/>
  <c r="H53" i="14"/>
  <c r="Q27" i="14" l="1"/>
  <c r="Q26" i="14" s="1"/>
  <c r="Q19" i="14" s="1"/>
  <c r="Q163" i="14"/>
  <c r="Q162" i="14" s="1"/>
  <c r="Q20" i="14" s="1"/>
  <c r="U440" i="14"/>
  <c r="T440" i="14"/>
  <c r="I440" i="14"/>
  <c r="S440" i="14" s="1"/>
  <c r="Q18" i="14" l="1"/>
  <c r="L502" i="14"/>
  <c r="H470" i="14" l="1"/>
  <c r="N442" i="14" l="1"/>
  <c r="H442" i="14" s="1"/>
  <c r="H25" i="14"/>
  <c r="H28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5" i="14"/>
  <c r="H46" i="14"/>
  <c r="H47" i="14"/>
  <c r="H48" i="14"/>
  <c r="H49" i="14"/>
  <c r="H50" i="14"/>
  <c r="H51" i="14"/>
  <c r="H52" i="14"/>
  <c r="H54" i="14"/>
  <c r="H55" i="14"/>
  <c r="H56" i="14"/>
  <c r="H57" i="14"/>
  <c r="H58" i="14"/>
  <c r="H59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80" i="14"/>
  <c r="H81" i="14"/>
  <c r="H82" i="14"/>
  <c r="H83" i="14"/>
  <c r="H84" i="14"/>
  <c r="H85" i="14"/>
  <c r="H86" i="14"/>
  <c r="H87" i="14"/>
  <c r="H88" i="14"/>
  <c r="H90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4" i="14"/>
  <c r="H145" i="14"/>
  <c r="H146" i="14"/>
  <c r="H147" i="14"/>
  <c r="H148" i="14"/>
  <c r="H149" i="14"/>
  <c r="H150" i="14"/>
  <c r="H151" i="14"/>
  <c r="H152" i="14"/>
  <c r="H155" i="14"/>
  <c r="H156" i="14"/>
  <c r="H157" i="14"/>
  <c r="H161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9" i="14"/>
  <c r="H250" i="14"/>
  <c r="H251" i="14"/>
  <c r="H252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300" i="14"/>
  <c r="H301" i="14"/>
  <c r="H302" i="14"/>
  <c r="H303" i="14"/>
  <c r="H304" i="14"/>
  <c r="H305" i="14"/>
  <c r="H306" i="14"/>
  <c r="H307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5" i="14"/>
  <c r="H406" i="14"/>
  <c r="H407" i="14"/>
  <c r="H409" i="14"/>
  <c r="H411" i="14"/>
  <c r="H412" i="14"/>
  <c r="H413" i="14"/>
  <c r="H414" i="14"/>
  <c r="H415" i="14"/>
  <c r="H416" i="14"/>
  <c r="H417" i="14"/>
  <c r="H418" i="14"/>
  <c r="H41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3" i="14"/>
  <c r="H444" i="14"/>
  <c r="H445" i="14"/>
  <c r="H446" i="14"/>
  <c r="H447" i="14"/>
  <c r="H448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1" i="14"/>
  <c r="H472" i="14"/>
  <c r="H473" i="14"/>
  <c r="H474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501" i="14"/>
  <c r="H503" i="14"/>
  <c r="H504" i="14"/>
  <c r="H505" i="14"/>
  <c r="H506" i="14"/>
  <c r="H507" i="14"/>
  <c r="P502" i="14"/>
  <c r="P24" i="14" s="1"/>
  <c r="P143" i="14"/>
  <c r="P142" i="14" s="1"/>
  <c r="P29" i="14"/>
  <c r="N164" i="14"/>
  <c r="N24" i="14"/>
  <c r="N23" i="14"/>
  <c r="N21" i="14"/>
  <c r="N143" i="14"/>
  <c r="N142" i="14" s="1"/>
  <c r="N29" i="14"/>
  <c r="L23" i="14"/>
  <c r="L21" i="14"/>
  <c r="L24" i="14"/>
  <c r="N22" i="14"/>
  <c r="L22" i="14"/>
  <c r="P315" i="14"/>
  <c r="P314" i="14" s="1"/>
  <c r="N315" i="14"/>
  <c r="N314" i="14" s="1"/>
  <c r="L315" i="14"/>
  <c r="L314" i="14" s="1"/>
  <c r="P180" i="14"/>
  <c r="N180" i="14"/>
  <c r="L180" i="14"/>
  <c r="P164" i="14"/>
  <c r="L164" i="14"/>
  <c r="L143" i="14"/>
  <c r="L142" i="14" s="1"/>
  <c r="L29" i="14"/>
  <c r="J164" i="14"/>
  <c r="J24" i="14"/>
  <c r="J23" i="14"/>
  <c r="J21" i="14"/>
  <c r="J315" i="14"/>
  <c r="J180" i="14"/>
  <c r="J143" i="14"/>
  <c r="J142" i="14" s="1"/>
  <c r="J29" i="14"/>
  <c r="N163" i="14" l="1"/>
  <c r="N162" i="14" s="1"/>
  <c r="N20" i="14" s="1"/>
  <c r="J314" i="14"/>
  <c r="H314" i="14" s="1"/>
  <c r="H24" i="14"/>
  <c r="H142" i="14"/>
  <c r="H21" i="14"/>
  <c r="H23" i="14"/>
  <c r="H29" i="14"/>
  <c r="J163" i="14"/>
  <c r="P163" i="14"/>
  <c r="P162" i="14" s="1"/>
  <c r="H449" i="14"/>
  <c r="H180" i="14"/>
  <c r="H502" i="14"/>
  <c r="H315" i="14"/>
  <c r="H164" i="14"/>
  <c r="H143" i="14"/>
  <c r="J22" i="14"/>
  <c r="H22" i="14" s="1"/>
  <c r="L163" i="14"/>
  <c r="L162" i="14" s="1"/>
  <c r="L20" i="14" s="1"/>
  <c r="O60" i="14"/>
  <c r="J162" i="14" l="1"/>
  <c r="J20" i="14" s="1"/>
  <c r="H163" i="14"/>
  <c r="M507" i="14"/>
  <c r="K506" i="14"/>
  <c r="E506" i="14"/>
  <c r="E502" i="14" s="1"/>
  <c r="E24" i="14" s="1"/>
  <c r="K504" i="14"/>
  <c r="M503" i="14"/>
  <c r="O502" i="14"/>
  <c r="O24" i="14" s="1"/>
  <c r="K474" i="14"/>
  <c r="K473" i="14"/>
  <c r="K472" i="14"/>
  <c r="E470" i="14"/>
  <c r="E469" i="14"/>
  <c r="E468" i="14"/>
  <c r="E467" i="14"/>
  <c r="E466" i="14"/>
  <c r="E465" i="14"/>
  <c r="E463" i="14"/>
  <c r="E462" i="14"/>
  <c r="E461" i="14"/>
  <c r="E460" i="14"/>
  <c r="E459" i="14"/>
  <c r="E458" i="14"/>
  <c r="E457" i="14"/>
  <c r="E456" i="14"/>
  <c r="E455" i="14"/>
  <c r="E454" i="14"/>
  <c r="E453" i="14"/>
  <c r="E452" i="14"/>
  <c r="E451" i="14"/>
  <c r="E450" i="14"/>
  <c r="O22" i="14"/>
  <c r="O442" i="14"/>
  <c r="M442" i="14"/>
  <c r="K442" i="14"/>
  <c r="E442" i="14"/>
  <c r="M416" i="14"/>
  <c r="M415" i="14"/>
  <c r="M414" i="14"/>
  <c r="M413" i="14"/>
  <c r="M412" i="14"/>
  <c r="M411" i="14"/>
  <c r="M407" i="14"/>
  <c r="M406" i="14"/>
  <c r="M405" i="14"/>
  <c r="M403" i="14"/>
  <c r="K403" i="14"/>
  <c r="E403" i="14"/>
  <c r="M402" i="14"/>
  <c r="K402" i="14"/>
  <c r="E402" i="14"/>
  <c r="K400" i="14"/>
  <c r="K399" i="14"/>
  <c r="E398" i="14"/>
  <c r="M397" i="14"/>
  <c r="E397" i="14"/>
  <c r="M396" i="14"/>
  <c r="E396" i="14"/>
  <c r="E389" i="14"/>
  <c r="E388" i="14"/>
  <c r="E387" i="14"/>
  <c r="E380" i="14"/>
  <c r="E379" i="14"/>
  <c r="E378" i="14"/>
  <c r="M359" i="14"/>
  <c r="M358" i="14"/>
  <c r="M357" i="14"/>
  <c r="M356" i="14"/>
  <c r="M355" i="14"/>
  <c r="M354" i="14"/>
  <c r="M353" i="14"/>
  <c r="M352" i="14"/>
  <c r="M351" i="14"/>
  <c r="M350" i="14"/>
  <c r="M343" i="14"/>
  <c r="K342" i="14"/>
  <c r="K341" i="14"/>
  <c r="E341" i="14"/>
  <c r="M340" i="14"/>
  <c r="E340" i="14"/>
  <c r="M339" i="14"/>
  <c r="E339" i="14"/>
  <c r="M338" i="14"/>
  <c r="M337" i="14"/>
  <c r="U336" i="14"/>
  <c r="U335" i="14"/>
  <c r="M334" i="14"/>
  <c r="T334" i="14" s="1"/>
  <c r="E334" i="14"/>
  <c r="M333" i="14"/>
  <c r="E333" i="14"/>
  <c r="E332" i="14"/>
  <c r="E331" i="14"/>
  <c r="M330" i="14"/>
  <c r="E330" i="14"/>
  <c r="E329" i="14"/>
  <c r="M328" i="14"/>
  <c r="E328" i="14"/>
  <c r="K327" i="14"/>
  <c r="M326" i="14"/>
  <c r="K326" i="14"/>
  <c r="K325" i="14"/>
  <c r="E324" i="14"/>
  <c r="E323" i="14"/>
  <c r="E322" i="14"/>
  <c r="E321" i="14"/>
  <c r="E320" i="14"/>
  <c r="E319" i="14"/>
  <c r="E318" i="14"/>
  <c r="E317" i="14"/>
  <c r="E316" i="14"/>
  <c r="O314" i="14"/>
  <c r="K303" i="14"/>
  <c r="M274" i="14"/>
  <c r="M273" i="14"/>
  <c r="M272" i="14"/>
  <c r="M271" i="14"/>
  <c r="M270" i="14"/>
  <c r="K267" i="14"/>
  <c r="M251" i="14"/>
  <c r="M250" i="14"/>
  <c r="M240" i="14"/>
  <c r="M239" i="14"/>
  <c r="M238" i="14"/>
  <c r="M237" i="14"/>
  <c r="M236" i="14"/>
  <c r="M235" i="14"/>
  <c r="K234" i="14"/>
  <c r="M224" i="14"/>
  <c r="M199" i="14"/>
  <c r="M198" i="14"/>
  <c r="M197" i="14"/>
  <c r="M196" i="14"/>
  <c r="M195" i="14"/>
  <c r="M194" i="14"/>
  <c r="M187" i="14"/>
  <c r="E181" i="14"/>
  <c r="O180" i="14"/>
  <c r="K175" i="14"/>
  <c r="K173" i="14"/>
  <c r="M166" i="14"/>
  <c r="M165" i="14"/>
  <c r="O164" i="14"/>
  <c r="M155" i="14"/>
  <c r="M152" i="14"/>
  <c r="M151" i="14"/>
  <c r="E150" i="14"/>
  <c r="E143" i="14" s="1"/>
  <c r="E142" i="14" s="1"/>
  <c r="K148" i="14"/>
  <c r="K147" i="14"/>
  <c r="K146" i="14"/>
  <c r="K145" i="14"/>
  <c r="O143" i="14"/>
  <c r="O142" i="14" s="1"/>
  <c r="K84" i="14"/>
  <c r="K83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P60" i="14"/>
  <c r="N60" i="14"/>
  <c r="M60" i="14"/>
  <c r="L60" i="14"/>
  <c r="J60" i="14"/>
  <c r="K56" i="14"/>
  <c r="K55" i="14"/>
  <c r="K54" i="14"/>
  <c r="E52" i="14"/>
  <c r="E51" i="14"/>
  <c r="E50" i="14"/>
  <c r="E49" i="14"/>
  <c r="E48" i="14"/>
  <c r="E47" i="14"/>
  <c r="E46" i="14"/>
  <c r="E45" i="14"/>
  <c r="P44" i="14"/>
  <c r="O44" i="14"/>
  <c r="N44" i="14"/>
  <c r="M44" i="14"/>
  <c r="L44" i="14"/>
  <c r="J44" i="14"/>
  <c r="K41" i="14"/>
  <c r="K40" i="14"/>
  <c r="K39" i="14"/>
  <c r="K38" i="14"/>
  <c r="E37" i="14"/>
  <c r="E36" i="14"/>
  <c r="E35" i="14"/>
  <c r="E34" i="14"/>
  <c r="E33" i="14"/>
  <c r="E32" i="14"/>
  <c r="E31" i="14"/>
  <c r="E30" i="14"/>
  <c r="O29" i="14"/>
  <c r="M29" i="14"/>
  <c r="O23" i="14"/>
  <c r="M23" i="14"/>
  <c r="K23" i="14"/>
  <c r="E23" i="14"/>
  <c r="O21" i="14"/>
  <c r="M21" i="14"/>
  <c r="K21" i="14"/>
  <c r="E21" i="14"/>
  <c r="B17" i="14"/>
  <c r="C17" i="14" s="1"/>
  <c r="D17" i="14" s="1"/>
  <c r="E17" i="14" s="1"/>
  <c r="F17" i="14" s="1"/>
  <c r="G17" i="14" s="1"/>
  <c r="H17" i="14" s="1"/>
  <c r="I17" i="14" s="1"/>
  <c r="J17" i="14" s="1"/>
  <c r="K17" i="14" s="1"/>
  <c r="L17" i="14" s="1"/>
  <c r="M17" i="14" s="1"/>
  <c r="N17" i="14" s="1"/>
  <c r="O17" i="14" s="1"/>
  <c r="P17" i="14" s="1"/>
  <c r="Q17" i="14" s="1"/>
  <c r="R17" i="14" s="1"/>
  <c r="S17" i="14" s="1"/>
  <c r="T17" i="14" s="1"/>
  <c r="U17" i="14" s="1"/>
  <c r="V17" i="14" s="1"/>
  <c r="M315" i="14" l="1"/>
  <c r="U38" i="14"/>
  <c r="T38" i="14"/>
  <c r="I38" i="14"/>
  <c r="S38" i="14" s="1"/>
  <c r="T56" i="14"/>
  <c r="U56" i="14"/>
  <c r="I56" i="14"/>
  <c r="S56" i="14" s="1"/>
  <c r="T340" i="14"/>
  <c r="U340" i="14"/>
  <c r="I340" i="14"/>
  <c r="S340" i="14" s="1"/>
  <c r="T407" i="14"/>
  <c r="I407" i="14"/>
  <c r="S407" i="14" s="1"/>
  <c r="U39" i="14"/>
  <c r="T39" i="14"/>
  <c r="I39" i="14"/>
  <c r="S39" i="14" s="1"/>
  <c r="I83" i="14"/>
  <c r="S83" i="14" s="1"/>
  <c r="T83" i="14"/>
  <c r="I194" i="14"/>
  <c r="S194" i="14" s="1"/>
  <c r="T194" i="14"/>
  <c r="T235" i="14"/>
  <c r="I235" i="14"/>
  <c r="S235" i="14" s="1"/>
  <c r="T267" i="14"/>
  <c r="I267" i="14"/>
  <c r="S267" i="14" s="1"/>
  <c r="I327" i="14"/>
  <c r="S327" i="14" s="1"/>
  <c r="T327" i="14"/>
  <c r="I354" i="14"/>
  <c r="S354" i="14" s="1"/>
  <c r="T354" i="14"/>
  <c r="I358" i="14"/>
  <c r="S358" i="14" s="1"/>
  <c r="T358" i="14"/>
  <c r="I402" i="14"/>
  <c r="S402" i="14" s="1"/>
  <c r="T402" i="14"/>
  <c r="I411" i="14"/>
  <c r="S411" i="14" s="1"/>
  <c r="T411" i="14"/>
  <c r="T415" i="14"/>
  <c r="I415" i="14"/>
  <c r="S415" i="14" s="1"/>
  <c r="T54" i="14"/>
  <c r="U54" i="14"/>
  <c r="I54" i="14"/>
  <c r="S54" i="14" s="1"/>
  <c r="I84" i="14"/>
  <c r="S84" i="14" s="1"/>
  <c r="T84" i="14"/>
  <c r="T199" i="14"/>
  <c r="I199" i="14"/>
  <c r="S199" i="14" s="1"/>
  <c r="I236" i="14"/>
  <c r="S236" i="14" s="1"/>
  <c r="T236" i="14"/>
  <c r="I240" i="14"/>
  <c r="S240" i="14" s="1"/>
  <c r="T240" i="14"/>
  <c r="T270" i="14"/>
  <c r="I270" i="14"/>
  <c r="S270" i="14" s="1"/>
  <c r="T274" i="14"/>
  <c r="I274" i="14"/>
  <c r="S274" i="14" s="1"/>
  <c r="K315" i="14"/>
  <c r="T325" i="14"/>
  <c r="I325" i="14"/>
  <c r="S325" i="14" s="1"/>
  <c r="T330" i="14"/>
  <c r="U330" i="14"/>
  <c r="I330" i="14"/>
  <c r="S330" i="14" s="1"/>
  <c r="U333" i="14"/>
  <c r="I333" i="14"/>
  <c r="S333" i="14" s="1"/>
  <c r="T333" i="14"/>
  <c r="T339" i="14"/>
  <c r="U339" i="14"/>
  <c r="I339" i="14"/>
  <c r="S339" i="14" s="1"/>
  <c r="T341" i="14"/>
  <c r="I341" i="14"/>
  <c r="S341" i="14" s="1"/>
  <c r="T351" i="14"/>
  <c r="I351" i="14"/>
  <c r="S351" i="14" s="1"/>
  <c r="T355" i="14"/>
  <c r="I355" i="14"/>
  <c r="S355" i="14" s="1"/>
  <c r="I359" i="14"/>
  <c r="S359" i="14" s="1"/>
  <c r="T359" i="14"/>
  <c r="I399" i="14"/>
  <c r="S399" i="14" s="1"/>
  <c r="T399" i="14"/>
  <c r="T405" i="14"/>
  <c r="I405" i="14"/>
  <c r="S405" i="14" s="1"/>
  <c r="T412" i="14"/>
  <c r="I412" i="14"/>
  <c r="S412" i="14" s="1"/>
  <c r="T416" i="14"/>
  <c r="I416" i="14"/>
  <c r="S416" i="14" s="1"/>
  <c r="T474" i="14"/>
  <c r="I474" i="14"/>
  <c r="S474" i="14" s="1"/>
  <c r="I41" i="14"/>
  <c r="S41" i="14" s="1"/>
  <c r="T41" i="14"/>
  <c r="U55" i="14"/>
  <c r="I55" i="14"/>
  <c r="S55" i="14" s="1"/>
  <c r="T55" i="14"/>
  <c r="I148" i="14"/>
  <c r="S148" i="14" s="1"/>
  <c r="T148" i="14"/>
  <c r="T155" i="14"/>
  <c r="I155" i="14"/>
  <c r="S155" i="14" s="1"/>
  <c r="U166" i="14"/>
  <c r="T166" i="14"/>
  <c r="I166" i="14"/>
  <c r="S166" i="14" s="1"/>
  <c r="I196" i="14"/>
  <c r="S196" i="14" s="1"/>
  <c r="T196" i="14"/>
  <c r="I224" i="14"/>
  <c r="S224" i="14" s="1"/>
  <c r="T224" i="14"/>
  <c r="I237" i="14"/>
  <c r="S237" i="14" s="1"/>
  <c r="T237" i="14"/>
  <c r="T250" i="14"/>
  <c r="I250" i="14"/>
  <c r="S250" i="14" s="1"/>
  <c r="T271" i="14"/>
  <c r="I271" i="14"/>
  <c r="S271" i="14" s="1"/>
  <c r="T303" i="14"/>
  <c r="I303" i="14"/>
  <c r="S303" i="14" s="1"/>
  <c r="T326" i="14"/>
  <c r="I326" i="14"/>
  <c r="S326" i="14" s="1"/>
  <c r="T328" i="14"/>
  <c r="U328" i="14"/>
  <c r="I328" i="14"/>
  <c r="S328" i="14" s="1"/>
  <c r="I337" i="14"/>
  <c r="S337" i="14" s="1"/>
  <c r="U337" i="14"/>
  <c r="T337" i="14"/>
  <c r="I342" i="14"/>
  <c r="S342" i="14" s="1"/>
  <c r="T342" i="14"/>
  <c r="T352" i="14"/>
  <c r="I352" i="14"/>
  <c r="S352" i="14" s="1"/>
  <c r="T356" i="14"/>
  <c r="I356" i="14"/>
  <c r="S356" i="14" s="1"/>
  <c r="T400" i="14"/>
  <c r="I400" i="14"/>
  <c r="S400" i="14" s="1"/>
  <c r="I406" i="14"/>
  <c r="S406" i="14" s="1"/>
  <c r="T406" i="14"/>
  <c r="T413" i="14"/>
  <c r="I413" i="14"/>
  <c r="S413" i="14" s="1"/>
  <c r="I506" i="14"/>
  <c r="S506" i="14" s="1"/>
  <c r="T506" i="14"/>
  <c r="T145" i="14"/>
  <c r="I145" i="14"/>
  <c r="S145" i="14" s="1"/>
  <c r="K164" i="14"/>
  <c r="I173" i="14"/>
  <c r="S173" i="14" s="1"/>
  <c r="U173" i="14"/>
  <c r="T173" i="14"/>
  <c r="T187" i="14"/>
  <c r="I187" i="14"/>
  <c r="S187" i="14" s="1"/>
  <c r="T197" i="14"/>
  <c r="I197" i="14"/>
  <c r="S197" i="14" s="1"/>
  <c r="I234" i="14"/>
  <c r="S234" i="14" s="1"/>
  <c r="T234" i="14"/>
  <c r="I238" i="14"/>
  <c r="S238" i="14" s="1"/>
  <c r="T238" i="14"/>
  <c r="T251" i="14"/>
  <c r="I251" i="14"/>
  <c r="S251" i="14" s="1"/>
  <c r="I272" i="14"/>
  <c r="S272" i="14" s="1"/>
  <c r="T272" i="14"/>
  <c r="U338" i="14"/>
  <c r="I338" i="14"/>
  <c r="S338" i="14" s="1"/>
  <c r="T338" i="14"/>
  <c r="T343" i="14"/>
  <c r="I343" i="14"/>
  <c r="S343" i="14" s="1"/>
  <c r="T353" i="14"/>
  <c r="I353" i="14"/>
  <c r="S353" i="14" s="1"/>
  <c r="T357" i="14"/>
  <c r="I357" i="14"/>
  <c r="S357" i="14" s="1"/>
  <c r="U397" i="14"/>
  <c r="T397" i="14"/>
  <c r="I397" i="14"/>
  <c r="S397" i="14" s="1"/>
  <c r="I403" i="14"/>
  <c r="S403" i="14" s="1"/>
  <c r="T403" i="14"/>
  <c r="I414" i="14"/>
  <c r="S414" i="14" s="1"/>
  <c r="T414" i="14"/>
  <c r="K449" i="14"/>
  <c r="I449" i="14" s="1"/>
  <c r="T472" i="14"/>
  <c r="I472" i="14"/>
  <c r="S472" i="14" s="1"/>
  <c r="T503" i="14"/>
  <c r="I503" i="14"/>
  <c r="S503" i="14" s="1"/>
  <c r="T507" i="14"/>
  <c r="I507" i="14"/>
  <c r="S507" i="14" s="1"/>
  <c r="I146" i="14"/>
  <c r="S146" i="14" s="1"/>
  <c r="T146" i="14"/>
  <c r="I151" i="14"/>
  <c r="S151" i="14" s="1"/>
  <c r="T151" i="14"/>
  <c r="I175" i="14"/>
  <c r="S175" i="14" s="1"/>
  <c r="T175" i="14"/>
  <c r="T198" i="14"/>
  <c r="I198" i="14"/>
  <c r="S198" i="14" s="1"/>
  <c r="T239" i="14"/>
  <c r="I239" i="14"/>
  <c r="S239" i="14" s="1"/>
  <c r="I273" i="14"/>
  <c r="S273" i="14" s="1"/>
  <c r="T273" i="14"/>
  <c r="I350" i="14"/>
  <c r="S350" i="14" s="1"/>
  <c r="T350" i="14"/>
  <c r="I473" i="14"/>
  <c r="S473" i="14" s="1"/>
  <c r="T473" i="14"/>
  <c r="T504" i="14"/>
  <c r="U504" i="14"/>
  <c r="I504" i="14"/>
  <c r="S504" i="14" s="1"/>
  <c r="T40" i="14"/>
  <c r="U40" i="14"/>
  <c r="I40" i="14"/>
  <c r="S40" i="14" s="1"/>
  <c r="T147" i="14"/>
  <c r="I147" i="14"/>
  <c r="S147" i="14" s="1"/>
  <c r="T152" i="14"/>
  <c r="I152" i="14"/>
  <c r="S152" i="14" s="1"/>
  <c r="I165" i="14"/>
  <c r="S165" i="14" s="1"/>
  <c r="U165" i="14"/>
  <c r="T165" i="14"/>
  <c r="T195" i="14"/>
  <c r="I195" i="14"/>
  <c r="S195" i="14" s="1"/>
  <c r="T396" i="14"/>
  <c r="I396" i="14"/>
  <c r="S396" i="14" s="1"/>
  <c r="U396" i="14"/>
  <c r="H162" i="14"/>
  <c r="T21" i="14"/>
  <c r="I21" i="14"/>
  <c r="S21" i="14" s="1"/>
  <c r="T23" i="14"/>
  <c r="I23" i="14"/>
  <c r="S23" i="14" s="1"/>
  <c r="T442" i="14"/>
  <c r="U442" i="14"/>
  <c r="I442" i="14"/>
  <c r="S442" i="14" s="1"/>
  <c r="M22" i="14"/>
  <c r="P27" i="14"/>
  <c r="P26" i="14" s="1"/>
  <c r="N27" i="14"/>
  <c r="N26" i="14" s="1"/>
  <c r="N19" i="14" s="1"/>
  <c r="N18" i="14" s="1"/>
  <c r="L27" i="14"/>
  <c r="L26" i="14" s="1"/>
  <c r="L19" i="14" s="1"/>
  <c r="L18" i="14" s="1"/>
  <c r="H60" i="14"/>
  <c r="H44" i="14"/>
  <c r="J27" i="14"/>
  <c r="O163" i="14"/>
  <c r="O162" i="14" s="1"/>
  <c r="O20" i="14" s="1"/>
  <c r="M164" i="14"/>
  <c r="M27" i="14"/>
  <c r="I334" i="14"/>
  <c r="K29" i="14"/>
  <c r="E44" i="14"/>
  <c r="K143" i="14"/>
  <c r="K502" i="14"/>
  <c r="O27" i="14"/>
  <c r="O26" i="14" s="1"/>
  <c r="O19" i="14" s="1"/>
  <c r="M143" i="14"/>
  <c r="E60" i="14"/>
  <c r="M180" i="14"/>
  <c r="E449" i="14"/>
  <c r="E22" i="14" s="1"/>
  <c r="K44" i="14"/>
  <c r="K60" i="14"/>
  <c r="E180" i="14"/>
  <c r="E163" i="14" s="1"/>
  <c r="P20" i="14"/>
  <c r="H20" i="14" s="1"/>
  <c r="K180" i="14"/>
  <c r="E315" i="14"/>
  <c r="E314" i="14" s="1"/>
  <c r="M502" i="14"/>
  <c r="K24" i="14" l="1"/>
  <c r="U502" i="14"/>
  <c r="T502" i="14"/>
  <c r="I502" i="14"/>
  <c r="S502" i="14" s="1"/>
  <c r="I60" i="14"/>
  <c r="S60" i="14" s="1"/>
  <c r="T60" i="14"/>
  <c r="U60" i="14"/>
  <c r="T44" i="14"/>
  <c r="U44" i="14"/>
  <c r="I44" i="14"/>
  <c r="S44" i="14" s="1"/>
  <c r="T180" i="14"/>
  <c r="U180" i="14"/>
  <c r="T143" i="14"/>
  <c r="U143" i="14"/>
  <c r="T449" i="14"/>
  <c r="U449" i="14"/>
  <c r="U29" i="14"/>
  <c r="T29" i="14"/>
  <c r="I29" i="14"/>
  <c r="S29" i="14" s="1"/>
  <c r="S449" i="14"/>
  <c r="M314" i="14"/>
  <c r="U315" i="14"/>
  <c r="T315" i="14"/>
  <c r="I315" i="14"/>
  <c r="S315" i="14" s="1"/>
  <c r="I180" i="14"/>
  <c r="S180" i="14" s="1"/>
  <c r="M142" i="14"/>
  <c r="I143" i="14"/>
  <c r="S143" i="14" s="1"/>
  <c r="H27" i="14"/>
  <c r="J26" i="14"/>
  <c r="M163" i="14"/>
  <c r="O18" i="14"/>
  <c r="K142" i="14"/>
  <c r="E27" i="14"/>
  <c r="E26" i="14" s="1"/>
  <c r="E19" i="14" s="1"/>
  <c r="M26" i="14"/>
  <c r="M19" i="14" s="1"/>
  <c r="P19" i="14"/>
  <c r="P18" i="14" s="1"/>
  <c r="E162" i="14"/>
  <c r="E20" i="14" s="1"/>
  <c r="K314" i="14"/>
  <c r="I314" i="14" s="1"/>
  <c r="S314" i="14" s="1"/>
  <c r="K22" i="14"/>
  <c r="M24" i="14"/>
  <c r="K27" i="14"/>
  <c r="M162" i="14" l="1"/>
  <c r="M20" i="14" s="1"/>
  <c r="M18" i="14" s="1"/>
  <c r="U22" i="14"/>
  <c r="T22" i="14"/>
  <c r="I142" i="14"/>
  <c r="S142" i="14" s="1"/>
  <c r="T142" i="14"/>
  <c r="U142" i="14"/>
  <c r="I27" i="14"/>
  <c r="S27" i="14" s="1"/>
  <c r="U27" i="14"/>
  <c r="T27" i="14"/>
  <c r="I22" i="14"/>
  <c r="S22" i="14" s="1"/>
  <c r="T24" i="14"/>
  <c r="I24" i="14"/>
  <c r="S24" i="14" s="1"/>
  <c r="U24" i="14"/>
  <c r="T314" i="14"/>
  <c r="U314" i="14"/>
  <c r="J19" i="14"/>
  <c r="H26" i="14"/>
  <c r="E18" i="14"/>
  <c r="K26" i="14"/>
  <c r="I26" i="14" l="1"/>
  <c r="S26" i="14" s="1"/>
  <c r="U26" i="14"/>
  <c r="T26" i="14"/>
  <c r="H19" i="14"/>
  <c r="J18" i="14"/>
  <c r="K19" i="14"/>
  <c r="I19" i="14" l="1"/>
  <c r="S19" i="14" s="1"/>
  <c r="U19" i="14"/>
  <c r="T19" i="14"/>
  <c r="H18" i="14"/>
  <c r="T164" i="14" l="1"/>
  <c r="U164" i="14"/>
  <c r="K163" i="14"/>
  <c r="U163" i="14" s="1"/>
  <c r="I164" i="14"/>
  <c r="S164" i="14" s="1"/>
  <c r="K162" i="14" l="1"/>
  <c r="U162" i="14" s="1"/>
  <c r="T163" i="14"/>
  <c r="I163" i="14"/>
  <c r="S163" i="14" s="1"/>
  <c r="I162" i="14" l="1"/>
  <c r="S162" i="14" s="1"/>
  <c r="T162" i="14"/>
  <c r="K20" i="14"/>
  <c r="K18" i="14" l="1"/>
  <c r="T20" i="14"/>
  <c r="I20" i="14"/>
  <c r="S20" i="14" s="1"/>
  <c r="U20" i="14"/>
  <c r="U18" i="14" l="1"/>
  <c r="I18" i="14"/>
  <c r="S18" i="14" s="1"/>
  <c r="T18" i="14"/>
</calcChain>
</file>

<file path=xl/sharedStrings.xml><?xml version="1.0" encoding="utf-8"?>
<sst xmlns="http://schemas.openxmlformats.org/spreadsheetml/2006/main" count="2772" uniqueCount="995">
  <si>
    <t>к приказу Минэнерго России</t>
  </si>
  <si>
    <t>в базисном уровне цен</t>
  </si>
  <si>
    <t>Идентификатор инвестиционного проекта</t>
  </si>
  <si>
    <t>Причины отклонений</t>
  </si>
  <si>
    <t>%</t>
  </si>
  <si>
    <t>План</t>
  </si>
  <si>
    <t>Всего</t>
  </si>
  <si>
    <t>в прогнозных ценах соответствующих лет</t>
  </si>
  <si>
    <t xml:space="preserve"> Наименование инвестиционного проекта (группы инвестиционных проектов)</t>
  </si>
  <si>
    <t xml:space="preserve">Факт </t>
  </si>
  <si>
    <t>Приложение  № 12</t>
  </si>
  <si>
    <t>Номер группы инвестиционных проектов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</si>
  <si>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</si>
  <si>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</si>
  <si>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</si>
  <si>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</si>
  <si>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</si>
  <si>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</si>
  <si>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</si>
  <si>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</si>
  <si>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</si>
  <si>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</si>
  <si>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</si>
  <si>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</si>
  <si>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</si>
  <si>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</si>
  <si>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</si>
  <si>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</si>
  <si>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</si>
  <si>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</si>
  <si>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</si>
  <si>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</si>
  <si>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</si>
  <si>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</si>
  <si>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</si>
  <si>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</si>
  <si>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</si>
  <si>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</si>
  <si>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</si>
  <si>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</si>
  <si>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</si>
  <si>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</si>
  <si>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</si>
  <si>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</si>
  <si>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освоения по итогам отчетного периода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</si>
  <si>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</si>
  <si>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от « 25 » апреля 2018 г. № 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</si>
  <si>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</si>
  <si>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
 (без НДС)</t>
  </si>
  <si>
    <t xml:space="preserve">Остаток освоения капитальных вложений 
на  конец отчетного периода,  
млн. рублей 
(без НДС) </t>
  </si>
  <si>
    <t>нд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</si>
  <si>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</si>
  <si>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</si>
  <si>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</si>
  <si>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</si>
  <si>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</si>
  <si>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</si>
  <si>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</si>
  <si>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</si>
  <si>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</si>
  <si>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</si>
  <si>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</si>
  <si>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</si>
  <si>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</si>
  <si>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</si>
  <si>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</si>
  <si>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</si>
  <si>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</si>
  <si>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</si>
  <si>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</si>
  <si>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</si>
  <si>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</si>
  <si>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</si>
  <si>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</si>
  <si>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</si>
  <si>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</si>
  <si>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</si>
  <si>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</si>
  <si>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</si>
  <si>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</si>
  <si>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</si>
  <si>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</si>
  <si>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</si>
  <si>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</si>
  <si>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</si>
  <si>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</si>
  <si>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</si>
  <si>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</si>
  <si>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</si>
  <si>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</si>
  <si>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</si>
  <si>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</si>
  <si>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</si>
  <si>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</si>
  <si>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</si>
  <si>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</si>
  <si>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</si>
  <si>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</si>
  <si>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</si>
  <si>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</si>
  <si>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</si>
  <si>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</si>
  <si>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</si>
  <si>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</si>
  <si>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</si>
  <si>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</si>
  <si>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</si>
  <si>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</si>
  <si>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</si>
  <si>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</si>
  <si>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</si>
  <si>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</si>
  <si>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</si>
  <si>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</si>
  <si>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</si>
  <si>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</si>
  <si>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</si>
  <si>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</si>
  <si>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</si>
  <si>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</si>
  <si>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</si>
  <si>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</si>
  <si>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</si>
  <si>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</si>
  <si>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</si>
  <si>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</si>
  <si>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</si>
  <si>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</si>
  <si>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</si>
  <si>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</si>
  <si>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</si>
  <si>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</si>
  <si>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</si>
  <si>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</si>
  <si>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</si>
  <si>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</si>
  <si>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</si>
  <si>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</si>
  <si>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</si>
  <si>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</si>
  <si>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</si>
  <si>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</si>
  <si>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</si>
  <si>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</si>
  <si>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</si>
  <si>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</si>
  <si>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</si>
  <si>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</si>
  <si>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</si>
  <si>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</si>
  <si>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</si>
  <si>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</si>
  <si>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</si>
  <si>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</si>
  <si>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</si>
  <si>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</si>
  <si>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</si>
  <si>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</si>
  <si>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</si>
  <si>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</si>
  <si>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</si>
  <si>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</si>
  <si>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</si>
  <si>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</si>
  <si>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</si>
  <si>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</si>
  <si>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</si>
  <si>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</si>
  <si>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</si>
  <si>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</si>
  <si>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</si>
  <si>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</si>
  <si>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</si>
  <si>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</si>
  <si>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</si>
  <si>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</si>
  <si>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</si>
  <si>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</si>
  <si>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</si>
  <si>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</si>
  <si>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</si>
  <si>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</si>
  <si>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</si>
  <si>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</si>
  <si>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</si>
  <si>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</si>
  <si>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</si>
  <si>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</si>
  <si>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</si>
  <si>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</si>
  <si>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</si>
  <si>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</si>
  <si>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</si>
  <si>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</si>
  <si>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</si>
  <si>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</si>
  <si>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</si>
  <si>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</si>
  <si>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</si>
  <si>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</si>
  <si>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</si>
  <si>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</si>
  <si>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</si>
  <si>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</si>
  <si>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</si>
  <si>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</si>
  <si>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</si>
  <si>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</si>
  <si>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</si>
  <si>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</si>
  <si>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</si>
  <si>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</si>
  <si>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</si>
  <si>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</si>
  <si>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</si>
  <si>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</si>
  <si>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</si>
  <si>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</si>
  <si>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</si>
  <si>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</si>
  <si>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</si>
  <si>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</si>
  <si>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</si>
  <si>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</si>
  <si>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</si>
  <si>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</si>
  <si>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</si>
  <si>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</si>
  <si>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</si>
  <si>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</si>
  <si>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</si>
  <si>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</si>
  <si>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</si>
  <si>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</si>
  <si>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</si>
  <si>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</si>
  <si>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</si>
  <si>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</si>
  <si>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</si>
  <si>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</si>
  <si>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</si>
  <si>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</si>
  <si>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</si>
  <si>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</si>
  <si>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</si>
  <si>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</si>
  <si>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</si>
  <si>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</si>
  <si>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</si>
  <si>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</si>
  <si>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</si>
  <si>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</si>
  <si>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</si>
  <si>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</si>
  <si>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</si>
  <si>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</si>
  <si>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</si>
  <si>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</si>
  <si>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</si>
  <si>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</si>
  <si>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</si>
  <si>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</si>
  <si>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</si>
  <si>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</si>
  <si>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</si>
  <si>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</si>
  <si>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</si>
  <si>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</si>
  <si>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</si>
  <si>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</si>
  <si>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</si>
  <si>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</si>
  <si>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</si>
  <si>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</si>
  <si>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</si>
  <si>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</si>
  <si>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</si>
  <si>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</si>
  <si>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</si>
  <si>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</si>
  <si>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</si>
  <si>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</si>
  <si>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</si>
  <si>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</si>
  <si>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</si>
  <si>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</si>
  <si>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</si>
  <si>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</si>
  <si>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</si>
  <si>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</si>
  <si>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</si>
  <si>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</si>
  <si>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</si>
  <si>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</si>
  <si>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</si>
  <si>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</si>
  <si>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</si>
  <si>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</si>
  <si>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</si>
  <si>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</si>
  <si>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</si>
  <si>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</si>
  <si>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</si>
  <si>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</si>
  <si>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</si>
  <si>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</si>
  <si>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</si>
  <si>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</si>
  <si>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</si>
  <si>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</si>
  <si>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</si>
  <si>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</si>
  <si>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</si>
  <si>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</si>
  <si>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</si>
  <si>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</si>
  <si>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</si>
  <si>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</si>
  <si>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E_19/1.3.12.1</t>
  </si>
  <si>
    <t>E_19/1.3.12.2</t>
  </si>
  <si>
    <t xml:space="preserve">Отчет о реализации инвестиционной программы акционерного общества  "Воронежская горэлектросеть" </t>
  </si>
  <si>
    <t>Год раскрытия информации:2019  год</t>
  </si>
  <si>
    <t xml:space="preserve">Фактический объем освоения капитальных вложений на  01.01.2019 года в прогнозных ценах соответствующих лет, млн. рублей 
(без НДС) </t>
  </si>
  <si>
    <t xml:space="preserve">Остаток освоения капитальных вложений 
на  01.01.2019 года ,  
млн. рублей 
(без НДС) </t>
  </si>
  <si>
    <t xml:space="preserve">Освоение капитальных вложений 2019 года, млн. рублей (без НДС) 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</si>
  <si>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</si>
  <si>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</si>
  <si>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</si>
  <si>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</si>
  <si>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</si>
  <si>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</si>
  <si>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</si>
  <si>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</si>
  <si>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</si>
  <si>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</si>
  <si>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</si>
  <si>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</si>
  <si>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</si>
  <si>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</si>
  <si>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</si>
  <si>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</si>
  <si>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</si>
  <si>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</si>
  <si>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</si>
  <si>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</si>
  <si>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</si>
  <si>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</si>
  <si>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</si>
  <si>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</si>
  <si>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</si>
  <si>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</si>
  <si>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</si>
  <si>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</si>
  <si>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</si>
  <si>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</si>
  <si>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</si>
  <si>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</si>
  <si>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</si>
  <si>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</si>
  <si>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</si>
  <si>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</si>
  <si>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</si>
  <si>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</si>
  <si>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</si>
  <si>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</si>
  <si>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</si>
  <si>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</si>
  <si>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</si>
  <si>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</si>
  <si>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</si>
  <si>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</si>
  <si>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</si>
  <si>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</si>
  <si>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</si>
  <si>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</si>
  <si>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</si>
  <si>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</si>
  <si>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</si>
  <si>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</si>
  <si>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</si>
  <si>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</si>
  <si>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</si>
  <si>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</si>
  <si>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</si>
  <si>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</si>
  <si>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</si>
  <si>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</si>
  <si>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</si>
  <si>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</si>
  <si>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</si>
  <si>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</si>
  <si>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</si>
  <si>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</si>
  <si>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</si>
  <si>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</si>
  <si>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</si>
  <si>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</si>
  <si>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</si>
  <si>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</si>
  <si>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</si>
  <si>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</si>
  <si>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</si>
  <si>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</si>
  <si>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</si>
  <si>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</si>
  <si>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</si>
  <si>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</si>
  <si>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</si>
  <si>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</si>
  <si>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</si>
  <si>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</si>
  <si>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</si>
  <si>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Объект переходящий по инвестиционной программе 2018 года.</t>
  </si>
  <si>
    <t>Приобретение автотранспорта по инвестиционной программе 2018 года.</t>
  </si>
  <si>
    <t>Вынос ЛЭП.Оказание услуг по снятию ограничений в использовании земельного участка по обращению.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</si>
  <si>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</si>
  <si>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</si>
  <si>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</si>
  <si>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</si>
  <si>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</si>
  <si>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</si>
  <si>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</si>
  <si>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</si>
  <si>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</si>
  <si>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</si>
  <si>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</si>
  <si>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</si>
  <si>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</si>
  <si>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</si>
  <si>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</si>
  <si>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</si>
  <si>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</si>
  <si>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</si>
  <si>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</si>
  <si>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</si>
  <si>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</si>
  <si>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</si>
  <si>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</si>
  <si>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</si>
  <si>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</si>
  <si>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</si>
  <si>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</si>
  <si>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</si>
  <si>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</si>
  <si>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</si>
  <si>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</si>
  <si>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</si>
  <si>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</si>
  <si>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ВЛ-0,4 кВ для технологического присоединения. Новое строительство (протяженность 19,125 км)</t>
  </si>
  <si>
    <t>E_18/00027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</si>
  <si>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</si>
  <si>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</si>
  <si>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</si>
  <si>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</si>
  <si>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</si>
  <si>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</si>
  <si>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</si>
  <si>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</si>
  <si>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</si>
  <si>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</si>
  <si>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</si>
  <si>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</si>
  <si>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КЛ-6-10 кВ для технологического присоединения. Новое строительство (протяженность 4,036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</si>
  <si>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</si>
  <si>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</si>
  <si>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</si>
  <si>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</si>
  <si>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</si>
  <si>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</si>
  <si>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</si>
  <si>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</si>
  <si>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</si>
  <si>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</si>
  <si>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</si>
  <si>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</si>
  <si>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</si>
  <si>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</si>
  <si>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</si>
  <si>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</si>
  <si>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</si>
  <si>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</si>
  <si>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</si>
  <si>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</si>
  <si>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</si>
  <si>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</si>
  <si>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</si>
  <si>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</si>
  <si>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</si>
  <si>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 Строительство КЛ-1 кВ от  РП-91 протяженностью12х0,310 м . по договору Т.П. (до 670 кВт) №2555 от 16.02.2015</t>
  </si>
  <si>
    <t>E_18/00034</t>
  </si>
  <si>
    <t>Выполнение проектных работ по договору Т.П. (от 150 до 670 кВт) №750 от 11.06.2014</t>
  </si>
  <si>
    <t>E_18/00053</t>
  </si>
  <si>
    <t>Реконструкция низковольтного оборудования в ТП-339</t>
  </si>
  <si>
    <t>I_18/1.5.25.А.</t>
  </si>
  <si>
    <t>Реконструкция низковольтногооборудования в ТП-910</t>
  </si>
  <si>
    <t>I_18/1.5.16.А.</t>
  </si>
  <si>
    <t>Вынос КТП-1622 п.Репное (Когтев С.А.)</t>
  </si>
  <si>
    <t>G_16/1.3.7.8</t>
  </si>
  <si>
    <t>ТП-1007 КЛ-1(ОАО "Центрторг") Генерала Лизюкова,62</t>
  </si>
  <si>
    <t>F_15/1.1.3.28</t>
  </si>
  <si>
    <t>Платонова 15 вынос КЛ-6 кВ ТП-140-ТП-1239,ТП-19-ТП-1239(Воронежбетон)</t>
  </si>
  <si>
    <t>F_15/1.1.3.29</t>
  </si>
  <si>
    <t>H_17/1.1.4.14</t>
  </si>
  <si>
    <t xml:space="preserve">Вынос КЛ-6кВ: ТП-1093-ТП-1757, ТП-1098-ТП-1757, ТП-1196-ТП-1757 из зоны стр-ва Корольковой, 59,61 </t>
  </si>
  <si>
    <t>H_17/1.1.4.15</t>
  </si>
  <si>
    <t>Реконструкция КЛ 0,4 кВ ТП-224Н - ул. Чайковского, Щ.1</t>
  </si>
  <si>
    <t>E_18/1.1.2.18</t>
  </si>
  <si>
    <t>Реконструкция КЛ 6,10кВ РП-7 ТП-20 (до муфты)</t>
  </si>
  <si>
    <t>I_18/1.1.3.20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</si>
  <si>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</si>
  <si>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</si>
  <si>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</si>
  <si>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</si>
  <si>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КЛ 0,4 кВ ТП-10</t>
  </si>
  <si>
    <t>E_18/1.1.2.19</t>
  </si>
  <si>
    <t>Стр-во КТП 1х250 взамен КТП-869 (трансформаторная мощность 0,25 МВА)</t>
  </si>
  <si>
    <t>F_15/2.2.5.5</t>
  </si>
  <si>
    <t>Прокладка КЛ от ТП-1256 до места соед. С КЛ в сторону ТП-676 (протяженность по трассе 1,10км)</t>
  </si>
  <si>
    <t>H_17/2.1.3.1</t>
  </si>
  <si>
    <t>Строительство КЛ-0,4 кВ ТП-1095 КЛ-1 кВ, ул. Новосибирская, д. 39 (ИП Леньков А.А.)</t>
  </si>
  <si>
    <t>I_18/2.2.7.34</t>
  </si>
  <si>
    <t>Строительство КЛ-0,4 кВ ТП-218А, ул. Шишкова, 65</t>
  </si>
  <si>
    <t>I_18/2.2.7.26</t>
  </si>
  <si>
    <t>Строительство КЛ-0,4 кВ ТП-222  КЛ-1 кВ, ул. Мира, д. 3 9Сорокин А.В.)</t>
  </si>
  <si>
    <t>I_18/2.2.7.35</t>
  </si>
  <si>
    <t>Строительство КЛ-0,4 кВ ТП-282 КЛ-1 кВ, Московский пр. 7</t>
  </si>
  <si>
    <t>I_18/2.2.7.27</t>
  </si>
  <si>
    <t>Строительство КЛ-0,4 кВ ТП-396, ул. Брусилова, д. 4Е(ООО Фрегат)</t>
  </si>
  <si>
    <t>I_18/2.2.7.36</t>
  </si>
  <si>
    <t>Реконструкция ВЛ-0,4кВ для технологического присоединения от ТП-728 (протяженность по трассе 0,159 км)</t>
  </si>
  <si>
    <t>Реконструкция ВЛ-0,4кВ для технологического присоединения от ТП-19 (протяженность по трассе 0,120км)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</si>
  <si>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</si>
  <si>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</si>
  <si>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</si>
  <si>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</si>
  <si>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</si>
  <si>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</si>
  <si>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</si>
  <si>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</si>
  <si>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</si>
  <si>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</si>
  <si>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высоковольтного оборудования в ТП-1644</t>
  </si>
  <si>
    <t>E_19/1.3.7.4.А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</si>
  <si>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</si>
  <si>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</si>
  <si>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</si>
  <si>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</si>
  <si>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</si>
  <si>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</si>
  <si>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</si>
  <si>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</si>
  <si>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</si>
  <si>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</si>
  <si>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масляных выключателей на  вакуумные выключатели в РП-47 (10шт.)</t>
  </si>
  <si>
    <t>G_16/1.3.4.1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</si>
  <si>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</si>
  <si>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</si>
  <si>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</si>
  <si>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E_19/1.3.5.7.А</t>
  </si>
  <si>
    <t>Реконструкция высоковольтного оборудования (замена трансформаторов 1х400) ТП-908</t>
  </si>
  <si>
    <t>E_19/1.3.5.8.А</t>
  </si>
  <si>
    <t>Реконструкция высоковольтного оборудования (замена трансформатора 1х400) ТП-281(б/у)</t>
  </si>
  <si>
    <t>Реконструкция высоковольтного оборудования (замена трансформаторов 2х250) ТП-1644 (б/у)</t>
  </si>
  <si>
    <t>Реконструкция высоковольтного оборудования (замена трансформатора 1х250) ТП-1721(б/у)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</si>
  <si>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</si>
  <si>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</si>
  <si>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Реконструкция КЛ-0,4кВ ТП-657 - вывод на сеть  (протяженностью 0,032км)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</si>
  <si>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</si>
  <si>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</si>
  <si>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</si>
  <si>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</si>
  <si>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</si>
  <si>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E_19/1.1.2.18</t>
  </si>
  <si>
    <t>Реконструкция КЛ-0,4кВ ТП-517 - до оп.№1 ул.Г.Сибиряков  (протяженностью 0,030км)</t>
  </si>
  <si>
    <t>E_19/1.1.2.19</t>
  </si>
  <si>
    <t>Вынос КЛ-0,4кВ ТП-460 - до ж/д 36 ул.Пирогова (протяженностью 0,265км)</t>
  </si>
  <si>
    <t>E_19/1.1.2.20</t>
  </si>
  <si>
    <t>Вынос КЛ-0,4кВ ТП-247 - до опоры №1А ул.К.Маркса (протяженностью 0,039км)</t>
  </si>
  <si>
    <t>E_19/1.1.2.21</t>
  </si>
  <si>
    <t>Строительство КЛ-0,4кВ ТП-1626- врезка в КЛ до РЩ парк "Алые паруса"(протяженностью 0,015км)</t>
  </si>
  <si>
    <t>E_19/1.1.2.22</t>
  </si>
  <si>
    <t>Вынос КЛ-0,4кВ ТП-1823 -ж/д 13 ул.Платонова(протяженностью 0,0662 км)</t>
  </si>
  <si>
    <t>E_19/1.1.2.23</t>
  </si>
  <si>
    <t>Вынос КЛ-0,4кВ ТП-1823 -до арбитражного суда ул.Платонова,8 (протяженностью 0,186 км)</t>
  </si>
  <si>
    <t>E_19/1.1.2.24</t>
  </si>
  <si>
    <t>Вынос КЛ-0,4кВ ТП-1823 -до котельной ул.Платонова,3 (протяженностью 0,0695 км)</t>
  </si>
  <si>
    <t>E_19/1.1.2.25</t>
  </si>
  <si>
    <t>Перенос  КТП-1927с прокладкой КЛ-0,4,6кВ по адресу: ул.Ленина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</si>
  <si>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</si>
  <si>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</si>
  <si>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</si>
  <si>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</si>
  <si>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</si>
  <si>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</si>
  <si>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E_19/1.1.3.39</t>
  </si>
  <si>
    <t>Реконструкция КЛ 6,10кВ РП-42 - ТП-345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</si>
  <si>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</si>
  <si>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</si>
  <si>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</si>
  <si>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</si>
  <si>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</si>
  <si>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E_19/1.1.3.41</t>
  </si>
  <si>
    <t>Вынос КЛ-6кВ ТП-1823 до М-9 в ТП-364 (протяженность 0,0645км)</t>
  </si>
  <si>
    <t>E_19/1.1.3.42</t>
  </si>
  <si>
    <t>Вынос КЛ-6кВ ТП-19 от М-10  до М-10а в ст.ТП-1239 (протяженность 0,1036км)</t>
  </si>
  <si>
    <t>E_19/1.1.3.43</t>
  </si>
  <si>
    <t>Строительство КЛ-0,4кВ ТП-247 - до опоры №1А ул.Карла Маркса (протяженностью 0,040км)</t>
  </si>
  <si>
    <t>Строительство КЛ-0,4кВ ТП-17Н - до опоры №1 в сторону ж/д 32 ул. Декабристов и ж/д 26 ул.Таранченко (протяженностью 0,082км)</t>
  </si>
  <si>
    <t>Строительство КЛ-0,4кВ ТП-1095- до нежилого здания (магазин) ул. Новосибирская,39 (протяженностью 0,076км)</t>
  </si>
  <si>
    <t>Строительство КЛ-0,4кВ ТП-1626- до РЩ пляжа парк "Алые паруса"(протяженностью 0,140км)</t>
  </si>
  <si>
    <t>Строительство КЛ-0,4кВ ТП-1039- до ж/д 16 ул.К.Стрелюка (протяженностью 0,032км)</t>
  </si>
  <si>
    <t>Вынос КЛ-0,4кВ ТП-1823 -до банка политпросвещения ул.Платонова(протяженностью 0,1661км)</t>
  </si>
  <si>
    <t>Вынос КЛ-0,4кВ ТП-1823 -до М.16-V в ст. юридической консультации ул.Платонова,5 (протяженностью 0,062км)</t>
  </si>
  <si>
    <t>Вынос КЛ-0,4кВ ТП-1823 -до опоры №23 в ст.ж/д №5,3,1 ул.Платонова(протяженностью 0,140км)</t>
  </si>
  <si>
    <t>Вынос КЛ-0,4кВ ТП-1823 -до опоры №23 в ст. банка ВТБ и ж/д 4  ул.Платонова(протяженностью 0,140км)</t>
  </si>
  <si>
    <t>Вынос КЛ-0,4кВ ТП-1823 -до опоры №23 в ст.  ж/д 5 пер.Старинный (протяженностью 0,070км)</t>
  </si>
  <si>
    <t>Вынос КЛ-0,4кВ ТП-1823 -до опоры №23 ул.Платонова(протяженностью 0,140км)</t>
  </si>
  <si>
    <t>E_19/2.1.22</t>
  </si>
  <si>
    <t>Вынос КЛ-0,4кВ ТП-1823 -до ВРУ ж/д №7 ул.Платонова(протяженностью 0,3915км)</t>
  </si>
  <si>
    <t>Вынос КЛ-6кВ ТП-1823 до М-7 в ТП-1451(протяженностью 0,0932км)</t>
  </si>
  <si>
    <t>Производственные службы (вне плана)</t>
  </si>
  <si>
    <t>E_19/1.3.12.4</t>
  </si>
  <si>
    <t xml:space="preserve"> Строительство КЛ-10 кВ от КТП-1644 до места врезки в КЛ-6 кВ  ТП-278-ТП-786, до ТП-264  (Чернова М. В. дог. № 868 от 07.12.2010 г.) 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</si>
  <si>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</si>
  <si>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</si>
  <si>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</si>
  <si>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</si>
  <si>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Строительство КЛ-10 кВ до границы участка по Плехановская ул., 9 (ООО "ГК "Лотос", дог. № 1169 от 15.01.2014 г., протяженность -  0,079 км)</t>
  </si>
  <si>
    <t xml:space="preserve"> Строительство ТП с двумя трасформаторами 1 МВА. по договору Т.П. (свыше 670 кВт) №836 от 10.12.2015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</si>
  <si>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</si>
  <si>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</si>
  <si>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J_19/00016</t>
  </si>
  <si>
    <t>J_19/00017</t>
  </si>
  <si>
    <t>J_19/00018</t>
  </si>
  <si>
    <t>J_19/00019</t>
  </si>
  <si>
    <t>J_19/00020</t>
  </si>
  <si>
    <t>G_16/00015</t>
  </si>
  <si>
    <t>H_17/00048</t>
  </si>
  <si>
    <t>F_15/00041</t>
  </si>
  <si>
    <t>J_19/00021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</si>
  <si>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</si>
  <si>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Строительство ВЛ-0,4 кВ для технологического присоединения. Новое строительство (протяженность 19,39 км)</t>
  </si>
  <si>
    <t>Строительство КЛ-0,4 кВ для технологического присоединения. Новое строительство (протяженность 0,72 км)</t>
  </si>
  <si>
    <t>Строительство КЛ-6,10 кВ для технологического присоединения. Новое строительство (протяженность 1,18 км)</t>
  </si>
  <si>
    <t xml:space="preserve">Строительство ТП  для технологического присоединения. Новое строительство 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</si>
  <si>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</si>
  <si>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</si>
  <si>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</si>
  <si>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</si>
  <si>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</si>
  <si>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</si>
  <si>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Строительство ТП для технологического присоединения. Новое строительство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</si>
  <si>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</si>
  <si>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</si>
  <si>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>Реконструкция ВЛ-0,4кВ для технологического присоединения от ТП-201А (протяженность по трассе 0,020км)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</si>
  <si>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</si>
  <si>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</si>
  <si>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</si>
  <si>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0,360км)</t>
  </si>
  <si>
    <t>Монтаж устройств охранной сигнализации в ТП-995 по адресу: пр. Патриотов, 7/1Т</t>
  </si>
  <si>
    <t>E_19/1.3.23</t>
  </si>
  <si>
    <t>Реконструкция высоковольтного оборудования (замена трансформаторов 1х400) ТП-285</t>
  </si>
  <si>
    <t>Реконструкция высоковольтного оборудования (замена трансформаторов 1х400) ТП-576</t>
  </si>
  <si>
    <t>Реконструкция высоковольтного оборудования (замена трансформаторов 2х400) ТП-983</t>
  </si>
  <si>
    <t>E_19/1.3.5.9.А</t>
  </si>
  <si>
    <t>Реконструкция высоковольтного оборудования (замена трансформаторов 2х400) РП-30</t>
  </si>
  <si>
    <t>E_19/1.3.5.10.А</t>
  </si>
  <si>
    <t>Реконструкция высоковольтного оборудования (замена трансформаторов 2х630) ТП-1164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</si>
  <si>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</si>
  <si>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</si>
  <si>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</si>
  <si>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</si>
  <si>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</si>
  <si>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</si>
  <si>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</si>
  <si>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</si>
  <si>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</si>
  <si>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</si>
  <si>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</si>
  <si>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</si>
  <si>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</si>
  <si>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</si>
  <si>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Строительство КЛ-0,4кВ ТП-807- до оп.№5 ул.9 Января (протяженностью 0,306км)</t>
  </si>
  <si>
    <t>E_19/1.1.2.26</t>
  </si>
  <si>
    <t>Реконструкция КЛ-0,4кВ ТП-812 до ж/д 286 ул. 9 Января  (протяженностью 1,192км)</t>
  </si>
  <si>
    <t>E_19/1.1.2.27</t>
  </si>
  <si>
    <t>Вынос ЛЭП ВЛ-0,4кВ ТП-81 по адресу: пр.Московский</t>
  </si>
  <si>
    <t>E_19/1.1.2.28</t>
  </si>
  <si>
    <t>Вынос ТП-460- ТП-251 (протяженность 0,193км)</t>
  </si>
  <si>
    <t>Вынос КЛ-6кВ БКТП-1882 ТП-305 от муфты М-1 до М-2 (протяженность по трассе 0,116км)</t>
  </si>
  <si>
    <t>Вынос КЛ-6кВ РП-28-ТП-896 из зоны строительства ул.Хользунова 9 (протяженность по трассе 0,167км)</t>
  </si>
  <si>
    <t>E_19/1.1.3.44</t>
  </si>
  <si>
    <t>Вынос КЛ-6кВ РП-21 ТП-751 (от муфты М-1 до М-2) (протяженность по трассе 0,044км)</t>
  </si>
  <si>
    <t>E_19/1.1.3.45</t>
  </si>
  <si>
    <t>Вынос КЛ-6кВ БКТП-1882 ТП-339 от муфты М-1 до М-2 (протяженность по трассе 0,116км)</t>
  </si>
  <si>
    <t>E_19/1.1.3.46</t>
  </si>
  <si>
    <t>Строительство КЛ-0,4кВ ТП-457- до оп.№1 ул.Варейкиса (протяженность по трассе  0,068км)</t>
  </si>
  <si>
    <t>Строительство КЛ-0,4кВ ТП-19- до оп.№20 в сторону ул.Ремесленная гора,13 (протяженность по трассе  0,023км)</t>
  </si>
  <si>
    <t>Установка сигнализации с целью предотвращения хищений электроэнергии.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</si>
  <si>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</si>
  <si>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Объект переходящий по инвестиционной программе 2018 года (задержка поставки оборудования ввиду несвоевременной оплаты)</t>
  </si>
  <si>
    <t>Объект переходящий по инвестиционной программе 2015 года.(Монтаж цепей телеуправления после замены маслянных выключателей на вакуумные)</t>
  </si>
  <si>
    <t>Объект переходящий по инвестиционной программе 2017 года.(Монтаж цепей телеуправления после замены маслянных выключателей на вакуумные)</t>
  </si>
  <si>
    <t>Объект переходящий по инвестиционной программе 2018 года.(Перевод оборудования и линий телемеханики на сеть Enternet)</t>
  </si>
  <si>
    <t>Объект переходящий по инвестиционной программе 2018 года.(монтаж модема связи)</t>
  </si>
  <si>
    <t>Объект переходящий по инвестиционной программе 2018 года..(Монтаж цепей телемеханики на 2 вновь установленные ячейки)</t>
  </si>
  <si>
    <t>Объект переходящий по инвестиционной программе 2017 года..(Перевод оборудования и линий телемеханики на сеть Enternet)</t>
  </si>
  <si>
    <t>Объект переходящий по инвестиционной программе 2018 года..(Монтаж цепей новой телемеханики - задержки в поставке оборудования ТМ)</t>
  </si>
  <si>
    <t>Монтаж цепей телеуправления для, сокращения времени на устранение аварийной ситуации. Вне плана.</t>
  </si>
  <si>
    <t>Объект переходящий по инвестиционной программе 2016 года.(Монтаж ключей телеуправления и перевод оборудования и линий телемеханики на сеть Enternet)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</si>
  <si>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н/в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</si>
  <si>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в/в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</si>
  <si>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Объект переходящий по инвестиционной программе 2018 года. (Длительное согласования прохождения КЛ с собственником участка)</t>
  </si>
  <si>
    <t>Ликвидация технологических нарушений.</t>
  </si>
  <si>
    <t>Организация электроснабжения общегородского выпускного вечера</t>
  </si>
  <si>
    <t>Объект переходящий по инвестиционной программе 2018 года. (Длительное получение разрешения на производство работ)</t>
  </si>
  <si>
    <t>Объект переходящий по инвестиционной программе 2018 года. (Длительное согласование работ с ООО "Развитие")</t>
  </si>
  <si>
    <t>Объект переходящий по инвестиционной программе 2018 года. (Восстановление элементов благоустройства)</t>
  </si>
  <si>
    <t>Ликвидация последствий технологических нарушений</t>
  </si>
  <si>
    <t>Ликвидация последствий технологических нарушений.</t>
  </si>
  <si>
    <t>Приобретение по дрговору купли-продажи 2015 г.</t>
  </si>
  <si>
    <t>Приобретение по служебным запискам для осуществления основного вида деятельности</t>
  </si>
  <si>
    <t>Работы выполнены. Уточнение ПСД, снижение стоимости работ.</t>
  </si>
  <si>
    <t>Запланировать пообъектно невозможно, так как объект определяется по факту обращения заявителей на технологическое присоединение до 150 кВт</t>
  </si>
  <si>
    <t xml:space="preserve"> Строительство 6КЛ-1 кВ от ТП-376 протяженностью 6х0,38 км. по договору Т.П. (от 150 до 670 кВт)  №372 от 07.06.2018</t>
  </si>
  <si>
    <t>J_19/00023</t>
  </si>
  <si>
    <t xml:space="preserve"> Строительство 2КЛ-10 кВ от ТП-945 протяженностью 2х0,345 км. по договору Т.П. (от 150 до 670 кВт)  №531 от 28.06.2016</t>
  </si>
  <si>
    <t>J_19/00026</t>
  </si>
  <si>
    <t xml:space="preserve"> Строительство ТП с двумя трасформаторами 1 МВА. , КЛ-10 кВ протяженностью 0,936 км. , КЛ-1 кВ протяженностью 1,556 км по договору Т.П. (свыше 670 кВт) №232 от 06.06.2019</t>
  </si>
  <si>
    <t>J_19/00030</t>
  </si>
  <si>
    <t xml:space="preserve">В связи с невозможностью пообъектного планирования мероприятий по замене трансформаторов плановый объем финансирования устанавливается общей суммой.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</si>
  <si>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Проведена внеплановая реконструкция в связи с непригодностью существующей кабельной линией и невозможностью проведения ремонта.</t>
  </si>
  <si>
    <t>Утвержденные плановые значения показателей приведены в соответствии с    приказом департамента жилищно-коммунального хозяйства и энергетики Воронежской области от 03.09.2019 г. № 155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</si>
  <si>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</si>
  <si>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Е_19/0001.2.4</t>
  </si>
  <si>
    <t>Строительство ТП для технологического присоединения</t>
  </si>
  <si>
    <t>Строительство КЛ-6,10 кВ для технологического присоединения</t>
  </si>
  <si>
    <t>Строительство КЛ-0,4 кВ для технологического присоединения</t>
  </si>
  <si>
    <t>Строительство  ВЛ-0,4 кВ для технологического присоединения</t>
  </si>
  <si>
    <t xml:space="preserve"> Строительство 2КЛ-1 кВ от ТП-1181, ТП-1183 протяженностью 2х0,26 км. по договору Т.П. (от 150 до 670 кВт)  №602 от 30.05.2019</t>
  </si>
  <si>
    <t>J_19/00022</t>
  </si>
  <si>
    <t xml:space="preserve"> Строительство КЛ-1 кВ от ТП-937 протяженностью 0,098 км. по договору Т.П. (от 150 до 670 кВт)  №372 от 07.06.2019</t>
  </si>
  <si>
    <t>J_19/00024</t>
  </si>
  <si>
    <t xml:space="preserve"> Строительство 2КЛ-10 кВ от РП-92 протяженностью 2х0,42 км. по договору Т.П. (от 150 до 670 кВт)  №425 от 13.06.2018</t>
  </si>
  <si>
    <t>J_19/00025</t>
  </si>
  <si>
    <t xml:space="preserve"> Строительство 2КЛ-10 кВ от ТП-1026 протяженностью 2х0,305 км. по договору Т.П. (от 150 до 670 кВт)  №63 от 22.03.2017</t>
  </si>
  <si>
    <t>J_19/00027</t>
  </si>
  <si>
    <t xml:space="preserve"> Строительство 2КЛ-10 кВ от ТП-1103 протяженностью 2х0,27 км. по договору Т.П. (от 150 до 670 кВт)  №64 от 22.03.2018</t>
  </si>
  <si>
    <t>J_19/00028</t>
  </si>
  <si>
    <t xml:space="preserve"> Строительство 2КЛ-10 кВ от ТП-475, ТП-500 протяженностью 0,93 км. по договору Т.П. (от 150 до 670 кВт)  №616 от 03.06.2019</t>
  </si>
  <si>
    <t>J_19/00029</t>
  </si>
  <si>
    <t xml:space="preserve"> Строительство 2КЛ-10 кВ протяженностью 2х0,54 км. по договору Т.П. (свыше 670 кВт) №1217 от 16.01.2014</t>
  </si>
  <si>
    <t xml:space="preserve"> Строительство КЛ-10 кВ  ТП-1026 протяженностью 0,52 км. по договору Т.П. (свыше 670 кВт) №2641 от 24.12.2014</t>
  </si>
  <si>
    <t>J_19/00031</t>
  </si>
  <si>
    <t xml:space="preserve"> Строительство 4КЛ-10 кВ  ТП-1347 протяженностью 0,52 км. по договору Т.П. (свыше 670 кВт) №2641 от 24.12.2014</t>
  </si>
  <si>
    <t>Строительство ТП-проект, КЛ-10 кВ, КЛ-0,4 кВ по договору Т.П. (свыше 150 до 670 кВт) №665 (заявитель -ООО "Воронежбетон", ул. Платонова, 15)</t>
  </si>
  <si>
    <t>J_19/00032</t>
  </si>
  <si>
    <t>Строительство КЛ-1 кВ  ТП-204 до границы участка заявителя,  протяженностью L=4x0,0275 км  по договору Т.П. (свыше 150 до 670 кВт) №1010 от 16.10.2019 г (заявитель -ФГБОУ ВО "ВГТУ", ул. 20-летия Октября, 79/б)</t>
  </si>
  <si>
    <t>J_19/00033</t>
  </si>
  <si>
    <t>Строительство КЛ-1 кВ  ТП-343 и ТП-244 до границы участка заявителя,  протяженностью 0,14 км по договору Т.П. (свыше 150 до 670 кВт) №1046 от 10.10.2019 г (заявитель -Специализированный застройщик "ДСК-1", ул. Ленинградская, 20а, 20б, 22а, 22б)</t>
  </si>
  <si>
    <t>J_19/00034</t>
  </si>
  <si>
    <t>Строительство 2КЛ-1 кВ  ТП-937 до границы участка заявителя, протяженностью L=2x0,1 км по договору Т.П. (свыше 150 до 670 кВт) №825 от 23.07.2019 г (заявитель -АО "ДСК" Ленинский пр-кт, 201)</t>
  </si>
  <si>
    <t>J_19/00035</t>
  </si>
  <si>
    <t>Строительство КЛ-10 кВ  ТП-1426 до границы участка заявителя  протяженностью L=1,16 км по договору Т.П. (свыше 150 до 670 кВт) №1259 от 30.10.2019 г (заявитель -Специализированный застройщик "Арт-ДЕКО", ул. Березовая Роща, 1б)</t>
  </si>
  <si>
    <t>J_19/00036</t>
  </si>
  <si>
    <t>Строительство КЛ-10 кВ  ТП-645 и ТП-644 до границы участка заявителя  протяженностью 0,85 км по договору Т.П. (свыше 670 кВт) №1047 от 23.09.2019 г (заявитель -ООО "Ремстрой", ул. Остужева, 2/1)</t>
  </si>
  <si>
    <t>J_19/00037</t>
  </si>
  <si>
    <t>Строительство КЛ-10 кВ  ТП-645 и ТП-644 до границы участка заявителя  протяженностью 0,85 км по договору Т.П. (свыше 150 до 670 кВт) №1047 от 23.09.2019 г (заявитель -ООО "Ремстрой", ул. Остужева, 2/1)</t>
  </si>
  <si>
    <t>J_19/00038</t>
  </si>
  <si>
    <t>Установка в резервной ВВ ячейке РУ-6 кВ БКТП-326 ВН (ВНА) по договору Т.П. (свыше 670 кВт) №1353 от 10.01.2020 г (заявитель -Единая дирекция капитального строительства, ул. Вайцеховского, 2/4)</t>
  </si>
  <si>
    <t>К_20/00001</t>
  </si>
  <si>
    <t>E_19/1.1.4.1</t>
  </si>
  <si>
    <t>E_19/1.1.4.2</t>
  </si>
  <si>
    <t>E_19/1.1.4.3</t>
  </si>
  <si>
    <t>E_19/1.1.4.4</t>
  </si>
  <si>
    <t>E_19/1.1.4.5</t>
  </si>
  <si>
    <t>E_19/1.1.4.6</t>
  </si>
  <si>
    <t>E_19/1.1.4.14</t>
  </si>
  <si>
    <t>E_19/1.1.4.15</t>
  </si>
  <si>
    <t xml:space="preserve">РП-39, пр-т Патриотов, 45/б </t>
  </si>
  <si>
    <t>ТП-607, ул. Г. Сибиряков, 12/е</t>
  </si>
  <si>
    <t>ТП-548, ул. Рязанская, д. 117</t>
  </si>
  <si>
    <t>Реконструкция ВЛ-0,4кВ для технологического присоединения отТП-1188, ул. Минская, 43/3</t>
  </si>
  <si>
    <t>E_19/1.1.4.16</t>
  </si>
  <si>
    <t>Реконструкция ВЛ-0,4кВ для технологического присоединения отТП-218А ул.Шишкова 65</t>
  </si>
  <si>
    <t>E_19/1.1.4.17</t>
  </si>
  <si>
    <t>E_19/1.1.4.19</t>
  </si>
  <si>
    <t>E_19/1.1.4.20</t>
  </si>
  <si>
    <t>E_19/1.1.4.21</t>
  </si>
  <si>
    <t>ТП-65, ул.Краснознаменная 90 (ООО Дизайн)</t>
  </si>
  <si>
    <t>Реконструкция ВЛ-0,4кВ для технологического присоединения от ТП-79 (протяженность по трассе 0,295км)</t>
  </si>
  <si>
    <t>E_19/1.1.4.22</t>
  </si>
  <si>
    <t>Реконструкция ВЛ-0,4кВ для технологического присоединения от ТП-190 (протяженность по трассе 0,049 км)</t>
  </si>
  <si>
    <t>E_19/1.1.4.23</t>
  </si>
  <si>
    <t>ТП-344 ул.Плехановская,49т</t>
  </si>
  <si>
    <t>E_19/1.3.24</t>
  </si>
  <si>
    <t>ТП-297 ул.Плехановская,59т</t>
  </si>
  <si>
    <t>E_19/1.3.25</t>
  </si>
  <si>
    <t>E_19/1.3.5.17.А</t>
  </si>
  <si>
    <t>E_19/1.3.5.18.А</t>
  </si>
  <si>
    <t>E_19/1.3.5.11.А</t>
  </si>
  <si>
    <t>E_19/1.3.5.12.А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</si>
  <si>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</si>
  <si>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</si>
  <si>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</si>
  <si>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</si>
  <si>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</si>
  <si>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</si>
  <si>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</si>
  <si>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 установка трансформатора 1х250) ТП-481</t>
  </si>
  <si>
    <t>E_19/1.3.5.19.А</t>
  </si>
  <si>
    <t>E_19/1.3.5.2.1.А</t>
  </si>
  <si>
    <t>E_19/1.3.5.2.2.А</t>
  </si>
  <si>
    <t>E_19/1.3.5.2.3.А</t>
  </si>
  <si>
    <t>Реконструкция высоковольтного оборудования (замена трансформаторов 2х630) ТП-815</t>
  </si>
  <si>
    <t>E_19/1.3.5.2.4.А</t>
  </si>
  <si>
    <t>Реконструкция высоковольтного оборудования (замена трансформаторов 2х630) ТП-892</t>
  </si>
  <si>
    <t>E_19/1.3.5.2.5.А</t>
  </si>
  <si>
    <t>Реконструкция высоковольтного оборудования (замена трансформаторов 2х630) ТП-922</t>
  </si>
  <si>
    <t>E_19/1.3.5.2.6.А</t>
  </si>
  <si>
    <t>Реконструкция высоковольтного оборудования ( установка трансформатора 1х630) ТП-1895</t>
  </si>
  <si>
    <t>E_19/1.3.5.2.7.А</t>
  </si>
  <si>
    <t>Реконструкция высоковольтного оборудования ( установка трансформатора 1х630) ТП-799</t>
  </si>
  <si>
    <t>E_19/1.3.5.2.8.А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</si>
  <si>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</si>
  <si>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</si>
  <si>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</si>
  <si>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</si>
  <si>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</si>
  <si>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</si>
  <si>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</si>
  <si>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</si>
  <si>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</si>
  <si>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</si>
  <si>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</si>
  <si>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</si>
  <si>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</si>
  <si>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</si>
  <si>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</si>
  <si>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</si>
  <si>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</si>
  <si>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</si>
  <si>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</si>
  <si>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</si>
  <si>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</si>
  <si>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</si>
  <si>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</si>
  <si>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</si>
  <si>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</si>
  <si>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</si>
  <si>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</si>
  <si>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</si>
  <si>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</si>
  <si>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</si>
  <si>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</si>
  <si>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</si>
  <si>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</si>
  <si>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</si>
  <si>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</si>
  <si>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</si>
  <si>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</si>
  <si>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</si>
  <si>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</si>
  <si>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</si>
  <si>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</si>
  <si>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</si>
  <si>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</si>
  <si>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</si>
  <si>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</si>
  <si>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</si>
  <si>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</si>
  <si>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</si>
  <si>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</si>
  <si>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</si>
  <si>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</si>
  <si>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</si>
  <si>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</si>
  <si>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</si>
  <si>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E_19/1.1.2.13</t>
  </si>
  <si>
    <t>E_19/1.1.2.14</t>
  </si>
  <si>
    <t xml:space="preserve">Реконструкция КЛ-0,4кВ для технологического присоединения от ТП-282, Московский пр-т. 7 </t>
  </si>
  <si>
    <t>E_19/1.1.2.15</t>
  </si>
  <si>
    <t>Реконструкция КЛ-0,4кВ для технологического присоединения отТП-1095, ул. Новосибирская, 39</t>
  </si>
  <si>
    <t>E_19/1.1.2.16</t>
  </si>
  <si>
    <t>Реконструкция КЛ-0,4кВ для технологического присоединения от ТП-222, ул. Мира, 3</t>
  </si>
  <si>
    <t>E_19/1.1.2.17</t>
  </si>
  <si>
    <t>Платонова 9,11 вынос КЛ-6кВ и КЛ-0,4кВ (ООО "Комплекс ТехСтрой")</t>
  </si>
  <si>
    <t>E_19/1.1.2.17А</t>
  </si>
  <si>
    <t>ТП-255, ул. Красных партизан-Станкевича-Свечной переулок (ООО Энергоавтомат)</t>
  </si>
  <si>
    <t>Вынос ВЛ-0,4кВ ТП-1547, ул.Белостокская 50 (Скоморохов П.А.)</t>
  </si>
  <si>
    <t>E_19/1.1.1.9</t>
  </si>
  <si>
    <t>E_19/1.1.2.32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</si>
  <si>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</si>
  <si>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</si>
  <si>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</si>
  <si>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</si>
  <si>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</si>
  <si>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</si>
  <si>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</si>
  <si>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</si>
  <si>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</si>
  <si>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</si>
  <si>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</si>
  <si>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Реконструкция КЛ-0,4кВ ТП-1871, пер. Отличников, 2д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</si>
  <si>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</si>
  <si>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</si>
  <si>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</si>
  <si>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</si>
  <si>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</si>
  <si>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</si>
  <si>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</si>
  <si>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</si>
  <si>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</si>
  <si>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</si>
  <si>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ТП-1935, ул. Дорожная, 18</t>
  </si>
  <si>
    <t>E_19/1.1.2.35</t>
  </si>
  <si>
    <t>ТП-1085-ТП-1895, ул. Ильюшина, 3л</t>
  </si>
  <si>
    <t>E_19/1.1.2.36</t>
  </si>
  <si>
    <t>ТП-919, пер. Автогенный 9б</t>
  </si>
  <si>
    <t>E_19/1.1.2.37</t>
  </si>
  <si>
    <t>E_19/1.1.3.36</t>
  </si>
  <si>
    <t>РП-39-ТП-1721; ТП-1721-ТП1073; ТП-172-ТП-1459 ж/д 31а ул. Юж.-Морав. (АО ДСК)</t>
  </si>
  <si>
    <t>E_19/1.1.3.38</t>
  </si>
  <si>
    <t>ТП-1055-ТП-1113, Ленинский пр. 215/Б (ООО АЗС-Продукт)</t>
  </si>
  <si>
    <t>E_19/1.1.3.35</t>
  </si>
  <si>
    <t>E_19/1.1.3.40</t>
  </si>
  <si>
    <t>E_19/1.1.3.37</t>
  </si>
  <si>
    <t>Вынос КЛ-6кВ ГПП-6 -РП-19 ф.108 (протяженность по трассе 0,040км)</t>
  </si>
  <si>
    <t>ПС-16 до РП-20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</si>
  <si>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</si>
  <si>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</si>
  <si>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</si>
  <si>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</si>
  <si>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Вынос ТП-1008- БКТП-1796 (протяженность по трассе 0,195км)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</si>
  <si>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</si>
  <si>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</si>
  <si>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</si>
  <si>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</si>
  <si>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</si>
  <si>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</si>
  <si>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</si>
  <si>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</si>
  <si>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</si>
  <si>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</si>
  <si>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E_19/2.1.3.1</t>
  </si>
  <si>
    <t>E_19/2.1.3.2</t>
  </si>
  <si>
    <t>E_19/2.1.3.3</t>
  </si>
  <si>
    <t>E_19/2.1.3.4</t>
  </si>
  <si>
    <t>E_19/2.1.3.5</t>
  </si>
  <si>
    <t>E_19/2.1.3.6</t>
  </si>
  <si>
    <t>E_19/2.1.3.7</t>
  </si>
  <si>
    <t>E_19/2.1.3.8</t>
  </si>
  <si>
    <t>E_19/2.1.3.9</t>
  </si>
  <si>
    <t>E_19/2.1.3.10</t>
  </si>
  <si>
    <t>Прокладка КЛ-10 кВ сеч.3х120 ТП-480 до БКТП-34Н</t>
  </si>
  <si>
    <t>E_19/2.1.3.11</t>
  </si>
  <si>
    <t>E_19/2.1.3.12</t>
  </si>
  <si>
    <t>E_19/2.1.3.13</t>
  </si>
  <si>
    <t>E_19/2.1.3.14</t>
  </si>
  <si>
    <t>E_19/2.1.3.15</t>
  </si>
  <si>
    <t>E_19/2.1.3.16</t>
  </si>
  <si>
    <t>E_19/2.1.3.17</t>
  </si>
  <si>
    <t>E_19/2.1.3.18</t>
  </si>
  <si>
    <t>E_19/2.1.3.19</t>
  </si>
  <si>
    <t>E_19/2.1.3.20</t>
  </si>
  <si>
    <t>E_19/2.1.3.21</t>
  </si>
  <si>
    <t>E_19/2.1.3.22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</si>
  <si>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</si>
  <si>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E_19/2.1.3.23</t>
  </si>
  <si>
    <t>ТП-396, ул. Брусилова, 4/Е (ООО Фрегат)</t>
  </si>
  <si>
    <t xml:space="preserve">Строительство ТП-1757 КЛ-1кВ ул.Корольковой 11в </t>
  </si>
  <si>
    <t>E_19/2.1.3.24</t>
  </si>
  <si>
    <t>Стр-во КТП  взамен КТП-136 по адресу: Ботанический сад ,ВГУ</t>
  </si>
  <si>
    <t>I_18/2.2.6.17</t>
  </si>
  <si>
    <t>E_19/1.4.13</t>
  </si>
  <si>
    <t>Новогодняя декорация</t>
  </si>
  <si>
    <t>E_19/1.4.14</t>
  </si>
  <si>
    <t>Реконструкция КЛ 6,10кВ РП-22 -ТП-880  (протяженность по трассе 0,54км)</t>
  </si>
  <si>
    <t>I_18/1.1.3.15</t>
  </si>
  <si>
    <t>Перенос сроков приобретения автотранспорта  на 1 квартал 2020 года в связи с длительным проведением торговых процедур.</t>
  </si>
  <si>
    <t>E_19/1.1.3.34</t>
  </si>
  <si>
    <t>Перенос сроков выполнения работ на 2020 год в связи с проведением торговых процедур (отсутствие материалов).</t>
  </si>
  <si>
    <t>Объекты переходящие по инвестиционной программе 2018 года.(Задержка поставки оборудования)</t>
  </si>
  <si>
    <t>Восстановление элементов благоустройства</t>
  </si>
  <si>
    <t>Стоимость работ снижена за счет выполнения хоз.способом и снижение стоимости материалов в результате закупочных процедур.</t>
  </si>
  <si>
    <t>Невыполнение работ  из- за необходимости дополнительного согласования ПСД в управлении по охране объектов историко-культурного наследия,управлении экологии и владельцев смежных  инженерных коммуникаций.</t>
  </si>
  <si>
    <t>Уточнение ПСД, снижение стоимости материаловв результате проведения конкурсных процедур.</t>
  </si>
  <si>
    <t>Уточнение ПСД, снижение стоимости материаловв результате конкупсных процедур.</t>
  </si>
  <si>
    <t>Уточнение ПСД, снижение стоимости материалов в результате проведения конкурсных процедур.</t>
  </si>
  <si>
    <t>Уточнение ПСД, увеличение стоимости материалов в результате проведения конкурсных процедур.</t>
  </si>
  <si>
    <t>Уточнение ПСД, увеличение стоимости материаловв результате проведения конкурсных процедур.</t>
  </si>
  <si>
    <t>Перенос сроков выполнения работ  на 1 квартал 2020  года в связи с дительным согласованием проектных работ..</t>
  </si>
  <si>
    <t>I_18/2.2.2.</t>
  </si>
  <si>
    <t xml:space="preserve">В связи с невозможностью пообъектного планирования мероприятий по строительству кабельных линий плановый объем финансирования устанавливается общей суммой.  </t>
  </si>
  <si>
    <t>за 4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</si>
</sst>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0.00000"/>
  </numFmts>
  <fonts count="40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8" fillId="0" borderId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9" fillId="0" borderId="0"/>
    <xf numFmtId="0" fontId="29" fillId="0" borderId="0"/>
    <xf numFmtId="0" fontId="9" fillId="0" borderId="0"/>
    <xf numFmtId="0" fontId="30" fillId="0" borderId="0"/>
    <xf numFmtId="0" fontId="30" fillId="0" borderId="0"/>
    <xf numFmtId="164" fontId="9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7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10" fillId="0" borderId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6">
    <xf numFmtId="0" fontId="0" fillId="0" borderId="0" xfId="0"/>
    <xf numFmtId="0" fontId="10" fillId="24" borderId="0" xfId="37" applyFont="1" applyFill="1" applyBorder="1"/>
    <xf numFmtId="0" fontId="10" fillId="24" borderId="0" xfId="37" applyFont="1" applyFill="1"/>
    <xf numFmtId="0" fontId="34" fillId="24" borderId="0" xfId="37" applyFont="1" applyFill="1"/>
    <xf numFmtId="0" fontId="35" fillId="24" borderId="0" xfId="37" applyFont="1" applyFill="1"/>
    <xf numFmtId="0" fontId="35" fillId="0" borderId="0" xfId="37" applyFont="1" applyFill="1"/>
    <xf numFmtId="167" fontId="35" fillId="0" borderId="0" xfId="37" applyNumberFormat="1" applyFont="1" applyFill="1"/>
    <xf numFmtId="0" fontId="35" fillId="24" borderId="0" xfId="37" applyFont="1" applyFill="1" applyBorder="1" applyAlignment="1">
      <alignment horizontal="center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0" borderId="10" xfId="37" applyFont="1" applyFill="1" applyBorder="1" applyAlignment="1">
      <alignment horizontal="center" vertical="center" wrapText="1"/>
    </xf>
    <xf numFmtId="0" fontId="35" fillId="0" borderId="12" xfId="37" applyFont="1" applyFill="1" applyBorder="1" applyAlignment="1">
      <alignment horizontal="center" vertical="center" wrapText="1"/>
    </xf>
    <xf numFmtId="0" fontId="35" fillId="0" borderId="15" xfId="37" applyFont="1" applyFill="1" applyBorder="1" applyAlignment="1">
      <alignment horizontal="center" vertical="center" wrapText="1"/>
    </xf>
    <xf numFmtId="0" fontId="35" fillId="24" borderId="10" xfId="37" applyFont="1" applyFill="1" applyBorder="1" applyAlignment="1">
      <alignment horizontal="center" vertical="center" wrapText="1"/>
    </xf>
    <xf numFmtId="0" fontId="37" fillId="24" borderId="10" xfId="0" quotePrefix="1" applyFont="1" applyFill="1" applyBorder="1" applyAlignment="1">
      <alignment horizontal="center" vertical="top"/>
    </xf>
    <xf numFmtId="0" fontId="37" fillId="24" borderId="10" xfId="0" applyFont="1" applyFill="1" applyBorder="1" applyAlignment="1">
      <alignment vertical="center" wrapText="1"/>
    </xf>
    <xf numFmtId="167" fontId="38" fillId="0" borderId="10" xfId="37" applyNumberFormat="1" applyFont="1" applyFill="1" applyBorder="1"/>
    <xf numFmtId="167" fontId="38" fillId="0" borderId="10" xfId="37" applyNumberFormat="1" applyFont="1" applyFill="1" applyBorder="1" applyAlignment="1">
      <alignment horizontal="right"/>
    </xf>
    <xf numFmtId="4" fontId="38" fillId="0" borderId="10" xfId="37" applyNumberFormat="1" applyFont="1" applyFill="1" applyBorder="1"/>
    <xf numFmtId="0" fontId="37" fillId="24" borderId="10" xfId="0" applyFont="1" applyFill="1" applyBorder="1" applyAlignment="1">
      <alignment vertical="top" wrapText="1"/>
    </xf>
    <xf numFmtId="1" fontId="38" fillId="24" borderId="10" xfId="37" quotePrefix="1" applyNumberFormat="1" applyFont="1" applyFill="1" applyBorder="1" applyAlignment="1">
      <alignment horizontal="center" vertical="center"/>
    </xf>
    <xf numFmtId="1" fontId="38" fillId="24" borderId="10" xfId="37" applyNumberFormat="1" applyFont="1" applyFill="1" applyBorder="1" applyAlignment="1">
      <alignment vertical="center" wrapText="1"/>
    </xf>
    <xf numFmtId="0" fontId="36" fillId="24" borderId="10" xfId="0" quotePrefix="1" applyFont="1" applyFill="1" applyBorder="1" applyAlignment="1">
      <alignment horizontal="center" vertical="top"/>
    </xf>
    <xf numFmtId="0" fontId="36" fillId="24" borderId="10" xfId="0" applyFont="1" applyFill="1" applyBorder="1" applyAlignment="1">
      <alignment vertical="top" wrapText="1"/>
    </xf>
    <xf numFmtId="167" fontId="35" fillId="0" borderId="10" xfId="37" applyNumberFormat="1" applyFont="1" applyFill="1" applyBorder="1"/>
    <xf numFmtId="167" fontId="35" fillId="0" borderId="10" xfId="37" applyNumberFormat="1" applyFont="1" applyFill="1" applyBorder="1" applyAlignment="1">
      <alignment horizontal="right"/>
    </xf>
    <xf numFmtId="4" fontId="35" fillId="0" borderId="10" xfId="37" applyNumberFormat="1" applyFont="1" applyFill="1" applyBorder="1"/>
    <xf numFmtId="0" fontId="36" fillId="24" borderId="10" xfId="0" applyFont="1" applyFill="1" applyBorder="1" applyAlignment="1">
      <alignment wrapText="1"/>
    </xf>
    <xf numFmtId="0" fontId="35" fillId="24" borderId="10" xfId="0" quotePrefix="1" applyFont="1" applyFill="1" applyBorder="1" applyAlignment="1">
      <alignment horizontal="center"/>
    </xf>
    <xf numFmtId="1" fontId="35" fillId="24" borderId="10" xfId="37" applyNumberFormat="1" applyFont="1" applyFill="1" applyBorder="1" applyAlignment="1">
      <alignment vertical="center" wrapText="1"/>
    </xf>
    <xf numFmtId="2" fontId="36" fillId="24" borderId="10" xfId="0" quotePrefix="1" applyNumberFormat="1" applyFont="1" applyFill="1" applyBorder="1" applyAlignment="1">
      <alignment horizontal="center" vertical="center" wrapText="1"/>
    </xf>
    <xf numFmtId="168" fontId="39" fillId="0" borderId="10" xfId="45" applyNumberFormat="1" applyFont="1" applyFill="1" applyBorder="1" applyAlignment="1"/>
    <xf numFmtId="0" fontId="35" fillId="24" borderId="10" xfId="0" applyFont="1" applyFill="1" applyBorder="1" applyAlignment="1">
      <alignment vertical="top" wrapText="1"/>
    </xf>
    <xf numFmtId="0" fontId="35" fillId="24" borderId="10" xfId="0" applyFont="1" applyFill="1" applyBorder="1" applyAlignment="1">
      <alignment horizontal="left" vertical="top" wrapText="1"/>
    </xf>
    <xf numFmtId="1" fontId="35" fillId="24" borderId="10" xfId="37" quotePrefix="1" applyNumberFormat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wrapText="1"/>
    </xf>
    <xf numFmtId="2" fontId="35" fillId="24" borderId="11" xfId="0" quotePrefix="1" applyNumberFormat="1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wrapText="1"/>
    </xf>
    <xf numFmtId="0" fontId="37" fillId="24" borderId="11" xfId="0" quotePrefix="1" applyFont="1" applyFill="1" applyBorder="1" applyAlignment="1">
      <alignment horizontal="center" vertical="top"/>
    </xf>
    <xf numFmtId="0" fontId="37" fillId="24" borderId="11" xfId="0" applyFont="1" applyFill="1" applyBorder="1" applyAlignment="1">
      <alignment vertical="top" wrapText="1"/>
    </xf>
    <xf numFmtId="0" fontId="36" fillId="24" borderId="11" xfId="0" quotePrefix="1" applyFont="1" applyFill="1" applyBorder="1" applyAlignment="1">
      <alignment horizontal="center" vertical="top"/>
    </xf>
    <xf numFmtId="0" fontId="36" fillId="24" borderId="11" xfId="0" applyFont="1" applyFill="1" applyBorder="1" applyAlignment="1">
      <alignment vertical="top" wrapText="1"/>
    </xf>
    <xf numFmtId="0" fontId="36" fillId="24" borderId="10" xfId="0" quotePrefix="1" applyFont="1" applyFill="1" applyBorder="1" applyAlignment="1">
      <alignment horizontal="center"/>
    </xf>
    <xf numFmtId="2" fontId="35" fillId="24" borderId="10" xfId="37" quotePrefix="1" applyNumberFormat="1" applyFont="1" applyFill="1" applyBorder="1" applyAlignment="1">
      <alignment horizontal="center" vertical="center" wrapText="1"/>
    </xf>
    <xf numFmtId="0" fontId="35" fillId="0" borderId="10" xfId="37" applyFont="1" applyFill="1" applyBorder="1"/>
    <xf numFmtId="0" fontId="35" fillId="0" borderId="0" xfId="37" applyFont="1" applyFill="1" applyAlignment="1">
      <alignment horizontal="right" vertical="center"/>
    </xf>
    <xf numFmtId="0" fontId="35" fillId="0" borderId="0" xfId="37" applyFont="1" applyFill="1" applyAlignment="1">
      <alignment horizontal="right"/>
    </xf>
    <xf numFmtId="1" fontId="37" fillId="0" borderId="10" xfId="0" applyNumberFormat="1" applyFont="1" applyFill="1" applyBorder="1" applyAlignment="1">
      <alignment vertical="center"/>
    </xf>
    <xf numFmtId="0" fontId="38" fillId="0" borderId="10" xfId="37" applyFont="1" applyFill="1" applyBorder="1"/>
    <xf numFmtId="1" fontId="37" fillId="0" borderId="10" xfId="0" applyNumberFormat="1" applyFont="1" applyFill="1" applyBorder="1" applyAlignment="1">
      <alignment vertical="center" wrapText="1"/>
    </xf>
    <xf numFmtId="1" fontId="38" fillId="0" borderId="10" xfId="37" applyNumberFormat="1" applyFont="1" applyFill="1" applyBorder="1" applyAlignment="1">
      <alignment vertical="center"/>
    </xf>
    <xf numFmtId="0" fontId="36" fillId="0" borderId="10" xfId="0" applyFont="1" applyFill="1" applyBorder="1" applyAlignment="1">
      <alignment vertical="top"/>
    </xf>
    <xf numFmtId="0" fontId="35" fillId="0" borderId="10" xfId="0" applyFont="1" applyFill="1" applyBorder="1"/>
    <xf numFmtId="1" fontId="36" fillId="0" borderId="10" xfId="0" applyNumberFormat="1" applyFont="1" applyFill="1" applyBorder="1" applyAlignment="1">
      <alignment vertical="center" wrapText="1"/>
    </xf>
    <xf numFmtId="1" fontId="35" fillId="0" borderId="10" xfId="37" applyNumberFormat="1" applyFont="1" applyFill="1" applyBorder="1" applyAlignment="1">
      <alignment vertical="center"/>
    </xf>
    <xf numFmtId="1" fontId="36" fillId="0" borderId="10" xfId="0" applyNumberFormat="1" applyFont="1" applyFill="1" applyBorder="1" applyAlignment="1">
      <alignment vertical="top"/>
    </xf>
    <xf numFmtId="0" fontId="35" fillId="0" borderId="10" xfId="37" applyFont="1" applyFill="1" applyBorder="1" applyAlignment="1">
      <alignment wrapText="1"/>
    </xf>
    <xf numFmtId="0" fontId="35" fillId="0" borderId="13" xfId="37" applyFont="1" applyFill="1" applyBorder="1" applyAlignment="1">
      <alignment wrapText="1"/>
    </xf>
    <xf numFmtId="1" fontId="36" fillId="0" borderId="10" xfId="0" applyNumberFormat="1" applyFont="1" applyFill="1" applyBorder="1"/>
    <xf numFmtId="0" fontId="35" fillId="0" borderId="10" xfId="0" applyFont="1" applyFill="1" applyBorder="1" applyAlignment="1">
      <alignment vertical="center" wrapText="1"/>
    </xf>
    <xf numFmtId="0" fontId="35" fillId="0" borderId="10" xfId="37" applyFont="1" applyFill="1" applyBorder="1" applyAlignment="1">
      <alignment vertical="center" wrapText="1"/>
    </xf>
    <xf numFmtId="0" fontId="35" fillId="0" borderId="11" xfId="0" applyFont="1" applyFill="1" applyBorder="1"/>
    <xf numFmtId="1" fontId="37" fillId="0" borderId="11" xfId="0" applyNumberFormat="1" applyFont="1" applyFill="1" applyBorder="1" applyAlignment="1">
      <alignment vertical="center" wrapText="1"/>
    </xf>
    <xf numFmtId="1" fontId="36" fillId="0" borderId="11" xfId="0" applyNumberFormat="1" applyFont="1" applyFill="1" applyBorder="1" applyAlignment="1">
      <alignment vertical="center" wrapText="1"/>
    </xf>
    <xf numFmtId="1" fontId="35" fillId="0" borderId="10" xfId="0" applyNumberFormat="1" applyFont="1" applyFill="1" applyBorder="1"/>
    <xf numFmtId="0" fontId="36" fillId="0" borderId="10" xfId="0" applyFont="1" applyFill="1" applyBorder="1"/>
    <xf numFmtId="167" fontId="35" fillId="0" borderId="10" xfId="37" applyNumberFormat="1" applyFont="1" applyFill="1" applyBorder="1" applyAlignment="1">
      <alignment vertical="center" wrapText="1"/>
    </xf>
    <xf numFmtId="0" fontId="35" fillId="0" borderId="11" xfId="37" applyFont="1" applyFill="1" applyBorder="1" applyAlignment="1">
      <alignment horizontal="center" vertical="center" wrapText="1"/>
    </xf>
    <xf numFmtId="0" fontId="35" fillId="0" borderId="16" xfId="37" applyFont="1" applyFill="1" applyBorder="1" applyAlignment="1">
      <alignment horizontal="center" vertical="center" wrapText="1"/>
    </xf>
    <xf numFmtId="0" fontId="35" fillId="0" borderId="13" xfId="37" applyFont="1" applyFill="1" applyBorder="1" applyAlignment="1">
      <alignment horizontal="center" vertical="center" wrapText="1"/>
    </xf>
    <xf numFmtId="0" fontId="36" fillId="0" borderId="0" xfId="54" applyFont="1" applyFill="1" applyAlignment="1">
      <alignment horizontal="center" vertical="center"/>
    </xf>
    <xf numFmtId="0" fontId="35" fillId="24" borderId="20" xfId="37" applyFont="1" applyFill="1" applyBorder="1" applyAlignment="1">
      <alignment horizontal="center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6" fillId="24" borderId="0" xfId="54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35" fillId="24" borderId="11" xfId="37" applyFont="1" applyFill="1" applyBorder="1" applyAlignment="1">
      <alignment horizontal="center" vertical="center" wrapText="1"/>
    </xf>
    <xf numFmtId="0" fontId="35" fillId="24" borderId="16" xfId="37" applyFont="1" applyFill="1" applyBorder="1" applyAlignment="1">
      <alignment horizontal="center" vertical="center" wrapText="1"/>
    </xf>
    <xf numFmtId="0" fontId="35" fillId="24" borderId="13" xfId="37" applyFont="1" applyFill="1" applyBorder="1" applyAlignment="1">
      <alignment horizontal="center" vertical="center" wrapText="1"/>
    </xf>
    <xf numFmtId="0" fontId="35" fillId="24" borderId="10" xfId="37" applyFont="1" applyFill="1" applyBorder="1" applyAlignment="1">
      <alignment horizontal="center" vertical="center" wrapText="1"/>
    </xf>
    <xf numFmtId="0" fontId="35" fillId="0" borderId="10" xfId="37" applyFont="1" applyFill="1" applyBorder="1" applyAlignment="1">
      <alignment horizontal="center" vertical="center" wrapText="1"/>
    </xf>
    <xf numFmtId="0" fontId="35" fillId="0" borderId="12" xfId="37" applyFont="1" applyFill="1" applyBorder="1" applyAlignment="1">
      <alignment horizontal="center" vertical="center" wrapText="1"/>
    </xf>
    <xf numFmtId="0" fontId="35" fillId="0" borderId="23" xfId="37" applyFont="1" applyFill="1" applyBorder="1" applyAlignment="1">
      <alignment horizontal="center" vertical="center" wrapText="1"/>
    </xf>
    <xf numFmtId="0" fontId="35" fillId="0" borderId="17" xfId="37" applyFont="1" applyFill="1" applyBorder="1" applyAlignment="1">
      <alignment horizontal="center" vertical="center" wrapText="1"/>
    </xf>
    <xf numFmtId="4" fontId="35" fillId="0" borderId="11" xfId="37" applyNumberFormat="1" applyFont="1" applyFill="1" applyBorder="1" applyAlignment="1">
      <alignment vertical="center" wrapText="1"/>
    </xf>
    <xf numFmtId="4" fontId="35" fillId="0" borderId="16" xfId="37" applyNumberFormat="1" applyFont="1" applyFill="1" applyBorder="1" applyAlignment="1">
      <alignment vertical="center" wrapText="1"/>
    </xf>
    <xf numFmtId="4" fontId="35" fillId="0" borderId="13" xfId="37" applyNumberFormat="1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5" xfId="37" applyFont="1" applyFill="1" applyBorder="1" applyAlignment="1">
      <alignment horizontal="center" vertical="center" wrapText="1"/>
    </xf>
    <xf numFmtId="0" fontId="35" fillId="0" borderId="19" xfId="37" applyFont="1" applyFill="1" applyBorder="1" applyAlignment="1">
      <alignment horizontal="center" vertical="center" wrapText="1"/>
    </xf>
    <xf numFmtId="0" fontId="35" fillId="0" borderId="14" xfId="37" applyFont="1" applyFill="1" applyBorder="1" applyAlignment="1">
      <alignment horizontal="center" vertical="center" wrapText="1"/>
    </xf>
    <xf numFmtId="0" fontId="35" fillId="0" borderId="18" xfId="37" applyFont="1" applyFill="1" applyBorder="1" applyAlignment="1">
      <alignment horizontal="center" vertical="center" wrapText="1"/>
    </xf>
    <xf numFmtId="0" fontId="35" fillId="0" borderId="10" xfId="37" applyFont="1" applyFill="1" applyBorder="1" applyAlignment="1">
      <alignment horizontal="center" vertical="center" textRotation="90" wrapText="1"/>
    </xf>
    <xf numFmtId="0" fontId="35" fillId="0" borderId="11" xfId="37" applyFont="1" applyFill="1" applyBorder="1" applyAlignment="1">
      <alignment vertical="center" wrapText="1"/>
    </xf>
    <xf numFmtId="0" fontId="35" fillId="0" borderId="16" xfId="37" applyFont="1" applyFill="1" applyBorder="1" applyAlignment="1">
      <alignment vertical="center" wrapText="1"/>
    </xf>
    <xf numFmtId="0" fontId="35" fillId="0" borderId="13" xfId="37" applyFont="1" applyFill="1" applyBorder="1" applyAlignment="1">
      <alignment vertical="center" wrapText="1"/>
    </xf>
    <xf numFmtId="167" fontId="35" fillId="0" borderId="11" xfId="37" applyNumberFormat="1" applyFont="1" applyFill="1" applyBorder="1" applyAlignment="1">
      <alignment vertical="center" wrapText="1"/>
    </xf>
    <xf numFmtId="167" fontId="35" fillId="0" borderId="16" xfId="37" applyNumberFormat="1" applyFont="1" applyFill="1" applyBorder="1" applyAlignment="1">
      <alignment vertical="center" wrapText="1"/>
    </xf>
    <xf numFmtId="167" fontId="35" fillId="0" borderId="13" xfId="37" applyNumberFormat="1" applyFont="1" applyFill="1" applyBorder="1" applyAlignment="1">
      <alignment vertical="center" wrapText="1"/>
    </xf>
    <xf numFmtId="0" fontId="35" fillId="0" borderId="21" xfId="37" applyFont="1" applyFill="1" applyBorder="1" applyAlignment="1">
      <alignment horizontal="center" vertical="center" wrapText="1"/>
    </xf>
    <xf numFmtId="0" fontId="35" fillId="0" borderId="22" xfId="37" applyFont="1" applyFill="1" applyBorder="1" applyAlignment="1">
      <alignment horizontal="center" vertical="center" wrapText="1"/>
    </xf>
    <xf numFmtId="167" fontId="35" fillId="0" borderId="11" xfId="37" applyNumberFormat="1" applyFont="1" applyFill="1" applyBorder="1" applyAlignment="1">
      <alignment horizontal="center" vertical="center" wrapText="1"/>
    </xf>
    <xf numFmtId="167" fontId="35" fillId="0" borderId="16" xfId="37" applyNumberFormat="1" applyFont="1" applyFill="1" applyBorder="1" applyAlignment="1">
      <alignment horizontal="center" vertical="center" wrapText="1"/>
    </xf>
    <xf numFmtId="167" fontId="35" fillId="0" borderId="13" xfId="37" applyNumberFormat="1" applyFont="1" applyFill="1" applyBorder="1" applyAlignment="1">
      <alignment horizontal="center" vertical="center" wrapText="1"/>
    </xf>
  </cellXfs>
  <cellStyles count="1142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622"/>
    <cellStyle name="Обычный 6 11" xfId="450"/>
    <cellStyle name="Обычный 6 11 2" xfId="623"/>
    <cellStyle name="Обычный 6 12" xfId="621"/>
    <cellStyle name="Обычный 6 2" xfId="52"/>
    <cellStyle name="Обычный 6 2 10" xfId="109"/>
    <cellStyle name="Обычный 6 2 10 2" xfId="625"/>
    <cellStyle name="Обычный 6 2 11" xfId="282"/>
    <cellStyle name="Обычный 6 2 11 2" xfId="626"/>
    <cellStyle name="Обычный 6 2 12" xfId="453"/>
    <cellStyle name="Обычный 6 2 12 2" xfId="627"/>
    <cellStyle name="Обычный 6 2 13" xfId="624"/>
    <cellStyle name="Обычный 6 2 2" xfId="53"/>
    <cellStyle name="Обычный 6 2 2 10" xfId="283"/>
    <cellStyle name="Обычный 6 2 2 10 2" xfId="629"/>
    <cellStyle name="Обычный 6 2 2 11" xfId="454"/>
    <cellStyle name="Обычный 6 2 2 11 2" xfId="630"/>
    <cellStyle name="Обычный 6 2 2 12" xfId="628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635"/>
    <cellStyle name="Обычный 6 2 2 2 2 2 2 3" xfId="481"/>
    <cellStyle name="Обычный 6 2 2 2 2 2 2 3 2" xfId="636"/>
    <cellStyle name="Обычный 6 2 2 2 2 2 2 4" xfId="634"/>
    <cellStyle name="Обычный 6 2 2 2 2 2 3" xfId="139"/>
    <cellStyle name="Обычный 6 2 2 2 2 2 3 2" xfId="311"/>
    <cellStyle name="Обычный 6 2 2 2 2 2 3 2 2" xfId="638"/>
    <cellStyle name="Обычный 6 2 2 2 2 2 3 3" xfId="482"/>
    <cellStyle name="Обычный 6 2 2 2 2 2 3 3 2" xfId="639"/>
    <cellStyle name="Обычный 6 2 2 2 2 2 3 4" xfId="637"/>
    <cellStyle name="Обычный 6 2 2 2 2 2 4" xfId="309"/>
    <cellStyle name="Обычный 6 2 2 2 2 2 4 2" xfId="640"/>
    <cellStyle name="Обычный 6 2 2 2 2 2 5" xfId="480"/>
    <cellStyle name="Обычный 6 2 2 2 2 2 5 2" xfId="641"/>
    <cellStyle name="Обычный 6 2 2 2 2 2 6" xfId="633"/>
    <cellStyle name="Обычный 6 2 2 2 2 3" xfId="140"/>
    <cellStyle name="Обычный 6 2 2 2 2 3 2" xfId="312"/>
    <cellStyle name="Обычный 6 2 2 2 2 3 2 2" xfId="643"/>
    <cellStyle name="Обычный 6 2 2 2 2 3 3" xfId="483"/>
    <cellStyle name="Обычный 6 2 2 2 2 3 3 2" xfId="644"/>
    <cellStyle name="Обычный 6 2 2 2 2 3 4" xfId="642"/>
    <cellStyle name="Обычный 6 2 2 2 2 4" xfId="141"/>
    <cellStyle name="Обычный 6 2 2 2 2 4 2" xfId="313"/>
    <cellStyle name="Обычный 6 2 2 2 2 4 2 2" xfId="646"/>
    <cellStyle name="Обычный 6 2 2 2 2 4 3" xfId="484"/>
    <cellStyle name="Обычный 6 2 2 2 2 4 3 2" xfId="647"/>
    <cellStyle name="Обычный 6 2 2 2 2 4 4" xfId="645"/>
    <cellStyle name="Обычный 6 2 2 2 2 5" xfId="305"/>
    <cellStyle name="Обычный 6 2 2 2 2 5 2" xfId="648"/>
    <cellStyle name="Обычный 6 2 2 2 2 6" xfId="476"/>
    <cellStyle name="Обычный 6 2 2 2 2 6 2" xfId="649"/>
    <cellStyle name="Обычный 6 2 2 2 2 7" xfId="632"/>
    <cellStyle name="Обычный 6 2 2 2 3" xfId="135"/>
    <cellStyle name="Обычный 6 2 2 2 3 2" xfId="142"/>
    <cellStyle name="Обычный 6 2 2 2 3 2 2" xfId="314"/>
    <cellStyle name="Обычный 6 2 2 2 3 2 2 2" xfId="652"/>
    <cellStyle name="Обычный 6 2 2 2 3 2 3" xfId="485"/>
    <cellStyle name="Обычный 6 2 2 2 3 2 3 2" xfId="653"/>
    <cellStyle name="Обычный 6 2 2 2 3 2 4" xfId="651"/>
    <cellStyle name="Обычный 6 2 2 2 3 3" xfId="143"/>
    <cellStyle name="Обычный 6 2 2 2 3 3 2" xfId="315"/>
    <cellStyle name="Обычный 6 2 2 2 3 3 2 2" xfId="655"/>
    <cellStyle name="Обычный 6 2 2 2 3 3 3" xfId="486"/>
    <cellStyle name="Обычный 6 2 2 2 3 3 3 2" xfId="656"/>
    <cellStyle name="Обычный 6 2 2 2 3 3 4" xfId="654"/>
    <cellStyle name="Обычный 6 2 2 2 3 4" xfId="307"/>
    <cellStyle name="Обычный 6 2 2 2 3 4 2" xfId="657"/>
    <cellStyle name="Обычный 6 2 2 2 3 5" xfId="478"/>
    <cellStyle name="Обычный 6 2 2 2 3 5 2" xfId="658"/>
    <cellStyle name="Обычный 6 2 2 2 3 6" xfId="650"/>
    <cellStyle name="Обычный 6 2 2 2 4" xfId="144"/>
    <cellStyle name="Обычный 6 2 2 2 4 2" xfId="316"/>
    <cellStyle name="Обычный 6 2 2 2 4 2 2" xfId="660"/>
    <cellStyle name="Обычный 6 2 2 2 4 3" xfId="487"/>
    <cellStyle name="Обычный 6 2 2 2 4 3 2" xfId="661"/>
    <cellStyle name="Обычный 6 2 2 2 4 4" xfId="659"/>
    <cellStyle name="Обычный 6 2 2 2 5" xfId="145"/>
    <cellStyle name="Обычный 6 2 2 2 5 2" xfId="317"/>
    <cellStyle name="Обычный 6 2 2 2 5 2 2" xfId="663"/>
    <cellStyle name="Обычный 6 2 2 2 5 3" xfId="488"/>
    <cellStyle name="Обычный 6 2 2 2 5 3 2" xfId="664"/>
    <cellStyle name="Обычный 6 2 2 2 5 4" xfId="662"/>
    <cellStyle name="Обычный 6 2 2 2 6" xfId="288"/>
    <cellStyle name="Обычный 6 2 2 2 6 2" xfId="665"/>
    <cellStyle name="Обычный 6 2 2 2 7" xfId="459"/>
    <cellStyle name="Обычный 6 2 2 2 7 2" xfId="666"/>
    <cellStyle name="Обычный 6 2 2 2 8" xfId="631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670"/>
    <cellStyle name="Обычный 6 2 2 3 2 2 3" xfId="490"/>
    <cellStyle name="Обычный 6 2 2 3 2 2 3 2" xfId="671"/>
    <cellStyle name="Обычный 6 2 2 3 2 2 4" xfId="669"/>
    <cellStyle name="Обычный 6 2 2 3 2 3" xfId="148"/>
    <cellStyle name="Обычный 6 2 2 3 2 3 2" xfId="320"/>
    <cellStyle name="Обычный 6 2 2 3 2 3 2 2" xfId="673"/>
    <cellStyle name="Обычный 6 2 2 3 2 3 3" xfId="491"/>
    <cellStyle name="Обычный 6 2 2 3 2 3 3 2" xfId="674"/>
    <cellStyle name="Обычный 6 2 2 3 2 3 4" xfId="672"/>
    <cellStyle name="Обычный 6 2 2 3 2 4" xfId="318"/>
    <cellStyle name="Обычный 6 2 2 3 2 4 2" xfId="675"/>
    <cellStyle name="Обычный 6 2 2 3 2 5" xfId="489"/>
    <cellStyle name="Обычный 6 2 2 3 2 5 2" xfId="676"/>
    <cellStyle name="Обычный 6 2 2 3 2 6" xfId="668"/>
    <cellStyle name="Обычный 6 2 2 3 3" xfId="149"/>
    <cellStyle name="Обычный 6 2 2 3 3 2" xfId="321"/>
    <cellStyle name="Обычный 6 2 2 3 3 2 2" xfId="678"/>
    <cellStyle name="Обычный 6 2 2 3 3 3" xfId="492"/>
    <cellStyle name="Обычный 6 2 2 3 3 3 2" xfId="679"/>
    <cellStyle name="Обычный 6 2 2 3 3 4" xfId="677"/>
    <cellStyle name="Обычный 6 2 2 3 4" xfId="150"/>
    <cellStyle name="Обычный 6 2 2 3 4 2" xfId="322"/>
    <cellStyle name="Обычный 6 2 2 3 4 2 2" xfId="681"/>
    <cellStyle name="Обычный 6 2 2 3 4 3" xfId="493"/>
    <cellStyle name="Обычный 6 2 2 3 4 3 2" xfId="682"/>
    <cellStyle name="Обычный 6 2 2 3 4 4" xfId="680"/>
    <cellStyle name="Обычный 6 2 2 3 5" xfId="300"/>
    <cellStyle name="Обычный 6 2 2 3 5 2" xfId="683"/>
    <cellStyle name="Обычный 6 2 2 3 6" xfId="471"/>
    <cellStyle name="Обычный 6 2 2 3 6 2" xfId="684"/>
    <cellStyle name="Обычный 6 2 2 3 7" xfId="667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688"/>
    <cellStyle name="Обычный 6 2 2 4 2 2 3" xfId="495"/>
    <cellStyle name="Обычный 6 2 2 4 2 2 3 2" xfId="689"/>
    <cellStyle name="Обычный 6 2 2 4 2 2 4" xfId="687"/>
    <cellStyle name="Обычный 6 2 2 4 2 3" xfId="153"/>
    <cellStyle name="Обычный 6 2 2 4 2 3 2" xfId="325"/>
    <cellStyle name="Обычный 6 2 2 4 2 3 2 2" xfId="691"/>
    <cellStyle name="Обычный 6 2 2 4 2 3 3" xfId="496"/>
    <cellStyle name="Обычный 6 2 2 4 2 3 3 2" xfId="692"/>
    <cellStyle name="Обычный 6 2 2 4 2 3 4" xfId="690"/>
    <cellStyle name="Обычный 6 2 2 4 2 4" xfId="323"/>
    <cellStyle name="Обычный 6 2 2 4 2 4 2" xfId="693"/>
    <cellStyle name="Обычный 6 2 2 4 2 5" xfId="494"/>
    <cellStyle name="Обычный 6 2 2 4 2 5 2" xfId="694"/>
    <cellStyle name="Обычный 6 2 2 4 2 6" xfId="686"/>
    <cellStyle name="Обычный 6 2 2 4 3" xfId="154"/>
    <cellStyle name="Обычный 6 2 2 4 3 2" xfId="326"/>
    <cellStyle name="Обычный 6 2 2 4 3 2 2" xfId="696"/>
    <cellStyle name="Обычный 6 2 2 4 3 3" xfId="497"/>
    <cellStyle name="Обычный 6 2 2 4 3 3 2" xfId="697"/>
    <cellStyle name="Обычный 6 2 2 4 3 4" xfId="695"/>
    <cellStyle name="Обычный 6 2 2 4 4" xfId="155"/>
    <cellStyle name="Обычный 6 2 2 4 4 2" xfId="327"/>
    <cellStyle name="Обычный 6 2 2 4 4 2 2" xfId="699"/>
    <cellStyle name="Обычный 6 2 2 4 4 3" xfId="498"/>
    <cellStyle name="Обычный 6 2 2 4 4 3 2" xfId="700"/>
    <cellStyle name="Обычный 6 2 2 4 4 4" xfId="698"/>
    <cellStyle name="Обычный 6 2 2 4 5" xfId="293"/>
    <cellStyle name="Обычный 6 2 2 4 5 2" xfId="701"/>
    <cellStyle name="Обычный 6 2 2 4 6" xfId="464"/>
    <cellStyle name="Обычный 6 2 2 4 6 2" xfId="702"/>
    <cellStyle name="Обычный 6 2 2 4 7" xfId="685"/>
    <cellStyle name="Обычный 6 2 2 5" xfId="156"/>
    <cellStyle name="Обычный 6 2 2 5 2" xfId="157"/>
    <cellStyle name="Обычный 6 2 2 5 2 2" xfId="329"/>
    <cellStyle name="Обычный 6 2 2 5 2 2 2" xfId="705"/>
    <cellStyle name="Обычный 6 2 2 5 2 3" xfId="500"/>
    <cellStyle name="Обычный 6 2 2 5 2 3 2" xfId="706"/>
    <cellStyle name="Обычный 6 2 2 5 2 4" xfId="704"/>
    <cellStyle name="Обычный 6 2 2 5 3" xfId="158"/>
    <cellStyle name="Обычный 6 2 2 5 3 2" xfId="330"/>
    <cellStyle name="Обычный 6 2 2 5 3 2 2" xfId="708"/>
    <cellStyle name="Обычный 6 2 2 5 3 3" xfId="501"/>
    <cellStyle name="Обычный 6 2 2 5 3 3 2" xfId="709"/>
    <cellStyle name="Обычный 6 2 2 5 3 4" xfId="707"/>
    <cellStyle name="Обычный 6 2 2 5 4" xfId="328"/>
    <cellStyle name="Обычный 6 2 2 5 4 2" xfId="710"/>
    <cellStyle name="Обычный 6 2 2 5 5" xfId="499"/>
    <cellStyle name="Обычный 6 2 2 5 5 2" xfId="711"/>
    <cellStyle name="Обычный 6 2 2 5 6" xfId="703"/>
    <cellStyle name="Обычный 6 2 2 6" xfId="159"/>
    <cellStyle name="Обычный 6 2 2 6 2" xfId="331"/>
    <cellStyle name="Обычный 6 2 2 6 2 2" xfId="713"/>
    <cellStyle name="Обычный 6 2 2 6 3" xfId="502"/>
    <cellStyle name="Обычный 6 2 2 6 3 2" xfId="714"/>
    <cellStyle name="Обычный 6 2 2 6 4" xfId="712"/>
    <cellStyle name="Обычный 6 2 2 7" xfId="160"/>
    <cellStyle name="Обычный 6 2 2 7 2" xfId="332"/>
    <cellStyle name="Обычный 6 2 2 7 2 2" xfId="716"/>
    <cellStyle name="Обычный 6 2 2 7 3" xfId="503"/>
    <cellStyle name="Обычный 6 2 2 7 3 2" xfId="717"/>
    <cellStyle name="Обычный 6 2 2 7 4" xfId="715"/>
    <cellStyle name="Обычный 6 2 2 8" xfId="161"/>
    <cellStyle name="Обычный 6 2 2 8 2" xfId="333"/>
    <cellStyle name="Обычный 6 2 2 8 2 2" xfId="719"/>
    <cellStyle name="Обычный 6 2 2 8 3" xfId="504"/>
    <cellStyle name="Обычный 6 2 2 8 3 2" xfId="720"/>
    <cellStyle name="Обычный 6 2 2 8 4" xfId="718"/>
    <cellStyle name="Обычный 6 2 2 9" xfId="110"/>
    <cellStyle name="Обычный 6 2 2 9 2" xfId="721"/>
    <cellStyle name="Обычный 6 2 3" xfId="101"/>
    <cellStyle name="Обычный 6 2 3 10" xfId="285"/>
    <cellStyle name="Обычный 6 2 3 10 2" xfId="723"/>
    <cellStyle name="Обычный 6 2 3 11" xfId="456"/>
    <cellStyle name="Обычный 6 2 3 11 2" xfId="724"/>
    <cellStyle name="Обычный 6 2 3 12" xfId="722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729"/>
    <cellStyle name="Обычный 6 2 3 2 2 2 2 3" xfId="506"/>
    <cellStyle name="Обычный 6 2 3 2 2 2 2 3 2" xfId="730"/>
    <cellStyle name="Обычный 6 2 3 2 2 2 2 4" xfId="728"/>
    <cellStyle name="Обычный 6 2 3 2 2 2 3" xfId="164"/>
    <cellStyle name="Обычный 6 2 3 2 2 2 3 2" xfId="336"/>
    <cellStyle name="Обычный 6 2 3 2 2 2 3 2 2" xfId="732"/>
    <cellStyle name="Обычный 6 2 3 2 2 2 3 3" xfId="507"/>
    <cellStyle name="Обычный 6 2 3 2 2 2 3 3 2" xfId="733"/>
    <cellStyle name="Обычный 6 2 3 2 2 2 3 4" xfId="731"/>
    <cellStyle name="Обычный 6 2 3 2 2 2 4" xfId="334"/>
    <cellStyle name="Обычный 6 2 3 2 2 2 4 2" xfId="734"/>
    <cellStyle name="Обычный 6 2 3 2 2 2 5" xfId="505"/>
    <cellStyle name="Обычный 6 2 3 2 2 2 5 2" xfId="735"/>
    <cellStyle name="Обычный 6 2 3 2 2 2 6" xfId="727"/>
    <cellStyle name="Обычный 6 2 3 2 2 3" xfId="165"/>
    <cellStyle name="Обычный 6 2 3 2 2 3 2" xfId="337"/>
    <cellStyle name="Обычный 6 2 3 2 2 3 2 2" xfId="737"/>
    <cellStyle name="Обычный 6 2 3 2 2 3 3" xfId="508"/>
    <cellStyle name="Обычный 6 2 3 2 2 3 3 2" xfId="738"/>
    <cellStyle name="Обычный 6 2 3 2 2 3 4" xfId="736"/>
    <cellStyle name="Обычный 6 2 3 2 2 4" xfId="166"/>
    <cellStyle name="Обычный 6 2 3 2 2 4 2" xfId="338"/>
    <cellStyle name="Обычный 6 2 3 2 2 4 2 2" xfId="740"/>
    <cellStyle name="Обычный 6 2 3 2 2 4 3" xfId="509"/>
    <cellStyle name="Обычный 6 2 3 2 2 4 3 2" xfId="741"/>
    <cellStyle name="Обычный 6 2 3 2 2 4 4" xfId="739"/>
    <cellStyle name="Обычный 6 2 3 2 2 5" xfId="304"/>
    <cellStyle name="Обычный 6 2 3 2 2 5 2" xfId="742"/>
    <cellStyle name="Обычный 6 2 3 2 2 6" xfId="475"/>
    <cellStyle name="Обычный 6 2 3 2 2 6 2" xfId="743"/>
    <cellStyle name="Обычный 6 2 3 2 2 7" xfId="726"/>
    <cellStyle name="Обычный 6 2 3 2 3" xfId="134"/>
    <cellStyle name="Обычный 6 2 3 2 3 2" xfId="167"/>
    <cellStyle name="Обычный 6 2 3 2 3 2 2" xfId="339"/>
    <cellStyle name="Обычный 6 2 3 2 3 2 2 2" xfId="746"/>
    <cellStyle name="Обычный 6 2 3 2 3 2 3" xfId="510"/>
    <cellStyle name="Обычный 6 2 3 2 3 2 3 2" xfId="747"/>
    <cellStyle name="Обычный 6 2 3 2 3 2 4" xfId="745"/>
    <cellStyle name="Обычный 6 2 3 2 3 3" xfId="168"/>
    <cellStyle name="Обычный 6 2 3 2 3 3 2" xfId="340"/>
    <cellStyle name="Обычный 6 2 3 2 3 3 2 2" xfId="749"/>
    <cellStyle name="Обычный 6 2 3 2 3 3 3" xfId="511"/>
    <cellStyle name="Обычный 6 2 3 2 3 3 3 2" xfId="750"/>
    <cellStyle name="Обычный 6 2 3 2 3 3 4" xfId="748"/>
    <cellStyle name="Обычный 6 2 3 2 3 4" xfId="306"/>
    <cellStyle name="Обычный 6 2 3 2 3 4 2" xfId="751"/>
    <cellStyle name="Обычный 6 2 3 2 3 5" xfId="477"/>
    <cellStyle name="Обычный 6 2 3 2 3 5 2" xfId="752"/>
    <cellStyle name="Обычный 6 2 3 2 3 6" xfId="744"/>
    <cellStyle name="Обычный 6 2 3 2 4" xfId="169"/>
    <cellStyle name="Обычный 6 2 3 2 4 2" xfId="341"/>
    <cellStyle name="Обычный 6 2 3 2 4 2 2" xfId="754"/>
    <cellStyle name="Обычный 6 2 3 2 4 3" xfId="512"/>
    <cellStyle name="Обычный 6 2 3 2 4 3 2" xfId="755"/>
    <cellStyle name="Обычный 6 2 3 2 4 4" xfId="753"/>
    <cellStyle name="Обычный 6 2 3 2 5" xfId="170"/>
    <cellStyle name="Обычный 6 2 3 2 5 2" xfId="342"/>
    <cellStyle name="Обычный 6 2 3 2 5 2 2" xfId="757"/>
    <cellStyle name="Обычный 6 2 3 2 5 3" xfId="513"/>
    <cellStyle name="Обычный 6 2 3 2 5 3 2" xfId="758"/>
    <cellStyle name="Обычный 6 2 3 2 5 4" xfId="756"/>
    <cellStyle name="Обычный 6 2 3 2 6" xfId="287"/>
    <cellStyle name="Обычный 6 2 3 2 6 2" xfId="759"/>
    <cellStyle name="Обычный 6 2 3 2 7" xfId="458"/>
    <cellStyle name="Обычный 6 2 3 2 7 2" xfId="760"/>
    <cellStyle name="Обычный 6 2 3 2 8" xfId="725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764"/>
    <cellStyle name="Обычный 6 2 3 3 2 2 3" xfId="515"/>
    <cellStyle name="Обычный 6 2 3 3 2 2 3 2" xfId="765"/>
    <cellStyle name="Обычный 6 2 3 3 2 2 4" xfId="763"/>
    <cellStyle name="Обычный 6 2 3 3 2 3" xfId="173"/>
    <cellStyle name="Обычный 6 2 3 3 2 3 2" xfId="345"/>
    <cellStyle name="Обычный 6 2 3 3 2 3 2 2" xfId="767"/>
    <cellStyle name="Обычный 6 2 3 3 2 3 3" xfId="516"/>
    <cellStyle name="Обычный 6 2 3 3 2 3 3 2" xfId="768"/>
    <cellStyle name="Обычный 6 2 3 3 2 3 4" xfId="766"/>
    <cellStyle name="Обычный 6 2 3 3 2 4" xfId="343"/>
    <cellStyle name="Обычный 6 2 3 3 2 4 2" xfId="769"/>
    <cellStyle name="Обычный 6 2 3 3 2 5" xfId="514"/>
    <cellStyle name="Обычный 6 2 3 3 2 5 2" xfId="770"/>
    <cellStyle name="Обычный 6 2 3 3 2 6" xfId="762"/>
    <cellStyle name="Обычный 6 2 3 3 3" xfId="174"/>
    <cellStyle name="Обычный 6 2 3 3 3 2" xfId="346"/>
    <cellStyle name="Обычный 6 2 3 3 3 2 2" xfId="772"/>
    <cellStyle name="Обычный 6 2 3 3 3 3" xfId="517"/>
    <cellStyle name="Обычный 6 2 3 3 3 3 2" xfId="773"/>
    <cellStyle name="Обычный 6 2 3 3 3 4" xfId="771"/>
    <cellStyle name="Обычный 6 2 3 3 4" xfId="175"/>
    <cellStyle name="Обычный 6 2 3 3 4 2" xfId="347"/>
    <cellStyle name="Обычный 6 2 3 3 4 2 2" xfId="775"/>
    <cellStyle name="Обычный 6 2 3 3 4 3" xfId="518"/>
    <cellStyle name="Обычный 6 2 3 3 4 3 2" xfId="776"/>
    <cellStyle name="Обычный 6 2 3 3 4 4" xfId="774"/>
    <cellStyle name="Обычный 6 2 3 3 5" xfId="302"/>
    <cellStyle name="Обычный 6 2 3 3 5 2" xfId="777"/>
    <cellStyle name="Обычный 6 2 3 3 6" xfId="473"/>
    <cellStyle name="Обычный 6 2 3 3 6 2" xfId="778"/>
    <cellStyle name="Обычный 6 2 3 3 7" xfId="761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782"/>
    <cellStyle name="Обычный 6 2 3 4 2 2 3" xfId="520"/>
    <cellStyle name="Обычный 6 2 3 4 2 2 3 2" xfId="783"/>
    <cellStyle name="Обычный 6 2 3 4 2 2 4" xfId="781"/>
    <cellStyle name="Обычный 6 2 3 4 2 3" xfId="178"/>
    <cellStyle name="Обычный 6 2 3 4 2 3 2" xfId="350"/>
    <cellStyle name="Обычный 6 2 3 4 2 3 2 2" xfId="785"/>
    <cellStyle name="Обычный 6 2 3 4 2 3 3" xfId="521"/>
    <cellStyle name="Обычный 6 2 3 4 2 3 3 2" xfId="786"/>
    <cellStyle name="Обычный 6 2 3 4 2 3 4" xfId="784"/>
    <cellStyle name="Обычный 6 2 3 4 2 4" xfId="348"/>
    <cellStyle name="Обычный 6 2 3 4 2 4 2" xfId="787"/>
    <cellStyle name="Обычный 6 2 3 4 2 5" xfId="519"/>
    <cellStyle name="Обычный 6 2 3 4 2 5 2" xfId="788"/>
    <cellStyle name="Обычный 6 2 3 4 2 6" xfId="780"/>
    <cellStyle name="Обычный 6 2 3 4 3" xfId="179"/>
    <cellStyle name="Обычный 6 2 3 4 3 2" xfId="351"/>
    <cellStyle name="Обычный 6 2 3 4 3 2 2" xfId="790"/>
    <cellStyle name="Обычный 6 2 3 4 3 3" xfId="522"/>
    <cellStyle name="Обычный 6 2 3 4 3 3 2" xfId="791"/>
    <cellStyle name="Обычный 6 2 3 4 3 4" xfId="789"/>
    <cellStyle name="Обычный 6 2 3 4 4" xfId="180"/>
    <cellStyle name="Обычный 6 2 3 4 4 2" xfId="352"/>
    <cellStyle name="Обычный 6 2 3 4 4 2 2" xfId="793"/>
    <cellStyle name="Обычный 6 2 3 4 4 3" xfId="523"/>
    <cellStyle name="Обычный 6 2 3 4 4 3 2" xfId="794"/>
    <cellStyle name="Обычный 6 2 3 4 4 4" xfId="792"/>
    <cellStyle name="Обычный 6 2 3 4 5" xfId="295"/>
    <cellStyle name="Обычный 6 2 3 4 5 2" xfId="795"/>
    <cellStyle name="Обычный 6 2 3 4 6" xfId="466"/>
    <cellStyle name="Обычный 6 2 3 4 6 2" xfId="796"/>
    <cellStyle name="Обычный 6 2 3 4 7" xfId="779"/>
    <cellStyle name="Обычный 6 2 3 5" xfId="181"/>
    <cellStyle name="Обычный 6 2 3 5 2" xfId="182"/>
    <cellStyle name="Обычный 6 2 3 5 2 2" xfId="354"/>
    <cellStyle name="Обычный 6 2 3 5 2 2 2" xfId="799"/>
    <cellStyle name="Обычный 6 2 3 5 2 3" xfId="525"/>
    <cellStyle name="Обычный 6 2 3 5 2 3 2" xfId="800"/>
    <cellStyle name="Обычный 6 2 3 5 2 4" xfId="798"/>
    <cellStyle name="Обычный 6 2 3 5 3" xfId="183"/>
    <cellStyle name="Обычный 6 2 3 5 3 2" xfId="355"/>
    <cellStyle name="Обычный 6 2 3 5 3 2 2" xfId="802"/>
    <cellStyle name="Обычный 6 2 3 5 3 3" xfId="526"/>
    <cellStyle name="Обычный 6 2 3 5 3 3 2" xfId="803"/>
    <cellStyle name="Обычный 6 2 3 5 3 4" xfId="801"/>
    <cellStyle name="Обычный 6 2 3 5 4" xfId="353"/>
    <cellStyle name="Обычный 6 2 3 5 4 2" xfId="804"/>
    <cellStyle name="Обычный 6 2 3 5 5" xfId="524"/>
    <cellStyle name="Обычный 6 2 3 5 5 2" xfId="805"/>
    <cellStyle name="Обычный 6 2 3 5 6" xfId="797"/>
    <cellStyle name="Обычный 6 2 3 6" xfId="184"/>
    <cellStyle name="Обычный 6 2 3 6 2" xfId="356"/>
    <cellStyle name="Обычный 6 2 3 6 2 2" xfId="807"/>
    <cellStyle name="Обычный 6 2 3 6 3" xfId="527"/>
    <cellStyle name="Обычный 6 2 3 6 3 2" xfId="808"/>
    <cellStyle name="Обычный 6 2 3 6 4" xfId="806"/>
    <cellStyle name="Обычный 6 2 3 7" xfId="185"/>
    <cellStyle name="Обычный 6 2 3 7 2" xfId="357"/>
    <cellStyle name="Обычный 6 2 3 7 2 2" xfId="810"/>
    <cellStyle name="Обычный 6 2 3 7 3" xfId="528"/>
    <cellStyle name="Обычный 6 2 3 7 3 2" xfId="811"/>
    <cellStyle name="Обычный 6 2 3 7 4" xfId="809"/>
    <cellStyle name="Обычный 6 2 3 8" xfId="186"/>
    <cellStyle name="Обычный 6 2 3 8 2" xfId="358"/>
    <cellStyle name="Обычный 6 2 3 8 2 2" xfId="813"/>
    <cellStyle name="Обычный 6 2 3 8 3" xfId="529"/>
    <cellStyle name="Обычный 6 2 3 8 3 2" xfId="814"/>
    <cellStyle name="Обычный 6 2 3 8 4" xfId="812"/>
    <cellStyle name="Обычный 6 2 3 9" xfId="112"/>
    <cellStyle name="Обычный 6 2 3 9 2" xfId="815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19"/>
    <cellStyle name="Обычный 6 2 4 2 2 3" xfId="531"/>
    <cellStyle name="Обычный 6 2 4 2 2 3 2" xfId="820"/>
    <cellStyle name="Обычный 6 2 4 2 2 4" xfId="818"/>
    <cellStyle name="Обычный 6 2 4 2 3" xfId="189"/>
    <cellStyle name="Обычный 6 2 4 2 3 2" xfId="361"/>
    <cellStyle name="Обычный 6 2 4 2 3 2 2" xfId="822"/>
    <cellStyle name="Обычный 6 2 4 2 3 3" xfId="532"/>
    <cellStyle name="Обычный 6 2 4 2 3 3 2" xfId="823"/>
    <cellStyle name="Обычный 6 2 4 2 3 4" xfId="821"/>
    <cellStyle name="Обычный 6 2 4 2 4" xfId="359"/>
    <cellStyle name="Обычный 6 2 4 2 4 2" xfId="824"/>
    <cellStyle name="Обычный 6 2 4 2 5" xfId="530"/>
    <cellStyle name="Обычный 6 2 4 2 5 2" xfId="825"/>
    <cellStyle name="Обычный 6 2 4 2 6" xfId="817"/>
    <cellStyle name="Обычный 6 2 4 3" xfId="190"/>
    <cellStyle name="Обычный 6 2 4 3 2" xfId="362"/>
    <cellStyle name="Обычный 6 2 4 3 2 2" xfId="827"/>
    <cellStyle name="Обычный 6 2 4 3 3" xfId="533"/>
    <cellStyle name="Обычный 6 2 4 3 3 2" xfId="828"/>
    <cellStyle name="Обычный 6 2 4 3 4" xfId="826"/>
    <cellStyle name="Обычный 6 2 4 4" xfId="191"/>
    <cellStyle name="Обычный 6 2 4 4 2" xfId="363"/>
    <cellStyle name="Обычный 6 2 4 4 2 2" xfId="830"/>
    <cellStyle name="Обычный 6 2 4 4 3" xfId="534"/>
    <cellStyle name="Обычный 6 2 4 4 3 2" xfId="831"/>
    <cellStyle name="Обычный 6 2 4 4 4" xfId="829"/>
    <cellStyle name="Обычный 6 2 4 5" xfId="299"/>
    <cellStyle name="Обычный 6 2 4 5 2" xfId="832"/>
    <cellStyle name="Обычный 6 2 4 6" xfId="470"/>
    <cellStyle name="Обычный 6 2 4 6 2" xfId="833"/>
    <cellStyle name="Обычный 6 2 4 7" xfId="816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37"/>
    <cellStyle name="Обычный 6 2 5 2 2 3" xfId="536"/>
    <cellStyle name="Обычный 6 2 5 2 2 3 2" xfId="838"/>
    <cellStyle name="Обычный 6 2 5 2 2 4" xfId="836"/>
    <cellStyle name="Обычный 6 2 5 2 3" xfId="194"/>
    <cellStyle name="Обычный 6 2 5 2 3 2" xfId="366"/>
    <cellStyle name="Обычный 6 2 5 2 3 2 2" xfId="840"/>
    <cellStyle name="Обычный 6 2 5 2 3 3" xfId="537"/>
    <cellStyle name="Обычный 6 2 5 2 3 3 2" xfId="841"/>
    <cellStyle name="Обычный 6 2 5 2 3 4" xfId="839"/>
    <cellStyle name="Обычный 6 2 5 2 4" xfId="364"/>
    <cellStyle name="Обычный 6 2 5 2 4 2" xfId="842"/>
    <cellStyle name="Обычный 6 2 5 2 5" xfId="535"/>
    <cellStyle name="Обычный 6 2 5 2 5 2" xfId="843"/>
    <cellStyle name="Обычный 6 2 5 2 6" xfId="835"/>
    <cellStyle name="Обычный 6 2 5 3" xfId="195"/>
    <cellStyle name="Обычный 6 2 5 3 2" xfId="367"/>
    <cellStyle name="Обычный 6 2 5 3 2 2" xfId="845"/>
    <cellStyle name="Обычный 6 2 5 3 3" xfId="538"/>
    <cellStyle name="Обычный 6 2 5 3 3 2" xfId="846"/>
    <cellStyle name="Обычный 6 2 5 3 4" xfId="844"/>
    <cellStyle name="Обычный 6 2 5 4" xfId="196"/>
    <cellStyle name="Обычный 6 2 5 4 2" xfId="368"/>
    <cellStyle name="Обычный 6 2 5 4 2 2" xfId="848"/>
    <cellStyle name="Обычный 6 2 5 4 3" xfId="539"/>
    <cellStyle name="Обычный 6 2 5 4 3 2" xfId="849"/>
    <cellStyle name="Обычный 6 2 5 4 4" xfId="847"/>
    <cellStyle name="Обычный 6 2 5 5" xfId="292"/>
    <cellStyle name="Обычный 6 2 5 5 2" xfId="850"/>
    <cellStyle name="Обычный 6 2 5 6" xfId="463"/>
    <cellStyle name="Обычный 6 2 5 6 2" xfId="851"/>
    <cellStyle name="Обычный 6 2 5 7" xfId="834"/>
    <cellStyle name="Обычный 6 2 6" xfId="197"/>
    <cellStyle name="Обычный 6 2 6 2" xfId="198"/>
    <cellStyle name="Обычный 6 2 6 2 2" xfId="370"/>
    <cellStyle name="Обычный 6 2 6 2 2 2" xfId="854"/>
    <cellStyle name="Обычный 6 2 6 2 3" xfId="541"/>
    <cellStyle name="Обычный 6 2 6 2 3 2" xfId="855"/>
    <cellStyle name="Обычный 6 2 6 2 4" xfId="853"/>
    <cellStyle name="Обычный 6 2 6 3" xfId="199"/>
    <cellStyle name="Обычный 6 2 6 3 2" xfId="371"/>
    <cellStyle name="Обычный 6 2 6 3 2 2" xfId="857"/>
    <cellStyle name="Обычный 6 2 6 3 3" xfId="542"/>
    <cellStyle name="Обычный 6 2 6 3 3 2" xfId="858"/>
    <cellStyle name="Обычный 6 2 6 3 4" xfId="856"/>
    <cellStyle name="Обычный 6 2 6 4" xfId="369"/>
    <cellStyle name="Обычный 6 2 6 4 2" xfId="859"/>
    <cellStyle name="Обычный 6 2 6 5" xfId="540"/>
    <cellStyle name="Обычный 6 2 6 5 2" xfId="860"/>
    <cellStyle name="Обычный 6 2 6 6" xfId="852"/>
    <cellStyle name="Обычный 6 2 7" xfId="200"/>
    <cellStyle name="Обычный 6 2 7 2" xfId="372"/>
    <cellStyle name="Обычный 6 2 7 2 2" xfId="862"/>
    <cellStyle name="Обычный 6 2 7 3" xfId="543"/>
    <cellStyle name="Обычный 6 2 7 3 2" xfId="863"/>
    <cellStyle name="Обычный 6 2 7 4" xfId="861"/>
    <cellStyle name="Обычный 6 2 8" xfId="201"/>
    <cellStyle name="Обычный 6 2 8 2" xfId="373"/>
    <cellStyle name="Обычный 6 2 8 2 2" xfId="865"/>
    <cellStyle name="Обычный 6 2 8 3" xfId="544"/>
    <cellStyle name="Обычный 6 2 8 3 2" xfId="866"/>
    <cellStyle name="Обычный 6 2 8 4" xfId="864"/>
    <cellStyle name="Обычный 6 2 9" xfId="202"/>
    <cellStyle name="Обычный 6 2 9 2" xfId="374"/>
    <cellStyle name="Обычный 6 2 9 2 2" xfId="868"/>
    <cellStyle name="Обычный 6 2 9 3" xfId="545"/>
    <cellStyle name="Обычный 6 2 9 3 2" xfId="869"/>
    <cellStyle name="Обычный 6 2 9 4" xfId="867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73"/>
    <cellStyle name="Обычный 6 3 2 2 3" xfId="547"/>
    <cellStyle name="Обычный 6 3 2 2 3 2" xfId="874"/>
    <cellStyle name="Обычный 6 3 2 2 4" xfId="872"/>
    <cellStyle name="Обычный 6 3 2 3" xfId="205"/>
    <cellStyle name="Обычный 6 3 2 3 2" xfId="377"/>
    <cellStyle name="Обычный 6 3 2 3 2 2" xfId="876"/>
    <cellStyle name="Обычный 6 3 2 3 3" xfId="548"/>
    <cellStyle name="Обычный 6 3 2 3 3 2" xfId="877"/>
    <cellStyle name="Обычный 6 3 2 3 4" xfId="875"/>
    <cellStyle name="Обычный 6 3 2 4" xfId="375"/>
    <cellStyle name="Обычный 6 3 2 4 2" xfId="878"/>
    <cellStyle name="Обычный 6 3 2 5" xfId="546"/>
    <cellStyle name="Обычный 6 3 2 5 2" xfId="879"/>
    <cellStyle name="Обычный 6 3 2 6" xfId="871"/>
    <cellStyle name="Обычный 6 3 3" xfId="206"/>
    <cellStyle name="Обычный 6 3 3 2" xfId="378"/>
    <cellStyle name="Обычный 6 3 3 2 2" xfId="881"/>
    <cellStyle name="Обычный 6 3 3 3" xfId="549"/>
    <cellStyle name="Обычный 6 3 3 3 2" xfId="882"/>
    <cellStyle name="Обычный 6 3 3 4" xfId="880"/>
    <cellStyle name="Обычный 6 3 4" xfId="207"/>
    <cellStyle name="Обычный 6 3 4 2" xfId="379"/>
    <cellStyle name="Обычный 6 3 4 2 2" xfId="884"/>
    <cellStyle name="Обычный 6 3 4 3" xfId="550"/>
    <cellStyle name="Обычный 6 3 4 3 2" xfId="885"/>
    <cellStyle name="Обычный 6 3 4 4" xfId="883"/>
    <cellStyle name="Обычный 6 3 5" xfId="296"/>
    <cellStyle name="Обычный 6 3 5 2" xfId="886"/>
    <cellStyle name="Обычный 6 3 6" xfId="467"/>
    <cellStyle name="Обычный 6 3 6 2" xfId="887"/>
    <cellStyle name="Обычный 6 3 7" xfId="870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891"/>
    <cellStyle name="Обычный 6 4 2 2 3" xfId="552"/>
    <cellStyle name="Обычный 6 4 2 2 3 2" xfId="892"/>
    <cellStyle name="Обычный 6 4 2 2 4" xfId="890"/>
    <cellStyle name="Обычный 6 4 2 3" xfId="210"/>
    <cellStyle name="Обычный 6 4 2 3 2" xfId="382"/>
    <cellStyle name="Обычный 6 4 2 3 2 2" xfId="894"/>
    <cellStyle name="Обычный 6 4 2 3 3" xfId="553"/>
    <cellStyle name="Обычный 6 4 2 3 3 2" xfId="895"/>
    <cellStyle name="Обычный 6 4 2 3 4" xfId="893"/>
    <cellStyle name="Обычный 6 4 2 4" xfId="380"/>
    <cellStyle name="Обычный 6 4 2 4 2" xfId="896"/>
    <cellStyle name="Обычный 6 4 2 5" xfId="551"/>
    <cellStyle name="Обычный 6 4 2 5 2" xfId="897"/>
    <cellStyle name="Обычный 6 4 2 6" xfId="889"/>
    <cellStyle name="Обычный 6 4 3" xfId="211"/>
    <cellStyle name="Обычный 6 4 3 2" xfId="383"/>
    <cellStyle name="Обычный 6 4 3 2 2" xfId="899"/>
    <cellStyle name="Обычный 6 4 3 3" xfId="554"/>
    <cellStyle name="Обычный 6 4 3 3 2" xfId="900"/>
    <cellStyle name="Обычный 6 4 3 4" xfId="898"/>
    <cellStyle name="Обычный 6 4 4" xfId="212"/>
    <cellStyle name="Обычный 6 4 4 2" xfId="384"/>
    <cellStyle name="Обычный 6 4 4 2 2" xfId="902"/>
    <cellStyle name="Обычный 6 4 4 3" xfId="555"/>
    <cellStyle name="Обычный 6 4 4 3 2" xfId="903"/>
    <cellStyle name="Обычный 6 4 4 4" xfId="901"/>
    <cellStyle name="Обычный 6 4 5" xfId="289"/>
    <cellStyle name="Обычный 6 4 5 2" xfId="904"/>
    <cellStyle name="Обычный 6 4 6" xfId="460"/>
    <cellStyle name="Обычный 6 4 6 2" xfId="905"/>
    <cellStyle name="Обычный 6 4 7" xfId="888"/>
    <cellStyle name="Обычный 6 5" xfId="213"/>
    <cellStyle name="Обычный 6 5 2" xfId="214"/>
    <cellStyle name="Обычный 6 5 2 2" xfId="386"/>
    <cellStyle name="Обычный 6 5 2 2 2" xfId="908"/>
    <cellStyle name="Обычный 6 5 2 3" xfId="557"/>
    <cellStyle name="Обычный 6 5 2 3 2" xfId="909"/>
    <cellStyle name="Обычный 6 5 2 4" xfId="907"/>
    <cellStyle name="Обычный 6 5 3" xfId="215"/>
    <cellStyle name="Обычный 6 5 3 2" xfId="387"/>
    <cellStyle name="Обычный 6 5 3 2 2" xfId="911"/>
    <cellStyle name="Обычный 6 5 3 3" xfId="558"/>
    <cellStyle name="Обычный 6 5 3 3 2" xfId="912"/>
    <cellStyle name="Обычный 6 5 3 4" xfId="910"/>
    <cellStyle name="Обычный 6 5 4" xfId="385"/>
    <cellStyle name="Обычный 6 5 4 2" xfId="913"/>
    <cellStyle name="Обычный 6 5 5" xfId="556"/>
    <cellStyle name="Обычный 6 5 5 2" xfId="914"/>
    <cellStyle name="Обычный 6 5 6" xfId="906"/>
    <cellStyle name="Обычный 6 6" xfId="216"/>
    <cellStyle name="Обычный 6 6 2" xfId="388"/>
    <cellStyle name="Обычный 6 6 2 2" xfId="916"/>
    <cellStyle name="Обычный 6 6 3" xfId="559"/>
    <cellStyle name="Обычный 6 6 3 2" xfId="917"/>
    <cellStyle name="Обычный 6 6 4" xfId="915"/>
    <cellStyle name="Обычный 6 7" xfId="217"/>
    <cellStyle name="Обычный 6 7 2" xfId="389"/>
    <cellStyle name="Обычный 6 7 2 2" xfId="919"/>
    <cellStyle name="Обычный 6 7 3" xfId="560"/>
    <cellStyle name="Обычный 6 7 3 2" xfId="920"/>
    <cellStyle name="Обычный 6 7 4" xfId="918"/>
    <cellStyle name="Обычный 6 8" xfId="218"/>
    <cellStyle name="Обычный 6 8 2" xfId="390"/>
    <cellStyle name="Обычный 6 8 2 2" xfId="922"/>
    <cellStyle name="Обычный 6 8 3" xfId="561"/>
    <cellStyle name="Обычный 6 8 3 2" xfId="923"/>
    <cellStyle name="Обычный 6 8 4" xfId="921"/>
    <cellStyle name="Обычный 6 9" xfId="106"/>
    <cellStyle name="Обычный 6 9 2" xfId="924"/>
    <cellStyle name="Обычный 7" xfId="54"/>
    <cellStyle name="Обычный 7 2" xfId="58"/>
    <cellStyle name="Обычный 7 2 10" xfId="455"/>
    <cellStyle name="Обычный 7 2 10 2" xfId="926"/>
    <cellStyle name="Обычный 7 2 11" xfId="92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30"/>
    <cellStyle name="Обычный 7 2 2 2 2 3" xfId="563"/>
    <cellStyle name="Обычный 7 2 2 2 2 3 2" xfId="931"/>
    <cellStyle name="Обычный 7 2 2 2 2 4" xfId="929"/>
    <cellStyle name="Обычный 7 2 2 2 3" xfId="221"/>
    <cellStyle name="Обычный 7 2 2 2 3 2" xfId="393"/>
    <cellStyle name="Обычный 7 2 2 2 3 2 2" xfId="933"/>
    <cellStyle name="Обычный 7 2 2 2 3 3" xfId="564"/>
    <cellStyle name="Обычный 7 2 2 2 3 3 2" xfId="934"/>
    <cellStyle name="Обычный 7 2 2 2 3 4" xfId="932"/>
    <cellStyle name="Обычный 7 2 2 2 4" xfId="391"/>
    <cellStyle name="Обычный 7 2 2 2 4 2" xfId="935"/>
    <cellStyle name="Обычный 7 2 2 2 5" xfId="562"/>
    <cellStyle name="Обычный 7 2 2 2 5 2" xfId="936"/>
    <cellStyle name="Обычный 7 2 2 2 6" xfId="928"/>
    <cellStyle name="Обычный 7 2 2 3" xfId="222"/>
    <cellStyle name="Обычный 7 2 2 3 2" xfId="394"/>
    <cellStyle name="Обычный 7 2 2 3 2 2" xfId="938"/>
    <cellStyle name="Обычный 7 2 2 3 3" xfId="565"/>
    <cellStyle name="Обычный 7 2 2 3 3 2" xfId="939"/>
    <cellStyle name="Обычный 7 2 2 3 4" xfId="937"/>
    <cellStyle name="Обычный 7 2 2 4" xfId="223"/>
    <cellStyle name="Обычный 7 2 2 4 2" xfId="395"/>
    <cellStyle name="Обычный 7 2 2 4 2 2" xfId="941"/>
    <cellStyle name="Обычный 7 2 2 4 3" xfId="566"/>
    <cellStyle name="Обычный 7 2 2 4 3 2" xfId="942"/>
    <cellStyle name="Обычный 7 2 2 4 4" xfId="940"/>
    <cellStyle name="Обычный 7 2 2 5" xfId="301"/>
    <cellStyle name="Обычный 7 2 2 5 2" xfId="943"/>
    <cellStyle name="Обычный 7 2 2 6" xfId="472"/>
    <cellStyle name="Обычный 7 2 2 6 2" xfId="944"/>
    <cellStyle name="Обычный 7 2 2 7" xfId="927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48"/>
    <cellStyle name="Обычный 7 2 3 2 2 3" xfId="568"/>
    <cellStyle name="Обычный 7 2 3 2 2 3 2" xfId="949"/>
    <cellStyle name="Обычный 7 2 3 2 2 4" xfId="947"/>
    <cellStyle name="Обычный 7 2 3 2 3" xfId="226"/>
    <cellStyle name="Обычный 7 2 3 2 3 2" xfId="398"/>
    <cellStyle name="Обычный 7 2 3 2 3 2 2" xfId="951"/>
    <cellStyle name="Обычный 7 2 3 2 3 3" xfId="569"/>
    <cellStyle name="Обычный 7 2 3 2 3 3 2" xfId="952"/>
    <cellStyle name="Обычный 7 2 3 2 3 4" xfId="950"/>
    <cellStyle name="Обычный 7 2 3 2 4" xfId="396"/>
    <cellStyle name="Обычный 7 2 3 2 4 2" xfId="953"/>
    <cellStyle name="Обычный 7 2 3 2 5" xfId="567"/>
    <cellStyle name="Обычный 7 2 3 2 5 2" xfId="954"/>
    <cellStyle name="Обычный 7 2 3 2 6" xfId="946"/>
    <cellStyle name="Обычный 7 2 3 3" xfId="227"/>
    <cellStyle name="Обычный 7 2 3 3 2" xfId="399"/>
    <cellStyle name="Обычный 7 2 3 3 2 2" xfId="956"/>
    <cellStyle name="Обычный 7 2 3 3 3" xfId="570"/>
    <cellStyle name="Обычный 7 2 3 3 3 2" xfId="957"/>
    <cellStyle name="Обычный 7 2 3 3 4" xfId="955"/>
    <cellStyle name="Обычный 7 2 3 4" xfId="228"/>
    <cellStyle name="Обычный 7 2 3 4 2" xfId="400"/>
    <cellStyle name="Обычный 7 2 3 4 2 2" xfId="959"/>
    <cellStyle name="Обычный 7 2 3 4 3" xfId="571"/>
    <cellStyle name="Обычный 7 2 3 4 3 2" xfId="960"/>
    <cellStyle name="Обычный 7 2 3 4 4" xfId="958"/>
    <cellStyle name="Обычный 7 2 3 5" xfId="294"/>
    <cellStyle name="Обычный 7 2 3 5 2" xfId="961"/>
    <cellStyle name="Обычный 7 2 3 6" xfId="465"/>
    <cellStyle name="Обычный 7 2 3 6 2" xfId="962"/>
    <cellStyle name="Обычный 7 2 3 7" xfId="945"/>
    <cellStyle name="Обычный 7 2 4" xfId="229"/>
    <cellStyle name="Обычный 7 2 4 2" xfId="230"/>
    <cellStyle name="Обычный 7 2 4 2 2" xfId="402"/>
    <cellStyle name="Обычный 7 2 4 2 2 2" xfId="965"/>
    <cellStyle name="Обычный 7 2 4 2 3" xfId="573"/>
    <cellStyle name="Обычный 7 2 4 2 3 2" xfId="966"/>
    <cellStyle name="Обычный 7 2 4 2 4" xfId="964"/>
    <cellStyle name="Обычный 7 2 4 3" xfId="231"/>
    <cellStyle name="Обычный 7 2 4 3 2" xfId="403"/>
    <cellStyle name="Обычный 7 2 4 3 2 2" xfId="968"/>
    <cellStyle name="Обычный 7 2 4 3 3" xfId="574"/>
    <cellStyle name="Обычный 7 2 4 3 3 2" xfId="969"/>
    <cellStyle name="Обычный 7 2 4 3 4" xfId="967"/>
    <cellStyle name="Обычный 7 2 4 4" xfId="401"/>
    <cellStyle name="Обычный 7 2 4 4 2" xfId="970"/>
    <cellStyle name="Обычный 7 2 4 5" xfId="572"/>
    <cellStyle name="Обычный 7 2 4 5 2" xfId="971"/>
    <cellStyle name="Обычный 7 2 4 6" xfId="963"/>
    <cellStyle name="Обычный 7 2 5" xfId="232"/>
    <cellStyle name="Обычный 7 2 5 2" xfId="404"/>
    <cellStyle name="Обычный 7 2 5 2 2" xfId="973"/>
    <cellStyle name="Обычный 7 2 5 3" xfId="575"/>
    <cellStyle name="Обычный 7 2 5 3 2" xfId="974"/>
    <cellStyle name="Обычный 7 2 5 4" xfId="972"/>
    <cellStyle name="Обычный 7 2 6" xfId="233"/>
    <cellStyle name="Обычный 7 2 6 2" xfId="405"/>
    <cellStyle name="Обычный 7 2 6 2 2" xfId="976"/>
    <cellStyle name="Обычный 7 2 6 3" xfId="576"/>
    <cellStyle name="Обычный 7 2 6 3 2" xfId="977"/>
    <cellStyle name="Обычный 7 2 6 4" xfId="975"/>
    <cellStyle name="Обычный 7 2 7" xfId="234"/>
    <cellStyle name="Обычный 7 2 7 2" xfId="406"/>
    <cellStyle name="Обычный 7 2 7 2 2" xfId="979"/>
    <cellStyle name="Обычный 7 2 7 3" xfId="577"/>
    <cellStyle name="Обычный 7 2 7 3 2" xfId="980"/>
    <cellStyle name="Обычный 7 2 7 4" xfId="978"/>
    <cellStyle name="Обычный 7 2 8" xfId="111"/>
    <cellStyle name="Обычный 7 2 8 2" xfId="981"/>
    <cellStyle name="Обычный 7 2 9" xfId="284"/>
    <cellStyle name="Обычный 7 2 9 2" xfId="982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87"/>
    <cellStyle name="Обычный 9 2 2 2 3" xfId="579"/>
    <cellStyle name="Обычный 9 2 2 2 3 2" xfId="988"/>
    <cellStyle name="Обычный 9 2 2 2 4" xfId="986"/>
    <cellStyle name="Обычный 9 2 2 3" xfId="237"/>
    <cellStyle name="Обычный 9 2 2 3 2" xfId="409"/>
    <cellStyle name="Обычный 9 2 2 3 2 2" xfId="990"/>
    <cellStyle name="Обычный 9 2 2 3 3" xfId="580"/>
    <cellStyle name="Обычный 9 2 2 3 3 2" xfId="991"/>
    <cellStyle name="Обычный 9 2 2 3 4" xfId="989"/>
    <cellStyle name="Обычный 9 2 2 4" xfId="238"/>
    <cellStyle name="Обычный 9 2 2 4 2" xfId="410"/>
    <cellStyle name="Обычный 9 2 2 4 2 2" xfId="993"/>
    <cellStyle name="Обычный 9 2 2 4 3" xfId="581"/>
    <cellStyle name="Обычный 9 2 2 4 3 2" xfId="994"/>
    <cellStyle name="Обычный 9 2 2 4 4" xfId="992"/>
    <cellStyle name="Обычный 9 2 2 5" xfId="407"/>
    <cellStyle name="Обычный 9 2 2 5 2" xfId="995"/>
    <cellStyle name="Обычный 9 2 2 6" xfId="578"/>
    <cellStyle name="Обычный 9 2 2 6 2" xfId="996"/>
    <cellStyle name="Обычный 9 2 2 7" xfId="985"/>
    <cellStyle name="Обычный 9 2 3" xfId="239"/>
    <cellStyle name="Обычный 9 2 3 2" xfId="411"/>
    <cellStyle name="Обычный 9 2 3 2 2" xfId="998"/>
    <cellStyle name="Обычный 9 2 3 3" xfId="582"/>
    <cellStyle name="Обычный 9 2 3 3 2" xfId="999"/>
    <cellStyle name="Обычный 9 2 3 4" xfId="997"/>
    <cellStyle name="Обычный 9 2 4" xfId="240"/>
    <cellStyle name="Обычный 9 2 4 2" xfId="412"/>
    <cellStyle name="Обычный 9 2 4 2 2" xfId="1001"/>
    <cellStyle name="Обычный 9 2 4 3" xfId="583"/>
    <cellStyle name="Обычный 9 2 4 3 2" xfId="1002"/>
    <cellStyle name="Обычный 9 2 4 4" xfId="1000"/>
    <cellStyle name="Обычный 9 2 5" xfId="303"/>
    <cellStyle name="Обычный 9 2 5 2" xfId="1003"/>
    <cellStyle name="Обычный 9 2 6" xfId="474"/>
    <cellStyle name="Обычный 9 2 6 2" xfId="1004"/>
    <cellStyle name="Обычный 9 2 7" xfId="984"/>
    <cellStyle name="Обычный 9 3" xfId="136"/>
    <cellStyle name="Обычный 9 3 2" xfId="241"/>
    <cellStyle name="Обычный 9 3 2 2" xfId="413"/>
    <cellStyle name="Обычный 9 3 2 2 2" xfId="1007"/>
    <cellStyle name="Обычный 9 3 2 3" xfId="584"/>
    <cellStyle name="Обычный 9 3 2 3 2" xfId="1008"/>
    <cellStyle name="Обычный 9 3 2 4" xfId="1006"/>
    <cellStyle name="Обычный 9 3 3" xfId="242"/>
    <cellStyle name="Обычный 9 3 3 2" xfId="414"/>
    <cellStyle name="Обычный 9 3 3 2 2" xfId="1010"/>
    <cellStyle name="Обычный 9 3 3 3" xfId="585"/>
    <cellStyle name="Обычный 9 3 3 3 2" xfId="1011"/>
    <cellStyle name="Обычный 9 3 3 4" xfId="1009"/>
    <cellStyle name="Обычный 9 3 4" xfId="243"/>
    <cellStyle name="Обычный 9 3 4 2" xfId="415"/>
    <cellStyle name="Обычный 9 3 4 2 2" xfId="1013"/>
    <cellStyle name="Обычный 9 3 4 3" xfId="586"/>
    <cellStyle name="Обычный 9 3 4 3 2" xfId="1014"/>
    <cellStyle name="Обычный 9 3 4 4" xfId="1012"/>
    <cellStyle name="Обычный 9 3 5" xfId="308"/>
    <cellStyle name="Обычный 9 3 5 2" xfId="1015"/>
    <cellStyle name="Обычный 9 3 6" xfId="479"/>
    <cellStyle name="Обычный 9 3 6 2" xfId="1016"/>
    <cellStyle name="Обычный 9 3 7" xfId="1005"/>
    <cellStyle name="Обычный 9 4" xfId="244"/>
    <cellStyle name="Обычный 9 4 2" xfId="416"/>
    <cellStyle name="Обычный 9 4 2 2" xfId="1018"/>
    <cellStyle name="Обычный 9 4 3" xfId="587"/>
    <cellStyle name="Обычный 9 4 3 2" xfId="1019"/>
    <cellStyle name="Обычный 9 4 4" xfId="1017"/>
    <cellStyle name="Обычный 9 5" xfId="245"/>
    <cellStyle name="Обычный 9 5 2" xfId="417"/>
    <cellStyle name="Обычный 9 5 2 2" xfId="1021"/>
    <cellStyle name="Обычный 9 5 3" xfId="588"/>
    <cellStyle name="Обычный 9 5 3 2" xfId="1022"/>
    <cellStyle name="Обычный 9 5 4" xfId="1020"/>
    <cellStyle name="Обычный 9 6" xfId="286"/>
    <cellStyle name="Обычный 9 6 2" xfId="1023"/>
    <cellStyle name="Обычный 9 7" xfId="457"/>
    <cellStyle name="Обычный 9 7 2" xfId="1024"/>
    <cellStyle name="Обычный 9 8" xfId="983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1027"/>
    <cellStyle name="Финансовый 2 11" xfId="1026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1031"/>
    <cellStyle name="Финансовый 2 2 2 2 4" xfId="590"/>
    <cellStyle name="Финансовый 2 2 2 2 4 2" xfId="1032"/>
    <cellStyle name="Финансовый 2 2 2 2 5" xfId="1030"/>
    <cellStyle name="Финансовый 2 2 2 3" xfId="248"/>
    <cellStyle name="Финансовый 2 2 2 3 2" xfId="420"/>
    <cellStyle name="Финансовый 2 2 2 3 2 2" xfId="1034"/>
    <cellStyle name="Финансовый 2 2 2 3 3" xfId="591"/>
    <cellStyle name="Финансовый 2 2 2 3 3 2" xfId="1035"/>
    <cellStyle name="Финансовый 2 2 2 3 4" xfId="1033"/>
    <cellStyle name="Финансовый 2 2 2 4" xfId="418"/>
    <cellStyle name="Финансовый 2 2 2 4 2" xfId="1036"/>
    <cellStyle name="Финансовый 2 2 2 5" xfId="589"/>
    <cellStyle name="Финансовый 2 2 2 5 2" xfId="1037"/>
    <cellStyle name="Финансовый 2 2 2 6" xfId="1029"/>
    <cellStyle name="Финансовый 2 2 3" xfId="249"/>
    <cellStyle name="Финансовый 2 2 3 2" xfId="421"/>
    <cellStyle name="Финансовый 2 2 3 2 2" xfId="1039"/>
    <cellStyle name="Финансовый 2 2 3 3" xfId="592"/>
    <cellStyle name="Финансовый 2 2 3 3 2" xfId="1040"/>
    <cellStyle name="Финансовый 2 2 3 4" xfId="1038"/>
    <cellStyle name="Финансовый 2 2 4" xfId="250"/>
    <cellStyle name="Финансовый 2 2 4 2" xfId="422"/>
    <cellStyle name="Финансовый 2 2 4 2 2" xfId="1042"/>
    <cellStyle name="Финансовый 2 2 4 3" xfId="593"/>
    <cellStyle name="Финансовый 2 2 4 3 2" xfId="1043"/>
    <cellStyle name="Финансовый 2 2 4 4" xfId="1041"/>
    <cellStyle name="Финансовый 2 2 5" xfId="297"/>
    <cellStyle name="Финансовый 2 2 5 2" xfId="1044"/>
    <cellStyle name="Финансовый 2 2 6" xfId="468"/>
    <cellStyle name="Финансовый 2 2 6 2" xfId="1045"/>
    <cellStyle name="Финансовый 2 2 7" xfId="102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1049"/>
    <cellStyle name="Финансовый 2 3 2 2 3" xfId="595"/>
    <cellStyle name="Финансовый 2 3 2 2 3 2" xfId="1050"/>
    <cellStyle name="Финансовый 2 3 2 2 4" xfId="1048"/>
    <cellStyle name="Финансовый 2 3 2 3" xfId="253"/>
    <cellStyle name="Финансовый 2 3 2 3 2" xfId="425"/>
    <cellStyle name="Финансовый 2 3 2 3 2 2" xfId="1052"/>
    <cellStyle name="Финансовый 2 3 2 3 3" xfId="596"/>
    <cellStyle name="Финансовый 2 3 2 3 3 2" xfId="1053"/>
    <cellStyle name="Финансовый 2 3 2 3 4" xfId="1051"/>
    <cellStyle name="Финансовый 2 3 2 4" xfId="423"/>
    <cellStyle name="Финансовый 2 3 2 4 2" xfId="1054"/>
    <cellStyle name="Финансовый 2 3 2 5" xfId="594"/>
    <cellStyle name="Финансовый 2 3 2 5 2" xfId="1055"/>
    <cellStyle name="Финансовый 2 3 2 6" xfId="1047"/>
    <cellStyle name="Финансовый 2 3 3" xfId="254"/>
    <cellStyle name="Финансовый 2 3 3 2" xfId="426"/>
    <cellStyle name="Финансовый 2 3 3 2 2" xfId="1057"/>
    <cellStyle name="Финансовый 2 3 3 3" xfId="597"/>
    <cellStyle name="Финансовый 2 3 3 3 2" xfId="1058"/>
    <cellStyle name="Финансовый 2 3 3 4" xfId="1056"/>
    <cellStyle name="Финансовый 2 3 4" xfId="255"/>
    <cellStyle name="Финансовый 2 3 4 2" xfId="427"/>
    <cellStyle name="Финансовый 2 3 4 2 2" xfId="1060"/>
    <cellStyle name="Финансовый 2 3 4 3" xfId="598"/>
    <cellStyle name="Финансовый 2 3 4 3 2" xfId="1061"/>
    <cellStyle name="Финансовый 2 3 4 4" xfId="1059"/>
    <cellStyle name="Финансовый 2 3 5" xfId="290"/>
    <cellStyle name="Финансовый 2 3 5 2" xfId="1062"/>
    <cellStyle name="Финансовый 2 3 6" xfId="461"/>
    <cellStyle name="Финансовый 2 3 6 2" xfId="1063"/>
    <cellStyle name="Финансовый 2 3 7" xfId="1046"/>
    <cellStyle name="Финансовый 2 4" xfId="256"/>
    <cellStyle name="Финансовый 2 4 2" xfId="257"/>
    <cellStyle name="Финансовый 2 4 2 2" xfId="429"/>
    <cellStyle name="Финансовый 2 4 2 2 2" xfId="1066"/>
    <cellStyle name="Финансовый 2 4 2 3" xfId="600"/>
    <cellStyle name="Финансовый 2 4 2 3 2" xfId="1067"/>
    <cellStyle name="Финансовый 2 4 2 4" xfId="1065"/>
    <cellStyle name="Финансовый 2 4 3" xfId="258"/>
    <cellStyle name="Финансовый 2 4 3 2" xfId="430"/>
    <cellStyle name="Финансовый 2 4 3 2 2" xfId="1069"/>
    <cellStyle name="Финансовый 2 4 3 3" xfId="601"/>
    <cellStyle name="Финансовый 2 4 3 3 2" xfId="1070"/>
    <cellStyle name="Финансовый 2 4 3 4" xfId="1068"/>
    <cellStyle name="Финансовый 2 4 4" xfId="428"/>
    <cellStyle name="Финансовый 2 4 4 2" xfId="1071"/>
    <cellStyle name="Финансовый 2 4 5" xfId="599"/>
    <cellStyle name="Финансовый 2 4 5 2" xfId="1072"/>
    <cellStyle name="Финансовый 2 4 6" xfId="1064"/>
    <cellStyle name="Финансовый 2 5" xfId="259"/>
    <cellStyle name="Финансовый 2 5 2" xfId="431"/>
    <cellStyle name="Финансовый 2 5 2 2" xfId="1074"/>
    <cellStyle name="Финансовый 2 5 3" xfId="602"/>
    <cellStyle name="Финансовый 2 5 3 2" xfId="1075"/>
    <cellStyle name="Финансовый 2 5 4" xfId="1073"/>
    <cellStyle name="Финансовый 2 6" xfId="260"/>
    <cellStyle name="Финансовый 2 6 2" xfId="432"/>
    <cellStyle name="Финансовый 2 6 2 2" xfId="1077"/>
    <cellStyle name="Финансовый 2 6 3" xfId="603"/>
    <cellStyle name="Финансовый 2 6 3 2" xfId="1078"/>
    <cellStyle name="Финансовый 2 6 4" xfId="1076"/>
    <cellStyle name="Финансовый 2 7" xfId="261"/>
    <cellStyle name="Финансовый 2 7 2" xfId="433"/>
    <cellStyle name="Финансовый 2 7 2 2" xfId="1080"/>
    <cellStyle name="Финансовый 2 7 3" xfId="604"/>
    <cellStyle name="Финансовый 2 7 3 2" xfId="1081"/>
    <cellStyle name="Финансовый 2 7 4" xfId="1079"/>
    <cellStyle name="Финансовый 2 8" xfId="107"/>
    <cellStyle name="Финансовый 2 8 2" xfId="1082"/>
    <cellStyle name="Финансовый 2 9" xfId="280"/>
    <cellStyle name="Финансовый 2 9 2" xfId="1083"/>
    <cellStyle name="Финансовый 3" xfId="51"/>
    <cellStyle name="Финансовый 3 10" xfId="452"/>
    <cellStyle name="Финансовый 3 10 2" xfId="1085"/>
    <cellStyle name="Финансовый 3 11" xfId="1084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1089"/>
    <cellStyle name="Финансовый 3 2 2 2 3" xfId="606"/>
    <cellStyle name="Финансовый 3 2 2 2 3 2" xfId="1090"/>
    <cellStyle name="Финансовый 3 2 2 2 4" xfId="1088"/>
    <cellStyle name="Финансовый 3 2 2 3" xfId="264"/>
    <cellStyle name="Финансовый 3 2 2 3 2" xfId="436"/>
    <cellStyle name="Финансовый 3 2 2 3 2 2" xfId="1092"/>
    <cellStyle name="Финансовый 3 2 2 3 3" xfId="607"/>
    <cellStyle name="Финансовый 3 2 2 3 3 2" xfId="1093"/>
    <cellStyle name="Финансовый 3 2 2 3 4" xfId="1091"/>
    <cellStyle name="Финансовый 3 2 2 4" xfId="434"/>
    <cellStyle name="Финансовый 3 2 2 4 2" xfId="1094"/>
    <cellStyle name="Финансовый 3 2 2 5" xfId="605"/>
    <cellStyle name="Финансовый 3 2 2 5 2" xfId="1095"/>
    <cellStyle name="Финансовый 3 2 2 6" xfId="1087"/>
    <cellStyle name="Финансовый 3 2 3" xfId="265"/>
    <cellStyle name="Финансовый 3 2 3 2" xfId="437"/>
    <cellStyle name="Финансовый 3 2 3 2 2" xfId="1097"/>
    <cellStyle name="Финансовый 3 2 3 3" xfId="608"/>
    <cellStyle name="Финансовый 3 2 3 3 2" xfId="1098"/>
    <cellStyle name="Финансовый 3 2 3 4" xfId="1096"/>
    <cellStyle name="Финансовый 3 2 4" xfId="266"/>
    <cellStyle name="Финансовый 3 2 4 2" xfId="438"/>
    <cellStyle name="Финансовый 3 2 4 2 2" xfId="1100"/>
    <cellStyle name="Финансовый 3 2 4 3" xfId="609"/>
    <cellStyle name="Финансовый 3 2 4 3 2" xfId="1101"/>
    <cellStyle name="Финансовый 3 2 4 4" xfId="1099"/>
    <cellStyle name="Финансовый 3 2 5" xfId="298"/>
    <cellStyle name="Финансовый 3 2 5 2" xfId="1102"/>
    <cellStyle name="Финансовый 3 2 6" xfId="469"/>
    <cellStyle name="Финансовый 3 2 6 2" xfId="1103"/>
    <cellStyle name="Финансовый 3 2 7" xfId="1086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1107"/>
    <cellStyle name="Финансовый 3 3 2 2 3" xfId="611"/>
    <cellStyle name="Финансовый 3 3 2 2 3 2" xfId="1108"/>
    <cellStyle name="Финансовый 3 3 2 2 4" xfId="1106"/>
    <cellStyle name="Финансовый 3 3 2 3" xfId="269"/>
    <cellStyle name="Финансовый 3 3 2 3 2" xfId="441"/>
    <cellStyle name="Финансовый 3 3 2 3 2 2" xfId="1110"/>
    <cellStyle name="Финансовый 3 3 2 3 3" xfId="612"/>
    <cellStyle name="Финансовый 3 3 2 3 3 2" xfId="1111"/>
    <cellStyle name="Финансовый 3 3 2 3 4" xfId="1109"/>
    <cellStyle name="Финансовый 3 3 2 4" xfId="439"/>
    <cellStyle name="Финансовый 3 3 2 4 2" xfId="1112"/>
    <cellStyle name="Финансовый 3 3 2 5" xfId="610"/>
    <cellStyle name="Финансовый 3 3 2 5 2" xfId="1113"/>
    <cellStyle name="Финансовый 3 3 2 6" xfId="1105"/>
    <cellStyle name="Финансовый 3 3 3" xfId="270"/>
    <cellStyle name="Финансовый 3 3 3 2" xfId="442"/>
    <cellStyle name="Финансовый 3 3 3 2 2" xfId="1115"/>
    <cellStyle name="Финансовый 3 3 3 3" xfId="613"/>
    <cellStyle name="Финансовый 3 3 3 3 2" xfId="1116"/>
    <cellStyle name="Финансовый 3 3 3 4" xfId="1114"/>
    <cellStyle name="Финансовый 3 3 4" xfId="271"/>
    <cellStyle name="Финансовый 3 3 4 2" xfId="443"/>
    <cellStyle name="Финансовый 3 3 4 2 2" xfId="1118"/>
    <cellStyle name="Финансовый 3 3 4 3" xfId="614"/>
    <cellStyle name="Финансовый 3 3 4 3 2" xfId="1119"/>
    <cellStyle name="Финансовый 3 3 4 4" xfId="1117"/>
    <cellStyle name="Финансовый 3 3 5" xfId="291"/>
    <cellStyle name="Финансовый 3 3 5 2" xfId="1120"/>
    <cellStyle name="Финансовый 3 3 6" xfId="462"/>
    <cellStyle name="Финансовый 3 3 6 2" xfId="1121"/>
    <cellStyle name="Финансовый 3 3 7" xfId="1104"/>
    <cellStyle name="Финансовый 3 4" xfId="272"/>
    <cellStyle name="Финансовый 3 4 2" xfId="273"/>
    <cellStyle name="Финансовый 3 4 2 2" xfId="445"/>
    <cellStyle name="Финансовый 3 4 2 2 2" xfId="1124"/>
    <cellStyle name="Финансовый 3 4 2 3" xfId="616"/>
    <cellStyle name="Финансовый 3 4 2 3 2" xfId="1125"/>
    <cellStyle name="Финансовый 3 4 2 4" xfId="1123"/>
    <cellStyle name="Финансовый 3 4 3" xfId="274"/>
    <cellStyle name="Финансовый 3 4 3 2" xfId="446"/>
    <cellStyle name="Финансовый 3 4 3 2 2" xfId="1127"/>
    <cellStyle name="Финансовый 3 4 3 3" xfId="617"/>
    <cellStyle name="Финансовый 3 4 3 3 2" xfId="1128"/>
    <cellStyle name="Финансовый 3 4 3 4" xfId="1126"/>
    <cellStyle name="Финансовый 3 4 4" xfId="444"/>
    <cellStyle name="Финансовый 3 4 4 2" xfId="1129"/>
    <cellStyle name="Финансовый 3 4 5" xfId="615"/>
    <cellStyle name="Финансовый 3 4 5 2" xfId="1130"/>
    <cellStyle name="Финансовый 3 4 6" xfId="1122"/>
    <cellStyle name="Финансовый 3 5" xfId="275"/>
    <cellStyle name="Финансовый 3 5 2" xfId="447"/>
    <cellStyle name="Финансовый 3 5 2 2" xfId="1132"/>
    <cellStyle name="Финансовый 3 5 3" xfId="618"/>
    <cellStyle name="Финансовый 3 5 3 2" xfId="1133"/>
    <cellStyle name="Финансовый 3 5 4" xfId="1131"/>
    <cellStyle name="Финансовый 3 6" xfId="276"/>
    <cellStyle name="Финансовый 3 6 2" xfId="448"/>
    <cellStyle name="Финансовый 3 6 2 2" xfId="1135"/>
    <cellStyle name="Финансовый 3 6 3" xfId="619"/>
    <cellStyle name="Финансовый 3 6 3 2" xfId="1136"/>
    <cellStyle name="Финансовый 3 6 4" xfId="1134"/>
    <cellStyle name="Финансовый 3 7" xfId="277"/>
    <cellStyle name="Финансовый 3 7 2" xfId="449"/>
    <cellStyle name="Финансовый 3 7 2 2" xfId="1138"/>
    <cellStyle name="Финансовый 3 7 3" xfId="620"/>
    <cellStyle name="Финансовый 3 7 3 2" xfId="1139"/>
    <cellStyle name="Финансовый 3 7 4" xfId="1137"/>
    <cellStyle name="Финансовый 3 8" xfId="108"/>
    <cellStyle name="Финансовый 3 8 2" xfId="1140"/>
    <cellStyle name="Финансовый 3 9" xfId="281"/>
    <cellStyle name="Финансовый 3 9 2" xfId="1141"/>
    <cellStyle name="Финансовый 4" xfId="1025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7"/>
  <sheetViews>
    <sheetView tabSelected="1" zoomScale="90" zoomScaleNormal="90" zoomScaleSheetLayoutView="80" workbookViewId="0">
      <selection activeCell="A7" sqref="A7:V7"/>
    </sheetView>
  </sheetViews>
  <sheetFormatPr defaultRowHeight="15.75" x14ac:dyDescent="0.25"/>
  <cols>
    <col min="1" max="1" width="10" style="4" customWidth="1"/>
    <col min="2" max="2" width="45.75" style="4" customWidth="1"/>
    <col min="3" max="3" width="13.125" style="5" customWidth="1"/>
    <col min="4" max="4" width="12.875" style="5" customWidth="1"/>
    <col min="5" max="5" width="13.375" style="5" customWidth="1"/>
    <col min="6" max="6" width="9" style="5" customWidth="1"/>
    <col min="7" max="7" width="9.125" style="5" customWidth="1"/>
    <col min="8" max="8" width="10.75" style="5" customWidth="1"/>
    <col min="9" max="9" width="11.625" style="5" customWidth="1"/>
    <col min="10" max="10" width="9.375" style="5" customWidth="1"/>
    <col min="11" max="11" width="10.375" style="5" customWidth="1"/>
    <col min="12" max="12" width="9.375" style="5" customWidth="1"/>
    <col min="13" max="13" width="8.125" style="5" customWidth="1"/>
    <col min="14" max="17" width="9.375" style="5" customWidth="1"/>
    <col min="18" max="18" width="7.875" style="5" customWidth="1"/>
    <col min="19" max="19" width="9.75" style="5" customWidth="1"/>
    <col min="20" max="20" width="10.75" style="5" customWidth="1"/>
    <col min="21" max="21" width="10.125" style="5" customWidth="1"/>
    <col min="22" max="22" width="45.375" style="5" customWidth="1"/>
    <col min="23" max="23" width="22.75" style="2" customWidth="1"/>
    <col min="24" max="61" width="10.625" style="2" customWidth="1"/>
    <col min="62" max="62" width="12.125" style="2" customWidth="1"/>
    <col min="63" max="63" width="11.5" style="2" customWidth="1"/>
    <col min="64" max="64" width="14.125" style="2" customWidth="1"/>
    <col min="65" max="65" width="15.125" style="2" customWidth="1"/>
    <col min="66" max="66" width="13" style="2" customWidth="1"/>
    <col min="67" max="67" width="11.75" style="2" customWidth="1"/>
    <col min="68" max="68" width="17.5" style="2" customWidth="1"/>
    <col min="69" max="16384" width="9" style="2"/>
  </cols>
  <sheetData>
    <row r="1" spans="1:22" ht="24" customHeight="1" x14ac:dyDescent="0.25">
      <c r="K1" s="6"/>
      <c r="V1" s="45" t="s">
        <v>10</v>
      </c>
    </row>
    <row r="2" spans="1:22" ht="25.5" customHeight="1" x14ac:dyDescent="0.25">
      <c r="K2" s="6"/>
      <c r="V2" s="46" t="s">
        <v>0</v>
      </c>
    </row>
    <row r="3" spans="1:22" ht="19.5" customHeight="1" x14ac:dyDescent="0.25">
      <c r="V3" s="46" t="s">
        <v>46</v>
      </c>
    </row>
    <row r="4" spans="1:22" s="1" customFormat="1" ht="21.75" customHeight="1" x14ac:dyDescent="0.25">
      <c r="A4" s="72" t="s">
        <v>45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22" s="1" customFormat="1" ht="21.75" customHeight="1" x14ac:dyDescent="0.25">
      <c r="A5" s="73" t="s">
        <v>994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s="1" customFormat="1" ht="23.25" customHeight="1" x14ac:dyDescent="0.25">
      <c r="A6" s="7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" customFormat="1" ht="29.25" customHeight="1" x14ac:dyDescent="0.25">
      <c r="A7" s="73" t="s">
        <v>320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2" ht="22.5" customHeight="1" x14ac:dyDescent="0.25">
      <c r="A8" s="74" t="s">
        <v>16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</row>
    <row r="9" spans="1:22" ht="23.25" customHeight="1" x14ac:dyDescent="0.25">
      <c r="A9" s="75" t="s">
        <v>321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</row>
    <row r="10" spans="1:22" ht="20.25" customHeight="1" x14ac:dyDescent="0.25">
      <c r="A10" s="70" t="s">
        <v>732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</row>
    <row r="11" spans="1:22" ht="18" customHeight="1" x14ac:dyDescent="0.25">
      <c r="A11" s="70" t="s">
        <v>733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9"/>
      <c r="V11" s="9"/>
    </row>
    <row r="12" spans="1:22" ht="24.75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105.75" customHeight="1" x14ac:dyDescent="0.25">
      <c r="A13" s="76" t="s">
        <v>11</v>
      </c>
      <c r="B13" s="79" t="s">
        <v>8</v>
      </c>
      <c r="C13" s="80" t="s">
        <v>2</v>
      </c>
      <c r="D13" s="67" t="s">
        <v>47</v>
      </c>
      <c r="E13" s="67" t="s">
        <v>322</v>
      </c>
      <c r="F13" s="80" t="s">
        <v>323</v>
      </c>
      <c r="G13" s="80"/>
      <c r="H13" s="81" t="s">
        <v>324</v>
      </c>
      <c r="I13" s="82"/>
      <c r="J13" s="82"/>
      <c r="K13" s="82"/>
      <c r="L13" s="82"/>
      <c r="M13" s="82"/>
      <c r="N13" s="82"/>
      <c r="O13" s="82"/>
      <c r="P13" s="82"/>
      <c r="Q13" s="83"/>
      <c r="R13" s="80" t="s">
        <v>49</v>
      </c>
      <c r="S13" s="80"/>
      <c r="T13" s="90" t="s">
        <v>44</v>
      </c>
      <c r="U13" s="91"/>
      <c r="V13" s="67" t="s">
        <v>3</v>
      </c>
    </row>
    <row r="14" spans="1:22" ht="42.75" customHeight="1" x14ac:dyDescent="0.25">
      <c r="A14" s="77"/>
      <c r="B14" s="79"/>
      <c r="C14" s="80"/>
      <c r="D14" s="68"/>
      <c r="E14" s="68"/>
      <c r="F14" s="94" t="s">
        <v>1</v>
      </c>
      <c r="G14" s="94" t="s">
        <v>7</v>
      </c>
      <c r="H14" s="80" t="s">
        <v>6</v>
      </c>
      <c r="I14" s="80"/>
      <c r="J14" s="80" t="s">
        <v>12</v>
      </c>
      <c r="K14" s="80"/>
      <c r="L14" s="80" t="s">
        <v>13</v>
      </c>
      <c r="M14" s="80"/>
      <c r="N14" s="90" t="s">
        <v>14</v>
      </c>
      <c r="O14" s="91"/>
      <c r="P14" s="90" t="s">
        <v>15</v>
      </c>
      <c r="Q14" s="91"/>
      <c r="R14" s="94" t="s">
        <v>1</v>
      </c>
      <c r="S14" s="94" t="s">
        <v>7</v>
      </c>
      <c r="T14" s="101"/>
      <c r="U14" s="102"/>
      <c r="V14" s="68"/>
    </row>
    <row r="15" spans="1:22" ht="51.75" hidden="1" customHeight="1" x14ac:dyDescent="0.25">
      <c r="A15" s="77"/>
      <c r="B15" s="79"/>
      <c r="C15" s="80"/>
      <c r="D15" s="68"/>
      <c r="E15" s="68"/>
      <c r="F15" s="94"/>
      <c r="G15" s="94"/>
      <c r="H15" s="80"/>
      <c r="I15" s="80"/>
      <c r="J15" s="80"/>
      <c r="K15" s="80"/>
      <c r="L15" s="80"/>
      <c r="M15" s="80"/>
      <c r="N15" s="92"/>
      <c r="O15" s="93"/>
      <c r="P15" s="92"/>
      <c r="Q15" s="93"/>
      <c r="R15" s="94"/>
      <c r="S15" s="94"/>
      <c r="T15" s="92"/>
      <c r="U15" s="93"/>
      <c r="V15" s="68"/>
    </row>
    <row r="16" spans="1:22" ht="84.75" customHeight="1" x14ac:dyDescent="0.25">
      <c r="A16" s="78"/>
      <c r="B16" s="79"/>
      <c r="C16" s="80"/>
      <c r="D16" s="69"/>
      <c r="E16" s="69"/>
      <c r="F16" s="94"/>
      <c r="G16" s="94"/>
      <c r="H16" s="10" t="s">
        <v>5</v>
      </c>
      <c r="I16" s="10" t="s">
        <v>9</v>
      </c>
      <c r="J16" s="10" t="s">
        <v>5</v>
      </c>
      <c r="K16" s="10" t="s">
        <v>9</v>
      </c>
      <c r="L16" s="10" t="s">
        <v>5</v>
      </c>
      <c r="M16" s="10" t="s">
        <v>9</v>
      </c>
      <c r="N16" s="11" t="s">
        <v>5</v>
      </c>
      <c r="O16" s="11" t="s">
        <v>9</v>
      </c>
      <c r="P16" s="11" t="s">
        <v>5</v>
      </c>
      <c r="Q16" s="11" t="s">
        <v>9</v>
      </c>
      <c r="R16" s="94"/>
      <c r="S16" s="94"/>
      <c r="T16" s="12" t="s">
        <v>48</v>
      </c>
      <c r="U16" s="12" t="s">
        <v>4</v>
      </c>
      <c r="V16" s="69"/>
    </row>
    <row r="17" spans="1:22" ht="20.25" customHeight="1" x14ac:dyDescent="0.25">
      <c r="A17" s="13">
        <v>1</v>
      </c>
      <c r="B17" s="13">
        <f t="shared" ref="B17:V17" si="0">A17+1</f>
        <v>2</v>
      </c>
      <c r="C17" s="10">
        <f t="shared" si="0"/>
        <v>3</v>
      </c>
      <c r="D17" s="10">
        <f t="shared" si="0"/>
        <v>4</v>
      </c>
      <c r="E17" s="10">
        <f t="shared" si="0"/>
        <v>5</v>
      </c>
      <c r="F17" s="10">
        <f t="shared" si="0"/>
        <v>6</v>
      </c>
      <c r="G17" s="10">
        <f t="shared" si="0"/>
        <v>7</v>
      </c>
      <c r="H17" s="10">
        <f t="shared" si="0"/>
        <v>8</v>
      </c>
      <c r="I17" s="10">
        <f t="shared" si="0"/>
        <v>9</v>
      </c>
      <c r="J17" s="10">
        <f t="shared" si="0"/>
        <v>10</v>
      </c>
      <c r="K17" s="10">
        <f t="shared" si="0"/>
        <v>11</v>
      </c>
      <c r="L17" s="10">
        <f t="shared" si="0"/>
        <v>12</v>
      </c>
      <c r="M17" s="10">
        <f t="shared" si="0"/>
        <v>13</v>
      </c>
      <c r="N17" s="10">
        <f t="shared" si="0"/>
        <v>14</v>
      </c>
      <c r="O17" s="10">
        <f t="shared" si="0"/>
        <v>15</v>
      </c>
      <c r="P17" s="10">
        <f t="shared" si="0"/>
        <v>16</v>
      </c>
      <c r="Q17" s="10">
        <f t="shared" si="0"/>
        <v>17</v>
      </c>
      <c r="R17" s="10">
        <f t="shared" si="0"/>
        <v>18</v>
      </c>
      <c r="S17" s="10">
        <f t="shared" si="0"/>
        <v>19</v>
      </c>
      <c r="T17" s="10">
        <f t="shared" si="0"/>
        <v>20</v>
      </c>
      <c r="U17" s="10">
        <f t="shared" si="0"/>
        <v>21</v>
      </c>
      <c r="V17" s="10">
        <f t="shared" si="0"/>
        <v>22</v>
      </c>
    </row>
    <row r="18" spans="1:22" x14ac:dyDescent="0.25">
      <c r="A18" s="14" t="s">
        <v>51</v>
      </c>
      <c r="B18" s="15" t="s">
        <v>17</v>
      </c>
      <c r="C18" s="47" t="s">
        <v>52</v>
      </c>
      <c r="D18" s="16">
        <v>34.733845630378994</v>
      </c>
      <c r="E18" s="16">
        <f>E19+E20+E21+E22+E23+E24</f>
        <v>49.061387147999994</v>
      </c>
      <c r="F18" s="17" t="s">
        <v>50</v>
      </c>
      <c r="G18" s="16">
        <v>297.81601595000006</v>
      </c>
      <c r="H18" s="16">
        <f>J18+L18+N18+P18</f>
        <v>297.81601595000006</v>
      </c>
      <c r="I18" s="16">
        <f>K18+M18+O18+Q18</f>
        <v>277.87595555000001</v>
      </c>
      <c r="J18" s="16">
        <f t="shared" ref="J18:O18" si="1">J19+J20+J21+J22+J23+J24</f>
        <v>30.957681960893563</v>
      </c>
      <c r="K18" s="16">
        <f t="shared" si="1"/>
        <v>43.623718589999996</v>
      </c>
      <c r="L18" s="16">
        <f t="shared" si="1"/>
        <v>116.20657159377491</v>
      </c>
      <c r="M18" s="17">
        <f t="shared" si="1"/>
        <v>30.007436889999997</v>
      </c>
      <c r="N18" s="16">
        <f t="shared" si="1"/>
        <v>77.517100436080028</v>
      </c>
      <c r="O18" s="17">
        <f t="shared" si="1"/>
        <v>49.44534852000001</v>
      </c>
      <c r="P18" s="16">
        <f>P19+P20+P22+P24</f>
        <v>73.134661959251545</v>
      </c>
      <c r="Q18" s="17">
        <f>Q19+Q20+Q22+Q24</f>
        <v>154.79945155000001</v>
      </c>
      <c r="R18" s="17" t="s">
        <v>50</v>
      </c>
      <c r="S18" s="16">
        <f t="shared" ref="S18:S86" si="2">G18-I18</f>
        <v>19.94006040000005</v>
      </c>
      <c r="T18" s="16">
        <f>(K18+M18+O18+Q18)-(J18+L18+N18+P18)</f>
        <v>-19.94006040000005</v>
      </c>
      <c r="U18" s="18">
        <f>(K18+M18+O18+Q18)/(J18+L18+N18+P18)*100-100</f>
        <v>-6.6954291683721152</v>
      </c>
      <c r="V18" s="48" t="s">
        <v>50</v>
      </c>
    </row>
    <row r="19" spans="1:22" x14ac:dyDescent="0.25">
      <c r="A19" s="14" t="s">
        <v>53</v>
      </c>
      <c r="B19" s="15" t="s">
        <v>54</v>
      </c>
      <c r="C19" s="47" t="s">
        <v>52</v>
      </c>
      <c r="D19" s="16">
        <v>14.480973987574979</v>
      </c>
      <c r="E19" s="16">
        <f>E26</f>
        <v>40.801843355999999</v>
      </c>
      <c r="F19" s="17" t="s">
        <v>50</v>
      </c>
      <c r="G19" s="16">
        <v>94.700242728320006</v>
      </c>
      <c r="H19" s="16">
        <f t="shared" ref="H19:I86" si="3">J19+L19+N19+P19</f>
        <v>94.700242728320006</v>
      </c>
      <c r="I19" s="16">
        <f t="shared" ref="I19:I82" si="4">K19+M19+O19+Q19</f>
        <v>103.96036365000001</v>
      </c>
      <c r="J19" s="16">
        <f t="shared" ref="J19:P19" si="5">J26</f>
        <v>23.032870432080003</v>
      </c>
      <c r="K19" s="16">
        <f t="shared" si="5"/>
        <v>12.232261580000001</v>
      </c>
      <c r="L19" s="16">
        <f t="shared" si="5"/>
        <v>23.032869432080002</v>
      </c>
      <c r="M19" s="17">
        <f t="shared" si="5"/>
        <v>17.11922229</v>
      </c>
      <c r="N19" s="16">
        <f t="shared" si="5"/>
        <v>23.032866432080002</v>
      </c>
      <c r="O19" s="17">
        <f t="shared" si="5"/>
        <v>33.352740130000008</v>
      </c>
      <c r="P19" s="16">
        <f t="shared" si="5"/>
        <v>25.601636432079999</v>
      </c>
      <c r="Q19" s="17">
        <f t="shared" ref="Q19" si="6">Q26</f>
        <v>41.256139650000001</v>
      </c>
      <c r="R19" s="17" t="s">
        <v>50</v>
      </c>
      <c r="S19" s="16">
        <f t="shared" si="2"/>
        <v>-9.2601209216799987</v>
      </c>
      <c r="T19" s="16">
        <f t="shared" ref="T19:T82" si="7">(K19+M19+O19+Q19)-(J19+L19+N19+P19)</f>
        <v>9.2601209216799987</v>
      </c>
      <c r="U19" s="18">
        <f t="shared" ref="U19:U60" si="8">(K19+M19+O19+Q19)/(J19+L19+N19+P19)*100-100</f>
        <v>9.7783497221288371</v>
      </c>
      <c r="V19" s="48" t="s">
        <v>50</v>
      </c>
    </row>
    <row r="20" spans="1:22" ht="25.5" x14ac:dyDescent="0.25">
      <c r="A20" s="14" t="s">
        <v>55</v>
      </c>
      <c r="B20" s="15" t="s">
        <v>56</v>
      </c>
      <c r="C20" s="47" t="s">
        <v>52</v>
      </c>
      <c r="D20" s="16">
        <v>16.520314779488359</v>
      </c>
      <c r="E20" s="16">
        <f>E162</f>
        <v>6.3363848039999997</v>
      </c>
      <c r="F20" s="17" t="s">
        <v>50</v>
      </c>
      <c r="G20" s="16">
        <v>133.95458524213561</v>
      </c>
      <c r="H20" s="16">
        <f t="shared" si="3"/>
        <v>133.95458524213561</v>
      </c>
      <c r="I20" s="16">
        <f t="shared" si="4"/>
        <v>99.295148390000008</v>
      </c>
      <c r="J20" s="16">
        <f t="shared" ref="J20:P20" si="9">J162</f>
        <v>6.5123512313559324</v>
      </c>
      <c r="K20" s="16">
        <f t="shared" si="9"/>
        <v>21.773626309999997</v>
      </c>
      <c r="L20" s="16">
        <f t="shared" si="9"/>
        <v>69.937562292203381</v>
      </c>
      <c r="M20" s="17">
        <f t="shared" si="9"/>
        <v>9.7814750599999964</v>
      </c>
      <c r="N20" s="16">
        <f t="shared" si="9"/>
        <v>32.387612374508493</v>
      </c>
      <c r="O20" s="17">
        <f t="shared" si="9"/>
        <v>13.646142220000002</v>
      </c>
      <c r="P20" s="16">
        <f t="shared" si="9"/>
        <v>25.117059344067798</v>
      </c>
      <c r="Q20" s="17">
        <f t="shared" ref="Q20" si="10">Q162</f>
        <v>54.093904800000004</v>
      </c>
      <c r="R20" s="17" t="s">
        <v>50</v>
      </c>
      <c r="S20" s="16">
        <f t="shared" si="2"/>
        <v>34.659436852135599</v>
      </c>
      <c r="T20" s="16">
        <f t="shared" si="7"/>
        <v>-34.659436852135599</v>
      </c>
      <c r="U20" s="18">
        <f t="shared" si="8"/>
        <v>-25.874020504401088</v>
      </c>
      <c r="V20" s="48" t="s">
        <v>50</v>
      </c>
    </row>
    <row r="21" spans="1:22" ht="38.25" x14ac:dyDescent="0.25">
      <c r="A21" s="14" t="s">
        <v>57</v>
      </c>
      <c r="B21" s="15" t="s">
        <v>58</v>
      </c>
      <c r="C21" s="47" t="s">
        <v>52</v>
      </c>
      <c r="D21" s="16">
        <v>0</v>
      </c>
      <c r="E21" s="16">
        <f>E446</f>
        <v>0</v>
      </c>
      <c r="F21" s="17" t="s">
        <v>50</v>
      </c>
      <c r="G21" s="16">
        <v>0</v>
      </c>
      <c r="H21" s="16">
        <f t="shared" si="3"/>
        <v>0</v>
      </c>
      <c r="I21" s="16">
        <f t="shared" si="4"/>
        <v>0</v>
      </c>
      <c r="J21" s="16">
        <f t="shared" ref="J21:O21" si="11">J446</f>
        <v>0</v>
      </c>
      <c r="K21" s="16">
        <f t="shared" si="11"/>
        <v>0</v>
      </c>
      <c r="L21" s="16">
        <f t="shared" si="11"/>
        <v>0</v>
      </c>
      <c r="M21" s="17">
        <f t="shared" si="11"/>
        <v>0</v>
      </c>
      <c r="N21" s="16">
        <f t="shared" si="11"/>
        <v>0</v>
      </c>
      <c r="O21" s="17">
        <f t="shared" si="11"/>
        <v>0</v>
      </c>
      <c r="P21" s="16">
        <v>0</v>
      </c>
      <c r="Q21" s="17">
        <v>0</v>
      </c>
      <c r="R21" s="17" t="s">
        <v>50</v>
      </c>
      <c r="S21" s="16">
        <f t="shared" si="2"/>
        <v>0</v>
      </c>
      <c r="T21" s="16">
        <f t="shared" si="7"/>
        <v>0</v>
      </c>
      <c r="U21" s="18">
        <v>0</v>
      </c>
      <c r="V21" s="48" t="s">
        <v>50</v>
      </c>
    </row>
    <row r="22" spans="1:22" ht="25.5" x14ac:dyDescent="0.25">
      <c r="A22" s="14" t="s">
        <v>59</v>
      </c>
      <c r="B22" s="15" t="s">
        <v>60</v>
      </c>
      <c r="C22" s="47" t="s">
        <v>52</v>
      </c>
      <c r="D22" s="16">
        <v>3.7325568633156565</v>
      </c>
      <c r="E22" s="16">
        <f>E449</f>
        <v>1.1462098439999999</v>
      </c>
      <c r="F22" s="17" t="s">
        <v>50</v>
      </c>
      <c r="G22" s="16">
        <v>24.219407979544428</v>
      </c>
      <c r="H22" s="16">
        <f t="shared" si="3"/>
        <v>24.219407979544428</v>
      </c>
      <c r="I22" s="16">
        <f t="shared" si="4"/>
        <v>42.871311410000004</v>
      </c>
      <c r="J22" s="16">
        <f t="shared" ref="J22:O22" si="12">J449</f>
        <v>1.4124602974576277</v>
      </c>
      <c r="K22" s="16">
        <f t="shared" si="12"/>
        <v>0.86449767</v>
      </c>
      <c r="L22" s="16">
        <f t="shared" si="12"/>
        <v>4.3464498694915248</v>
      </c>
      <c r="M22" s="17">
        <f t="shared" si="12"/>
        <v>3.2460601500000004</v>
      </c>
      <c r="N22" s="16">
        <f t="shared" si="12"/>
        <v>15.021621629491531</v>
      </c>
      <c r="O22" s="17">
        <f t="shared" si="12"/>
        <v>2.4464661700000003</v>
      </c>
      <c r="P22" s="16">
        <v>3.4388761831037424</v>
      </c>
      <c r="Q22" s="17">
        <f>Q449</f>
        <v>36.314287419999999</v>
      </c>
      <c r="R22" s="17" t="s">
        <v>50</v>
      </c>
      <c r="S22" s="16">
        <f t="shared" si="2"/>
        <v>-18.651903430455576</v>
      </c>
      <c r="T22" s="16">
        <f t="shared" si="7"/>
        <v>18.651903430455576</v>
      </c>
      <c r="U22" s="18">
        <f t="shared" si="8"/>
        <v>77.012218656248194</v>
      </c>
      <c r="V22" s="48" t="s">
        <v>50</v>
      </c>
    </row>
    <row r="23" spans="1:22" ht="25.5" x14ac:dyDescent="0.25">
      <c r="A23" s="14" t="s">
        <v>61</v>
      </c>
      <c r="B23" s="15" t="s">
        <v>62</v>
      </c>
      <c r="C23" s="47" t="s">
        <v>52</v>
      </c>
      <c r="D23" s="16">
        <v>0</v>
      </c>
      <c r="E23" s="16">
        <f>E501</f>
        <v>0</v>
      </c>
      <c r="F23" s="17" t="s">
        <v>50</v>
      </c>
      <c r="G23" s="16">
        <v>0</v>
      </c>
      <c r="H23" s="16">
        <f t="shared" si="3"/>
        <v>0</v>
      </c>
      <c r="I23" s="16">
        <f t="shared" si="4"/>
        <v>0</v>
      </c>
      <c r="J23" s="16">
        <f t="shared" ref="J23:O24" si="13">J501</f>
        <v>0</v>
      </c>
      <c r="K23" s="16">
        <f t="shared" si="13"/>
        <v>0</v>
      </c>
      <c r="L23" s="16">
        <f t="shared" si="13"/>
        <v>0</v>
      </c>
      <c r="M23" s="17">
        <f t="shared" si="13"/>
        <v>0</v>
      </c>
      <c r="N23" s="16">
        <f t="shared" si="13"/>
        <v>0</v>
      </c>
      <c r="O23" s="17">
        <f t="shared" si="13"/>
        <v>0</v>
      </c>
      <c r="P23" s="16">
        <v>0</v>
      </c>
      <c r="Q23" s="17">
        <v>0</v>
      </c>
      <c r="R23" s="17" t="s">
        <v>50</v>
      </c>
      <c r="S23" s="16">
        <f t="shared" si="2"/>
        <v>0</v>
      </c>
      <c r="T23" s="16">
        <f t="shared" si="7"/>
        <v>0</v>
      </c>
      <c r="U23" s="18">
        <v>0</v>
      </c>
      <c r="V23" s="48" t="s">
        <v>50</v>
      </c>
    </row>
    <row r="24" spans="1:22" x14ac:dyDescent="0.25">
      <c r="A24" s="14" t="s">
        <v>63</v>
      </c>
      <c r="B24" s="15" t="s">
        <v>64</v>
      </c>
      <c r="C24" s="47" t="s">
        <v>52</v>
      </c>
      <c r="D24" s="16">
        <v>0</v>
      </c>
      <c r="E24" s="16">
        <f>E502</f>
        <v>0.77694914399999992</v>
      </c>
      <c r="F24" s="17" t="s">
        <v>50</v>
      </c>
      <c r="G24" s="16">
        <v>44.941780000000001</v>
      </c>
      <c r="H24" s="16">
        <f t="shared" si="3"/>
        <v>44.941780000000001</v>
      </c>
      <c r="I24" s="16">
        <f t="shared" si="4"/>
        <v>31.749132100000004</v>
      </c>
      <c r="J24" s="16">
        <f t="shared" si="13"/>
        <v>0</v>
      </c>
      <c r="K24" s="16">
        <f t="shared" si="13"/>
        <v>8.7533330300000003</v>
      </c>
      <c r="L24" s="16">
        <f t="shared" si="13"/>
        <v>18.889690000000002</v>
      </c>
      <c r="M24" s="17">
        <f t="shared" si="13"/>
        <v>-0.13932061000000001</v>
      </c>
      <c r="N24" s="16">
        <f t="shared" si="13"/>
        <v>7.0750000000000002</v>
      </c>
      <c r="O24" s="17">
        <f t="shared" si="13"/>
        <v>0</v>
      </c>
      <c r="P24" s="16">
        <f>P502</f>
        <v>18.97709</v>
      </c>
      <c r="Q24" s="17">
        <f>Q502</f>
        <v>23.135119680000003</v>
      </c>
      <c r="R24" s="17" t="s">
        <v>50</v>
      </c>
      <c r="S24" s="16">
        <f t="shared" si="2"/>
        <v>13.192647899999997</v>
      </c>
      <c r="T24" s="16">
        <f t="shared" si="7"/>
        <v>-13.192647899999997</v>
      </c>
      <c r="U24" s="18">
        <f t="shared" si="8"/>
        <v>-29.35497414655137</v>
      </c>
      <c r="V24" s="48" t="s">
        <v>50</v>
      </c>
    </row>
    <row r="25" spans="1:22" x14ac:dyDescent="0.25">
      <c r="A25" s="14" t="s">
        <v>65</v>
      </c>
      <c r="B25" s="15" t="s">
        <v>66</v>
      </c>
      <c r="C25" s="47" t="s">
        <v>52</v>
      </c>
      <c r="D25" s="16">
        <v>0</v>
      </c>
      <c r="E25" s="16">
        <v>0</v>
      </c>
      <c r="F25" s="17" t="s">
        <v>50</v>
      </c>
      <c r="G25" s="16">
        <v>0</v>
      </c>
      <c r="H25" s="16">
        <f t="shared" si="3"/>
        <v>0</v>
      </c>
      <c r="I25" s="16">
        <f t="shared" si="4"/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 t="s">
        <v>50</v>
      </c>
      <c r="S25" s="16">
        <f t="shared" si="2"/>
        <v>0</v>
      </c>
      <c r="T25" s="16">
        <f t="shared" si="7"/>
        <v>0</v>
      </c>
      <c r="U25" s="18">
        <v>0</v>
      </c>
      <c r="V25" s="48" t="s">
        <v>50</v>
      </c>
    </row>
    <row r="26" spans="1:22" ht="28.5" customHeight="1" x14ac:dyDescent="0.25">
      <c r="A26" s="14" t="s">
        <v>18</v>
      </c>
      <c r="B26" s="19" t="s">
        <v>67</v>
      </c>
      <c r="C26" s="49" t="s">
        <v>52</v>
      </c>
      <c r="D26" s="16">
        <v>14.480973987574979</v>
      </c>
      <c r="E26" s="16">
        <f>E27+E130+E133+E142</f>
        <v>40.801843355999999</v>
      </c>
      <c r="F26" s="17" t="s">
        <v>50</v>
      </c>
      <c r="G26" s="16">
        <v>94.700242728320006</v>
      </c>
      <c r="H26" s="16">
        <f t="shared" si="3"/>
        <v>94.700242728320006</v>
      </c>
      <c r="I26" s="16">
        <f t="shared" si="4"/>
        <v>103.96036365000001</v>
      </c>
      <c r="J26" s="16">
        <f>J27+J142</f>
        <v>23.032870432080003</v>
      </c>
      <c r="K26" s="16">
        <f>K27+K142</f>
        <v>12.232261580000001</v>
      </c>
      <c r="L26" s="16">
        <f>L27+L142</f>
        <v>23.032869432080002</v>
      </c>
      <c r="M26" s="17">
        <f>M27+M130+M133+M142</f>
        <v>17.11922229</v>
      </c>
      <c r="N26" s="16">
        <f>N27+N142</f>
        <v>23.032866432080002</v>
      </c>
      <c r="O26" s="17">
        <f>O27+O130+O133+O142</f>
        <v>33.352740130000008</v>
      </c>
      <c r="P26" s="16">
        <f>P27+P142</f>
        <v>25.601636432079999</v>
      </c>
      <c r="Q26" s="17">
        <f>Q27+Q143</f>
        <v>41.256139650000001</v>
      </c>
      <c r="R26" s="17" t="s">
        <v>50</v>
      </c>
      <c r="S26" s="16">
        <f t="shared" si="2"/>
        <v>-9.2601209216799987</v>
      </c>
      <c r="T26" s="16">
        <f t="shared" si="7"/>
        <v>9.2601209216799987</v>
      </c>
      <c r="U26" s="18">
        <f t="shared" si="8"/>
        <v>9.7783497221288371</v>
      </c>
      <c r="V26" s="67" t="s">
        <v>640</v>
      </c>
    </row>
    <row r="27" spans="1:22" ht="25.5" x14ac:dyDescent="0.25">
      <c r="A27" s="14" t="s">
        <v>19</v>
      </c>
      <c r="B27" s="19" t="s">
        <v>68</v>
      </c>
      <c r="C27" s="49" t="s">
        <v>52</v>
      </c>
      <c r="D27" s="16">
        <v>13.671825</v>
      </c>
      <c r="E27" s="16">
        <f>E28++E44+E60</f>
        <v>40.728808704000002</v>
      </c>
      <c r="F27" s="17" t="s">
        <v>50</v>
      </c>
      <c r="G27" s="16">
        <v>92.284817000000004</v>
      </c>
      <c r="H27" s="16">
        <f t="shared" si="3"/>
        <v>92.284817000000004</v>
      </c>
      <c r="I27" s="16">
        <f t="shared" si="4"/>
        <v>103.10421235000001</v>
      </c>
      <c r="J27" s="16">
        <f t="shared" ref="J27:Q27" si="14">J29+J44+J60</f>
        <v>22.429014000000002</v>
      </c>
      <c r="K27" s="16">
        <f t="shared" si="14"/>
        <v>11.867591040000001</v>
      </c>
      <c r="L27" s="16">
        <f t="shared" si="14"/>
        <v>22.429013000000001</v>
      </c>
      <c r="M27" s="17">
        <f t="shared" si="14"/>
        <v>16.90572332</v>
      </c>
      <c r="N27" s="16">
        <f t="shared" si="14"/>
        <v>22.429010000000002</v>
      </c>
      <c r="O27" s="17">
        <f t="shared" si="14"/>
        <v>33.215925080000005</v>
      </c>
      <c r="P27" s="16">
        <f t="shared" si="14"/>
        <v>24.997779999999999</v>
      </c>
      <c r="Q27" s="17">
        <f t="shared" si="14"/>
        <v>41.114972909999999</v>
      </c>
      <c r="R27" s="17" t="s">
        <v>50</v>
      </c>
      <c r="S27" s="16">
        <f t="shared" si="2"/>
        <v>-10.819395350000008</v>
      </c>
      <c r="T27" s="16">
        <f t="shared" si="7"/>
        <v>10.819395350000008</v>
      </c>
      <c r="U27" s="18">
        <f t="shared" si="8"/>
        <v>11.723917001428319</v>
      </c>
      <c r="V27" s="68"/>
    </row>
    <row r="28" spans="1:22" ht="38.25" x14ac:dyDescent="0.25">
      <c r="A28" s="14" t="s">
        <v>20</v>
      </c>
      <c r="B28" s="19" t="s">
        <v>69</v>
      </c>
      <c r="C28" s="49" t="s">
        <v>52</v>
      </c>
      <c r="D28" s="16">
        <v>0</v>
      </c>
      <c r="E28" s="16">
        <v>0</v>
      </c>
      <c r="F28" s="17" t="s">
        <v>50</v>
      </c>
      <c r="G28" s="16">
        <v>0</v>
      </c>
      <c r="H28" s="16">
        <f t="shared" si="3"/>
        <v>0</v>
      </c>
      <c r="I28" s="16">
        <f t="shared" si="4"/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7">
        <v>0</v>
      </c>
      <c r="P28" s="16">
        <v>0</v>
      </c>
      <c r="Q28" s="17">
        <v>0</v>
      </c>
      <c r="R28" s="17" t="s">
        <v>50</v>
      </c>
      <c r="S28" s="16">
        <f t="shared" si="2"/>
        <v>0</v>
      </c>
      <c r="T28" s="16">
        <f t="shared" si="7"/>
        <v>0</v>
      </c>
      <c r="U28" s="18">
        <v>0</v>
      </c>
      <c r="V28" s="68"/>
    </row>
    <row r="29" spans="1:22" ht="38.25" x14ac:dyDescent="0.25">
      <c r="A29" s="20" t="s">
        <v>20</v>
      </c>
      <c r="B29" s="21" t="s">
        <v>70</v>
      </c>
      <c r="C29" s="50" t="s">
        <v>52</v>
      </c>
      <c r="D29" s="16">
        <v>0</v>
      </c>
      <c r="E29" s="16">
        <v>0</v>
      </c>
      <c r="F29" s="17" t="s">
        <v>50</v>
      </c>
      <c r="G29" s="16">
        <v>24.810683000000001</v>
      </c>
      <c r="H29" s="16">
        <f t="shared" si="3"/>
        <v>24.810683000000001</v>
      </c>
      <c r="I29" s="16">
        <f t="shared" si="4"/>
        <v>13.494239129999999</v>
      </c>
      <c r="J29" s="16">
        <f>SUM(J30:J42)</f>
        <v>6.2026700000000003</v>
      </c>
      <c r="K29" s="16">
        <f>SUM(K30:K42)</f>
        <v>7.2734900699999994</v>
      </c>
      <c r="L29" s="16">
        <f>L38+L39+L40</f>
        <v>6.2026729999999999</v>
      </c>
      <c r="M29" s="17">
        <f>SUM(M30:M42)</f>
        <v>1.89366926</v>
      </c>
      <c r="N29" s="16">
        <f>N38+N39+N40</f>
        <v>6.2026700000000003</v>
      </c>
      <c r="O29" s="17">
        <f>SUM(O30:O42)</f>
        <v>2.5952342399999999</v>
      </c>
      <c r="P29" s="16">
        <f>P38+P39+P40</f>
        <v>6.2026700000000003</v>
      </c>
      <c r="Q29" s="17">
        <f>SUM(Q30:Q42)</f>
        <v>1.73184556</v>
      </c>
      <c r="R29" s="17" t="s">
        <v>50</v>
      </c>
      <c r="S29" s="16">
        <f t="shared" si="2"/>
        <v>11.316443870000002</v>
      </c>
      <c r="T29" s="16">
        <f t="shared" si="7"/>
        <v>-11.316443870000002</v>
      </c>
      <c r="U29" s="18">
        <f t="shared" si="8"/>
        <v>-45.611174307454583</v>
      </c>
      <c r="V29" s="68"/>
    </row>
    <row r="30" spans="1:22" ht="38.25" x14ac:dyDescent="0.25">
      <c r="A30" s="22" t="s">
        <v>20</v>
      </c>
      <c r="B30" s="23" t="s">
        <v>436</v>
      </c>
      <c r="C30" s="51" t="s">
        <v>437</v>
      </c>
      <c r="D30" s="24">
        <v>0</v>
      </c>
      <c r="E30" s="24">
        <f>2759.78*1.2/1000000</f>
        <v>3.3117360000000005E-3</v>
      </c>
      <c r="F30" s="25" t="s">
        <v>50</v>
      </c>
      <c r="G30" s="24">
        <v>0</v>
      </c>
      <c r="H30" s="24">
        <f t="shared" si="3"/>
        <v>0</v>
      </c>
      <c r="I30" s="24">
        <f t="shared" si="4"/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5">
        <v>0</v>
      </c>
      <c r="P30" s="24">
        <v>0</v>
      </c>
      <c r="Q30" s="25">
        <v>0</v>
      </c>
      <c r="R30" s="25" t="s">
        <v>50</v>
      </c>
      <c r="S30" s="24">
        <f t="shared" si="2"/>
        <v>0</v>
      </c>
      <c r="T30" s="24">
        <f t="shared" si="7"/>
        <v>0</v>
      </c>
      <c r="U30" s="26">
        <v>0</v>
      </c>
      <c r="V30" s="68"/>
    </row>
    <row r="31" spans="1:22" ht="38.25" x14ac:dyDescent="0.25">
      <c r="A31" s="22" t="s">
        <v>20</v>
      </c>
      <c r="B31" s="23" t="s">
        <v>438</v>
      </c>
      <c r="C31" s="51" t="s">
        <v>439</v>
      </c>
      <c r="D31" s="24">
        <v>0</v>
      </c>
      <c r="E31" s="24">
        <f>(46427.2+18233.57)*1.2/1000000</f>
        <v>7.7592923999999994E-2</v>
      </c>
      <c r="F31" s="25" t="s">
        <v>50</v>
      </c>
      <c r="G31" s="24">
        <v>0</v>
      </c>
      <c r="H31" s="24">
        <f t="shared" si="3"/>
        <v>0</v>
      </c>
      <c r="I31" s="24">
        <f t="shared" si="4"/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5">
        <v>0</v>
      </c>
      <c r="P31" s="24">
        <v>0</v>
      </c>
      <c r="Q31" s="25">
        <v>0</v>
      </c>
      <c r="R31" s="25" t="s">
        <v>50</v>
      </c>
      <c r="S31" s="24">
        <f t="shared" si="2"/>
        <v>0</v>
      </c>
      <c r="T31" s="24">
        <f t="shared" si="7"/>
        <v>0</v>
      </c>
      <c r="U31" s="26">
        <v>0</v>
      </c>
      <c r="V31" s="68"/>
    </row>
    <row r="32" spans="1:22" ht="38.25" x14ac:dyDescent="0.25">
      <c r="A32" s="22" t="s">
        <v>20</v>
      </c>
      <c r="B32" s="23" t="s">
        <v>440</v>
      </c>
      <c r="C32" s="51" t="s">
        <v>441</v>
      </c>
      <c r="D32" s="24">
        <v>0</v>
      </c>
      <c r="E32" s="24">
        <f>8822.57*1.2/1000000</f>
        <v>1.0587083999999998E-2</v>
      </c>
      <c r="F32" s="25" t="s">
        <v>50</v>
      </c>
      <c r="G32" s="24">
        <v>0</v>
      </c>
      <c r="H32" s="24">
        <f t="shared" si="3"/>
        <v>0</v>
      </c>
      <c r="I32" s="24">
        <f t="shared" si="4"/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5">
        <v>0</v>
      </c>
      <c r="P32" s="24">
        <v>0</v>
      </c>
      <c r="Q32" s="25">
        <v>0</v>
      </c>
      <c r="R32" s="25" t="s">
        <v>50</v>
      </c>
      <c r="S32" s="24">
        <f t="shared" si="2"/>
        <v>0</v>
      </c>
      <c r="T32" s="24">
        <f t="shared" si="7"/>
        <v>0</v>
      </c>
      <c r="U32" s="26">
        <v>0</v>
      </c>
      <c r="V32" s="68"/>
    </row>
    <row r="33" spans="1:22" ht="39" x14ac:dyDescent="0.25">
      <c r="A33" s="22" t="s">
        <v>20</v>
      </c>
      <c r="B33" s="27" t="s">
        <v>442</v>
      </c>
      <c r="C33" s="52" t="s">
        <v>443</v>
      </c>
      <c r="D33" s="24">
        <v>0</v>
      </c>
      <c r="E33" s="24">
        <f>11508.29*1.2/1000000</f>
        <v>1.3809948000000001E-2</v>
      </c>
      <c r="F33" s="25" t="s">
        <v>50</v>
      </c>
      <c r="G33" s="24">
        <v>0</v>
      </c>
      <c r="H33" s="24">
        <f t="shared" si="3"/>
        <v>0</v>
      </c>
      <c r="I33" s="24">
        <f t="shared" si="4"/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5">
        <v>0</v>
      </c>
      <c r="P33" s="24">
        <v>0</v>
      </c>
      <c r="Q33" s="25">
        <v>0</v>
      </c>
      <c r="R33" s="25" t="s">
        <v>50</v>
      </c>
      <c r="S33" s="24">
        <f t="shared" si="2"/>
        <v>0</v>
      </c>
      <c r="T33" s="24">
        <f t="shared" si="7"/>
        <v>0</v>
      </c>
      <c r="U33" s="26">
        <v>0</v>
      </c>
      <c r="V33" s="68"/>
    </row>
    <row r="34" spans="1:22" ht="26.25" x14ac:dyDescent="0.25">
      <c r="A34" s="22" t="s">
        <v>20</v>
      </c>
      <c r="B34" s="27" t="s">
        <v>444</v>
      </c>
      <c r="C34" s="52" t="s">
        <v>445</v>
      </c>
      <c r="D34" s="24">
        <v>0</v>
      </c>
      <c r="E34" s="24">
        <f>24909.32*1.2/1000000</f>
        <v>2.9891183999999998E-2</v>
      </c>
      <c r="F34" s="25" t="s">
        <v>50</v>
      </c>
      <c r="G34" s="24">
        <v>0</v>
      </c>
      <c r="H34" s="24">
        <f t="shared" si="3"/>
        <v>0</v>
      </c>
      <c r="I34" s="24">
        <f t="shared" si="4"/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5">
        <v>0</v>
      </c>
      <c r="P34" s="24">
        <v>0</v>
      </c>
      <c r="Q34" s="25">
        <v>0</v>
      </c>
      <c r="R34" s="25" t="s">
        <v>50</v>
      </c>
      <c r="S34" s="24">
        <f t="shared" si="2"/>
        <v>0</v>
      </c>
      <c r="T34" s="24">
        <f t="shared" si="7"/>
        <v>0</v>
      </c>
      <c r="U34" s="26">
        <v>0</v>
      </c>
      <c r="V34" s="68"/>
    </row>
    <row r="35" spans="1:22" ht="38.25" x14ac:dyDescent="0.25">
      <c r="A35" s="22" t="s">
        <v>20</v>
      </c>
      <c r="B35" s="23" t="s">
        <v>446</v>
      </c>
      <c r="C35" s="53" t="s">
        <v>447</v>
      </c>
      <c r="D35" s="24">
        <v>0</v>
      </c>
      <c r="E35" s="24">
        <f>(19088.72+29834.59)*1.2/1000000</f>
        <v>5.8707971999999997E-2</v>
      </c>
      <c r="F35" s="25" t="s">
        <v>50</v>
      </c>
      <c r="G35" s="24">
        <v>0</v>
      </c>
      <c r="H35" s="24">
        <f t="shared" si="3"/>
        <v>0</v>
      </c>
      <c r="I35" s="24">
        <f t="shared" si="4"/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5">
        <v>0</v>
      </c>
      <c r="P35" s="24">
        <v>0</v>
      </c>
      <c r="Q35" s="25">
        <v>0</v>
      </c>
      <c r="R35" s="25" t="s">
        <v>50</v>
      </c>
      <c r="S35" s="24">
        <f t="shared" si="2"/>
        <v>0</v>
      </c>
      <c r="T35" s="24">
        <f t="shared" si="7"/>
        <v>0</v>
      </c>
      <c r="U35" s="26">
        <v>0</v>
      </c>
      <c r="V35" s="68"/>
    </row>
    <row r="36" spans="1:22" ht="38.25" x14ac:dyDescent="0.25">
      <c r="A36" s="22" t="s">
        <v>20</v>
      </c>
      <c r="B36" s="23" t="s">
        <v>448</v>
      </c>
      <c r="C36" s="53" t="s">
        <v>449</v>
      </c>
      <c r="D36" s="24">
        <v>0</v>
      </c>
      <c r="E36" s="24">
        <f>(43458.94+17769.58+27367.1+38142.67+109577.98+38439.55+109742+48316.26+49021.14+38755.62+29933+18891.07+14874+15921)*1.2/1000000</f>
        <v>0.72025189199999995</v>
      </c>
      <c r="F36" s="25" t="s">
        <v>50</v>
      </c>
      <c r="G36" s="24">
        <v>0</v>
      </c>
      <c r="H36" s="24">
        <f t="shared" si="3"/>
        <v>0</v>
      </c>
      <c r="I36" s="24">
        <f t="shared" si="4"/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5">
        <v>0</v>
      </c>
      <c r="P36" s="24">
        <v>0</v>
      </c>
      <c r="Q36" s="25">
        <v>0</v>
      </c>
      <c r="R36" s="25" t="s">
        <v>50</v>
      </c>
      <c r="S36" s="24">
        <f t="shared" si="2"/>
        <v>0</v>
      </c>
      <c r="T36" s="24">
        <f t="shared" si="7"/>
        <v>0</v>
      </c>
      <c r="U36" s="26">
        <v>0</v>
      </c>
      <c r="V36" s="68"/>
    </row>
    <row r="37" spans="1:22" ht="25.5" x14ac:dyDescent="0.25">
      <c r="A37" s="22" t="s">
        <v>20</v>
      </c>
      <c r="B37" s="23" t="s">
        <v>450</v>
      </c>
      <c r="C37" s="53" t="s">
        <v>451</v>
      </c>
      <c r="D37" s="24">
        <v>0</v>
      </c>
      <c r="E37" s="24">
        <f>5078702.88*1.2/1000000</f>
        <v>6.0944434559999996</v>
      </c>
      <c r="F37" s="25" t="s">
        <v>50</v>
      </c>
      <c r="G37" s="24">
        <v>0</v>
      </c>
      <c r="H37" s="24">
        <f t="shared" si="3"/>
        <v>0</v>
      </c>
      <c r="I37" s="24">
        <f t="shared" si="4"/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5">
        <v>0</v>
      </c>
      <c r="P37" s="24">
        <v>0</v>
      </c>
      <c r="Q37" s="25">
        <v>0</v>
      </c>
      <c r="R37" s="25" t="s">
        <v>50</v>
      </c>
      <c r="S37" s="24">
        <f t="shared" si="2"/>
        <v>0</v>
      </c>
      <c r="T37" s="24">
        <f t="shared" si="7"/>
        <v>0</v>
      </c>
      <c r="U37" s="26">
        <v>0</v>
      </c>
      <c r="V37" s="68"/>
    </row>
    <row r="38" spans="1:22" ht="38.25" x14ac:dyDescent="0.25">
      <c r="A38" s="22" t="s">
        <v>20</v>
      </c>
      <c r="B38" s="23" t="s">
        <v>641</v>
      </c>
      <c r="C38" s="53" t="s">
        <v>415</v>
      </c>
      <c r="D38" s="24">
        <v>0</v>
      </c>
      <c r="E38" s="24">
        <v>0</v>
      </c>
      <c r="F38" s="25" t="s">
        <v>50</v>
      </c>
      <c r="G38" s="24">
        <v>14.994303000000002</v>
      </c>
      <c r="H38" s="24">
        <f t="shared" si="3"/>
        <v>14.994303000000002</v>
      </c>
      <c r="I38" s="24">
        <f t="shared" si="4"/>
        <v>6.9057550700000006</v>
      </c>
      <c r="J38" s="24">
        <v>3.7485750000000002</v>
      </c>
      <c r="K38" s="24">
        <f>1911.83864/1000</f>
        <v>1.91183864</v>
      </c>
      <c r="L38" s="24">
        <v>3.7485780000000002</v>
      </c>
      <c r="M38" s="24">
        <v>1.7458513600000001</v>
      </c>
      <c r="N38" s="24">
        <v>3.7485750000000002</v>
      </c>
      <c r="O38" s="25">
        <v>1.5767555099999999</v>
      </c>
      <c r="P38" s="24">
        <v>3.7485750000000002</v>
      </c>
      <c r="Q38" s="25">
        <v>1.6713095600000001</v>
      </c>
      <c r="R38" s="25" t="s">
        <v>50</v>
      </c>
      <c r="S38" s="24">
        <f t="shared" si="2"/>
        <v>8.0885479300000007</v>
      </c>
      <c r="T38" s="24">
        <f t="shared" si="7"/>
        <v>-8.0885479300000007</v>
      </c>
      <c r="U38" s="26">
        <f t="shared" si="8"/>
        <v>-53.944140851362015</v>
      </c>
      <c r="V38" s="68"/>
    </row>
    <row r="39" spans="1:22" ht="25.5" x14ac:dyDescent="0.25">
      <c r="A39" s="22" t="s">
        <v>20</v>
      </c>
      <c r="B39" s="23" t="s">
        <v>642</v>
      </c>
      <c r="C39" s="53" t="s">
        <v>416</v>
      </c>
      <c r="D39" s="24">
        <v>0</v>
      </c>
      <c r="E39" s="24">
        <v>0</v>
      </c>
      <c r="F39" s="25" t="s">
        <v>50</v>
      </c>
      <c r="G39" s="24">
        <v>2.97845</v>
      </c>
      <c r="H39" s="24">
        <f t="shared" si="3"/>
        <v>2.97845</v>
      </c>
      <c r="I39" s="24">
        <f t="shared" si="4"/>
        <v>0.44330034000000001</v>
      </c>
      <c r="J39" s="24">
        <v>0.74461250000000001</v>
      </c>
      <c r="K39" s="24">
        <f>120983.69/1000000</f>
        <v>0.12098369</v>
      </c>
      <c r="L39" s="24">
        <v>0.74461250000000001</v>
      </c>
      <c r="M39" s="24">
        <v>0.1478179</v>
      </c>
      <c r="N39" s="24">
        <v>0.74461250000000001</v>
      </c>
      <c r="O39" s="25">
        <v>0.11396275</v>
      </c>
      <c r="P39" s="24">
        <v>0.74461250000000001</v>
      </c>
      <c r="Q39" s="25">
        <v>6.0536E-2</v>
      </c>
      <c r="R39" s="25" t="s">
        <v>50</v>
      </c>
      <c r="S39" s="24">
        <f t="shared" si="2"/>
        <v>2.5351496600000001</v>
      </c>
      <c r="T39" s="24">
        <f t="shared" si="7"/>
        <v>-2.5351496600000001</v>
      </c>
      <c r="U39" s="26">
        <f t="shared" si="8"/>
        <v>-85.1164081988954</v>
      </c>
      <c r="V39" s="68"/>
    </row>
    <row r="40" spans="1:22" ht="25.5" x14ac:dyDescent="0.25">
      <c r="A40" s="22" t="s">
        <v>20</v>
      </c>
      <c r="B40" s="23" t="s">
        <v>643</v>
      </c>
      <c r="C40" s="53" t="s">
        <v>417</v>
      </c>
      <c r="D40" s="24">
        <v>0</v>
      </c>
      <c r="E40" s="24">
        <v>0</v>
      </c>
      <c r="F40" s="25" t="s">
        <v>50</v>
      </c>
      <c r="G40" s="24">
        <v>6.8379300000000001</v>
      </c>
      <c r="H40" s="24">
        <f t="shared" si="3"/>
        <v>6.8379300000000001</v>
      </c>
      <c r="I40" s="24">
        <f t="shared" si="4"/>
        <v>5.1481666599999993</v>
      </c>
      <c r="J40" s="24">
        <v>1.7094825</v>
      </c>
      <c r="K40" s="24">
        <f>5098138.29/1000000</f>
        <v>5.0981382899999996</v>
      </c>
      <c r="L40" s="24">
        <v>1.7094825</v>
      </c>
      <c r="M40" s="24">
        <v>0</v>
      </c>
      <c r="N40" s="24">
        <v>1.7094825</v>
      </c>
      <c r="O40" s="25">
        <v>5.0028370000000003E-2</v>
      </c>
      <c r="P40" s="24">
        <v>1.7094825</v>
      </c>
      <c r="Q40" s="25">
        <v>0</v>
      </c>
      <c r="R40" s="25" t="s">
        <v>50</v>
      </c>
      <c r="S40" s="24">
        <f t="shared" si="2"/>
        <v>1.6897633400000007</v>
      </c>
      <c r="T40" s="24">
        <f t="shared" si="7"/>
        <v>-1.6897633400000007</v>
      </c>
      <c r="U40" s="26">
        <f t="shared" si="8"/>
        <v>-24.711620914516544</v>
      </c>
      <c r="V40" s="68"/>
    </row>
    <row r="41" spans="1:22" ht="25.5" x14ac:dyDescent="0.25">
      <c r="A41" s="22" t="s">
        <v>20</v>
      </c>
      <c r="B41" s="23" t="s">
        <v>644</v>
      </c>
      <c r="C41" s="53" t="s">
        <v>418</v>
      </c>
      <c r="D41" s="24">
        <v>0</v>
      </c>
      <c r="E41" s="24">
        <v>0</v>
      </c>
      <c r="F41" s="25" t="s">
        <v>50</v>
      </c>
      <c r="G41" s="24">
        <v>0</v>
      </c>
      <c r="H41" s="24">
        <f t="shared" si="3"/>
        <v>0</v>
      </c>
      <c r="I41" s="24">
        <f t="shared" si="4"/>
        <v>0.9970170599999999</v>
      </c>
      <c r="J41" s="24">
        <v>0</v>
      </c>
      <c r="K41" s="24">
        <f>142529.45/1000000</f>
        <v>0.14252945</v>
      </c>
      <c r="L41" s="24">
        <v>0</v>
      </c>
      <c r="M41" s="24">
        <v>0</v>
      </c>
      <c r="N41" s="24">
        <v>0</v>
      </c>
      <c r="O41" s="25">
        <v>0.85448760999999995</v>
      </c>
      <c r="P41" s="24">
        <v>0</v>
      </c>
      <c r="Q41" s="25">
        <v>0</v>
      </c>
      <c r="R41" s="25" t="s">
        <v>50</v>
      </c>
      <c r="S41" s="24">
        <f t="shared" si="2"/>
        <v>-0.9970170599999999</v>
      </c>
      <c r="T41" s="24">
        <f t="shared" si="7"/>
        <v>0.9970170599999999</v>
      </c>
      <c r="U41" s="26">
        <v>100</v>
      </c>
      <c r="V41" s="68"/>
    </row>
    <row r="42" spans="1:22" ht="25.5" x14ac:dyDescent="0.25">
      <c r="A42" s="22" t="s">
        <v>20</v>
      </c>
      <c r="B42" s="23" t="s">
        <v>419</v>
      </c>
      <c r="C42" s="53" t="s">
        <v>420</v>
      </c>
      <c r="D42" s="24">
        <v>0</v>
      </c>
      <c r="E42" s="24">
        <v>0</v>
      </c>
      <c r="F42" s="25" t="s">
        <v>50</v>
      </c>
      <c r="G42" s="24">
        <v>0</v>
      </c>
      <c r="H42" s="24">
        <f t="shared" si="3"/>
        <v>0</v>
      </c>
      <c r="I42" s="24">
        <f t="shared" si="4"/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5">
        <v>0</v>
      </c>
      <c r="P42" s="24">
        <v>0</v>
      </c>
      <c r="Q42" s="25">
        <v>0</v>
      </c>
      <c r="R42" s="25" t="s">
        <v>50</v>
      </c>
      <c r="S42" s="24">
        <f t="shared" si="2"/>
        <v>0</v>
      </c>
      <c r="T42" s="24">
        <f t="shared" si="7"/>
        <v>0</v>
      </c>
      <c r="U42" s="26">
        <v>100</v>
      </c>
      <c r="V42" s="68"/>
    </row>
    <row r="43" spans="1:22" ht="38.25" x14ac:dyDescent="0.25">
      <c r="A43" s="20" t="s">
        <v>20</v>
      </c>
      <c r="B43" s="21" t="s">
        <v>71</v>
      </c>
      <c r="C43" s="50" t="s">
        <v>52</v>
      </c>
      <c r="D43" s="16">
        <v>0</v>
      </c>
      <c r="E43" s="16">
        <v>0</v>
      </c>
      <c r="F43" s="17" t="s">
        <v>50</v>
      </c>
      <c r="G43" s="16">
        <v>0</v>
      </c>
      <c r="H43" s="16">
        <f t="shared" si="3"/>
        <v>0</v>
      </c>
      <c r="I43" s="16">
        <v>0</v>
      </c>
      <c r="J43" s="16">
        <v>0</v>
      </c>
      <c r="K43" s="16">
        <v>0</v>
      </c>
      <c r="L43" s="16">
        <v>0</v>
      </c>
      <c r="M43" s="17">
        <v>0</v>
      </c>
      <c r="N43" s="16">
        <v>0</v>
      </c>
      <c r="O43" s="17" t="s">
        <v>50</v>
      </c>
      <c r="P43" s="16">
        <v>0</v>
      </c>
      <c r="Q43" s="17">
        <v>0</v>
      </c>
      <c r="R43" s="17" t="s">
        <v>50</v>
      </c>
      <c r="S43" s="16">
        <f t="shared" si="2"/>
        <v>0</v>
      </c>
      <c r="T43" s="16">
        <v>0</v>
      </c>
      <c r="U43" s="18">
        <v>0</v>
      </c>
      <c r="V43" s="68"/>
    </row>
    <row r="44" spans="1:22" ht="38.25" x14ac:dyDescent="0.25">
      <c r="A44" s="14" t="s">
        <v>21</v>
      </c>
      <c r="B44" s="19" t="s">
        <v>72</v>
      </c>
      <c r="C44" s="49" t="s">
        <v>52</v>
      </c>
      <c r="D44" s="16">
        <v>0</v>
      </c>
      <c r="E44" s="16">
        <f>SUM(E45:E57)</f>
        <v>5.7439582080000005</v>
      </c>
      <c r="F44" s="17" t="s">
        <v>50</v>
      </c>
      <c r="G44" s="16">
        <v>15.81814</v>
      </c>
      <c r="H44" s="16">
        <f t="shared" si="3"/>
        <v>15.81814</v>
      </c>
      <c r="I44" s="16">
        <f t="shared" si="4"/>
        <v>30.832032270000003</v>
      </c>
      <c r="J44" s="16">
        <f t="shared" ref="J44:Q44" si="15">SUM(J45:J57)</f>
        <v>3.9545349999999999</v>
      </c>
      <c r="K44" s="16">
        <f t="shared" si="15"/>
        <v>3.58026899</v>
      </c>
      <c r="L44" s="16">
        <f t="shared" si="15"/>
        <v>3.9545349999999999</v>
      </c>
      <c r="M44" s="16">
        <f t="shared" si="15"/>
        <v>4.8332406799999994</v>
      </c>
      <c r="N44" s="16">
        <f t="shared" si="15"/>
        <v>3.9545349999999999</v>
      </c>
      <c r="O44" s="17">
        <f t="shared" si="15"/>
        <v>10.960798190000002</v>
      </c>
      <c r="P44" s="16">
        <f t="shared" si="15"/>
        <v>3.9545349999999999</v>
      </c>
      <c r="Q44" s="17">
        <f t="shared" si="15"/>
        <v>11.457724410000001</v>
      </c>
      <c r="R44" s="17" t="s">
        <v>50</v>
      </c>
      <c r="S44" s="16">
        <f t="shared" si="2"/>
        <v>-15.013892270000003</v>
      </c>
      <c r="T44" s="16">
        <f t="shared" si="7"/>
        <v>15.013892270000003</v>
      </c>
      <c r="U44" s="18">
        <f t="shared" si="8"/>
        <v>94.915661828761188</v>
      </c>
      <c r="V44" s="68"/>
    </row>
    <row r="45" spans="1:22" ht="42.75" customHeight="1" x14ac:dyDescent="0.25">
      <c r="A45" s="22" t="s">
        <v>21</v>
      </c>
      <c r="B45" s="23" t="s">
        <v>452</v>
      </c>
      <c r="C45" s="51" t="s">
        <v>453</v>
      </c>
      <c r="D45" s="24">
        <v>0</v>
      </c>
      <c r="E45" s="24">
        <f>7715*1.2/1000000</f>
        <v>9.2580000000000006E-3</v>
      </c>
      <c r="F45" s="25" t="s">
        <v>50</v>
      </c>
      <c r="G45" s="24">
        <v>0</v>
      </c>
      <c r="H45" s="24">
        <f t="shared" si="3"/>
        <v>0</v>
      </c>
      <c r="I45" s="24">
        <f t="shared" si="4"/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5">
        <v>0</v>
      </c>
      <c r="P45" s="24">
        <v>0</v>
      </c>
      <c r="Q45" s="25">
        <v>0</v>
      </c>
      <c r="R45" s="25" t="s">
        <v>50</v>
      </c>
      <c r="S45" s="24">
        <f t="shared" si="2"/>
        <v>0</v>
      </c>
      <c r="T45" s="24">
        <f t="shared" si="7"/>
        <v>0</v>
      </c>
      <c r="U45" s="26">
        <v>0</v>
      </c>
      <c r="V45" s="68"/>
    </row>
    <row r="46" spans="1:22" ht="42.75" customHeight="1" x14ac:dyDescent="0.25">
      <c r="A46" s="22" t="s">
        <v>21</v>
      </c>
      <c r="B46" s="23" t="s">
        <v>454</v>
      </c>
      <c r="C46" s="51" t="s">
        <v>455</v>
      </c>
      <c r="D46" s="24">
        <v>0</v>
      </c>
      <c r="E46" s="24">
        <f>50949.09*1.2/1000000</f>
        <v>6.1138907999999999E-2</v>
      </c>
      <c r="F46" s="25" t="s">
        <v>50</v>
      </c>
      <c r="G46" s="24">
        <v>0</v>
      </c>
      <c r="H46" s="24">
        <f t="shared" si="3"/>
        <v>0</v>
      </c>
      <c r="I46" s="24">
        <f t="shared" si="4"/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5">
        <v>0</v>
      </c>
      <c r="P46" s="24">
        <v>0</v>
      </c>
      <c r="Q46" s="25">
        <v>0</v>
      </c>
      <c r="R46" s="25" t="s">
        <v>50</v>
      </c>
      <c r="S46" s="24">
        <f t="shared" si="2"/>
        <v>0</v>
      </c>
      <c r="T46" s="24">
        <f t="shared" si="7"/>
        <v>0</v>
      </c>
      <c r="U46" s="26">
        <v>0</v>
      </c>
      <c r="V46" s="68"/>
    </row>
    <row r="47" spans="1:22" ht="42.75" customHeight="1" x14ac:dyDescent="0.25">
      <c r="A47" s="28" t="s">
        <v>21</v>
      </c>
      <c r="B47" s="27" t="s">
        <v>456</v>
      </c>
      <c r="C47" s="52" t="s">
        <v>457</v>
      </c>
      <c r="D47" s="24">
        <v>0</v>
      </c>
      <c r="E47" s="24">
        <f>(59375.34+63604.02+48121.08+30058.3+78113.76+226278.38+48834.89+43258.23+92)*1.2/1000000</f>
        <v>0.7172831999999999</v>
      </c>
      <c r="F47" s="25" t="s">
        <v>50</v>
      </c>
      <c r="G47" s="24">
        <v>0</v>
      </c>
      <c r="H47" s="24">
        <f t="shared" si="3"/>
        <v>0</v>
      </c>
      <c r="I47" s="24">
        <f t="shared" si="4"/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5">
        <v>0</v>
      </c>
      <c r="P47" s="24">
        <v>0</v>
      </c>
      <c r="Q47" s="25">
        <v>0</v>
      </c>
      <c r="R47" s="25" t="s">
        <v>50</v>
      </c>
      <c r="S47" s="24">
        <f t="shared" si="2"/>
        <v>0</v>
      </c>
      <c r="T47" s="24">
        <f t="shared" si="7"/>
        <v>0</v>
      </c>
      <c r="U47" s="26">
        <v>0</v>
      </c>
      <c r="V47" s="68"/>
    </row>
    <row r="48" spans="1:22" ht="42.75" customHeight="1" x14ac:dyDescent="0.25">
      <c r="A48" s="28" t="s">
        <v>21</v>
      </c>
      <c r="B48" s="27" t="s">
        <v>458</v>
      </c>
      <c r="C48" s="52" t="s">
        <v>459</v>
      </c>
      <c r="D48" s="24">
        <v>0</v>
      </c>
      <c r="E48" s="24">
        <f>(50278.56+54476.29+32864.11)*1.2/1000000</f>
        <v>0.165142752</v>
      </c>
      <c r="F48" s="25" t="s">
        <v>50</v>
      </c>
      <c r="G48" s="24">
        <v>0</v>
      </c>
      <c r="H48" s="24">
        <f t="shared" si="3"/>
        <v>0</v>
      </c>
      <c r="I48" s="24">
        <f t="shared" si="4"/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5">
        <v>0</v>
      </c>
      <c r="P48" s="24">
        <v>0</v>
      </c>
      <c r="Q48" s="25">
        <v>0</v>
      </c>
      <c r="R48" s="25" t="s">
        <v>50</v>
      </c>
      <c r="S48" s="24">
        <f t="shared" si="2"/>
        <v>0</v>
      </c>
      <c r="T48" s="24">
        <f t="shared" si="7"/>
        <v>0</v>
      </c>
      <c r="U48" s="26">
        <v>0</v>
      </c>
      <c r="V48" s="68"/>
    </row>
    <row r="49" spans="1:22" ht="42.75" customHeight="1" x14ac:dyDescent="0.25">
      <c r="A49" s="28" t="s">
        <v>21</v>
      </c>
      <c r="B49" s="27" t="s">
        <v>460</v>
      </c>
      <c r="C49" s="52" t="s">
        <v>461</v>
      </c>
      <c r="D49" s="24">
        <v>0</v>
      </c>
      <c r="E49" s="24">
        <f>(22839.33+40645.46+44939.54+98966.1+48469.75+50213.24)*1.2/1000000</f>
        <v>0.367288104</v>
      </c>
      <c r="F49" s="25" t="s">
        <v>50</v>
      </c>
      <c r="G49" s="24">
        <v>0</v>
      </c>
      <c r="H49" s="24">
        <f t="shared" si="3"/>
        <v>0</v>
      </c>
      <c r="I49" s="24">
        <f t="shared" si="4"/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5">
        <v>0</v>
      </c>
      <c r="P49" s="24">
        <v>0</v>
      </c>
      <c r="Q49" s="25">
        <v>0</v>
      </c>
      <c r="R49" s="25" t="s">
        <v>50</v>
      </c>
      <c r="S49" s="24">
        <f t="shared" si="2"/>
        <v>0</v>
      </c>
      <c r="T49" s="24">
        <f t="shared" si="7"/>
        <v>0</v>
      </c>
      <c r="U49" s="26">
        <v>0</v>
      </c>
      <c r="V49" s="68"/>
    </row>
    <row r="50" spans="1:22" ht="42.75" customHeight="1" x14ac:dyDescent="0.25">
      <c r="A50" s="28" t="s">
        <v>21</v>
      </c>
      <c r="B50" s="27" t="s">
        <v>446</v>
      </c>
      <c r="C50" s="52" t="s">
        <v>447</v>
      </c>
      <c r="D50" s="24">
        <v>0</v>
      </c>
      <c r="E50" s="24">
        <f>(34398.93+3597.36+37057.47+13371.36+30046.44+1700+40393.89+50562.62+47967.03+52433.99+197825.5+38418.6+46700.61+74755.25+19946+18082+48158.64+43668.43+17971+47605.43+33647.77+52880.72+17930+51483.87+69049.64+41047.6+28714.44+15836+17136+46448.8+42252.79+51425.57+17691.08+18153+278786.27+41703.59+36781.78+47965.63+53765.11+49130.03+31283.31)*1.2/1000000</f>
        <v>2.2893282600000009</v>
      </c>
      <c r="F50" s="25" t="s">
        <v>50</v>
      </c>
      <c r="G50" s="24">
        <v>0</v>
      </c>
      <c r="H50" s="24">
        <f t="shared" si="3"/>
        <v>0</v>
      </c>
      <c r="I50" s="24">
        <f t="shared" si="4"/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5">
        <v>0</v>
      </c>
      <c r="P50" s="24">
        <v>0</v>
      </c>
      <c r="Q50" s="25">
        <v>0</v>
      </c>
      <c r="R50" s="25" t="s">
        <v>50</v>
      </c>
      <c r="S50" s="24">
        <f t="shared" si="2"/>
        <v>0</v>
      </c>
      <c r="T50" s="24">
        <f t="shared" si="7"/>
        <v>0</v>
      </c>
      <c r="U50" s="26">
        <v>0</v>
      </c>
      <c r="V50" s="68"/>
    </row>
    <row r="51" spans="1:22" ht="42.75" customHeight="1" x14ac:dyDescent="0.25">
      <c r="A51" s="28" t="s">
        <v>21</v>
      </c>
      <c r="B51" s="27" t="s">
        <v>462</v>
      </c>
      <c r="C51" s="52" t="s">
        <v>463</v>
      </c>
      <c r="D51" s="24">
        <v>0</v>
      </c>
      <c r="E51" s="24">
        <f>(30110.57+47184.57+22941.38+55189.49+18083+18153+18020+900+54092.65+22994+30110.57+26643.82+30110.57+44941.17+750782.07+383028.2+45904.57+48899.66+41240.38+49812.63)*1.2/1000000</f>
        <v>2.0869707599999994</v>
      </c>
      <c r="F51" s="25" t="s">
        <v>50</v>
      </c>
      <c r="G51" s="24">
        <v>0</v>
      </c>
      <c r="H51" s="24">
        <f t="shared" si="3"/>
        <v>0</v>
      </c>
      <c r="I51" s="24">
        <f t="shared" si="4"/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5">
        <v>0</v>
      </c>
      <c r="P51" s="24">
        <v>0</v>
      </c>
      <c r="Q51" s="25">
        <v>0</v>
      </c>
      <c r="R51" s="25" t="s">
        <v>50</v>
      </c>
      <c r="S51" s="24">
        <f t="shared" si="2"/>
        <v>0</v>
      </c>
      <c r="T51" s="24">
        <f t="shared" si="7"/>
        <v>0</v>
      </c>
      <c r="U51" s="26">
        <v>0</v>
      </c>
      <c r="V51" s="68"/>
    </row>
    <row r="52" spans="1:22" ht="26.25" x14ac:dyDescent="0.25">
      <c r="A52" s="28" t="s">
        <v>21</v>
      </c>
      <c r="B52" s="27" t="s">
        <v>464</v>
      </c>
      <c r="C52" s="52" t="s">
        <v>465</v>
      </c>
      <c r="D52" s="24">
        <v>0</v>
      </c>
      <c r="E52" s="24">
        <f>39623.52*1.2/1000000</f>
        <v>4.7548223999999993E-2</v>
      </c>
      <c r="F52" s="25" t="s">
        <v>50</v>
      </c>
      <c r="G52" s="24">
        <v>0</v>
      </c>
      <c r="H52" s="24">
        <f t="shared" si="3"/>
        <v>0</v>
      </c>
      <c r="I52" s="24">
        <f t="shared" si="4"/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5">
        <v>0</v>
      </c>
      <c r="P52" s="24">
        <v>0</v>
      </c>
      <c r="Q52" s="25">
        <v>0</v>
      </c>
      <c r="R52" s="25" t="s">
        <v>50</v>
      </c>
      <c r="S52" s="24">
        <f t="shared" si="2"/>
        <v>0</v>
      </c>
      <c r="T52" s="24">
        <f t="shared" si="7"/>
        <v>0</v>
      </c>
      <c r="U52" s="26">
        <v>0</v>
      </c>
      <c r="V52" s="68"/>
    </row>
    <row r="53" spans="1:22" ht="26.25" x14ac:dyDescent="0.25">
      <c r="A53" s="22" t="s">
        <v>21</v>
      </c>
      <c r="B53" s="27" t="s">
        <v>651</v>
      </c>
      <c r="C53" s="53" t="s">
        <v>734</v>
      </c>
      <c r="D53" s="24">
        <v>0</v>
      </c>
      <c r="E53" s="24">
        <v>0</v>
      </c>
      <c r="F53" s="25" t="s">
        <v>50</v>
      </c>
      <c r="G53" s="24">
        <v>0</v>
      </c>
      <c r="H53" s="24">
        <f t="shared" ref="H53" si="16">J53+L53+N53+P53</f>
        <v>0</v>
      </c>
      <c r="I53" s="24">
        <f t="shared" si="4"/>
        <v>1.0065491899999999</v>
      </c>
      <c r="J53" s="24">
        <v>0</v>
      </c>
      <c r="K53" s="24">
        <v>0</v>
      </c>
      <c r="L53" s="24">
        <v>0</v>
      </c>
      <c r="M53" s="25">
        <v>0</v>
      </c>
      <c r="N53" s="24">
        <v>0</v>
      </c>
      <c r="O53" s="25">
        <v>0.48258635</v>
      </c>
      <c r="P53" s="24">
        <v>0</v>
      </c>
      <c r="Q53" s="25">
        <v>0.52396283999999993</v>
      </c>
      <c r="R53" s="25" t="s">
        <v>50</v>
      </c>
      <c r="S53" s="24">
        <f t="shared" si="2"/>
        <v>-1.0065491899999999</v>
      </c>
      <c r="T53" s="24">
        <f t="shared" si="7"/>
        <v>1.0065491899999999</v>
      </c>
      <c r="U53" s="26">
        <v>100</v>
      </c>
      <c r="V53" s="68"/>
    </row>
    <row r="54" spans="1:22" ht="26.25" x14ac:dyDescent="0.25">
      <c r="A54" s="22" t="s">
        <v>21</v>
      </c>
      <c r="B54" s="27" t="s">
        <v>645</v>
      </c>
      <c r="C54" s="53" t="s">
        <v>646</v>
      </c>
      <c r="D54" s="24">
        <v>0</v>
      </c>
      <c r="E54" s="24">
        <v>0</v>
      </c>
      <c r="F54" s="25" t="s">
        <v>50</v>
      </c>
      <c r="G54" s="24">
        <v>1.0171600000000001</v>
      </c>
      <c r="H54" s="24">
        <f t="shared" si="3"/>
        <v>1.0171600000000001</v>
      </c>
      <c r="I54" s="24">
        <f t="shared" si="4"/>
        <v>5.3495579199999996</v>
      </c>
      <c r="J54" s="24">
        <v>0.25429000000000002</v>
      </c>
      <c r="K54" s="24">
        <f>296021.47/1000000</f>
        <v>0.29602146999999995</v>
      </c>
      <c r="L54" s="24">
        <v>0.25429000000000002</v>
      </c>
      <c r="M54" s="24">
        <v>0.38527674000000001</v>
      </c>
      <c r="N54" s="24">
        <v>0.25429000000000002</v>
      </c>
      <c r="O54" s="25">
        <v>0.40991638999999996</v>
      </c>
      <c r="P54" s="24">
        <v>0.25429000000000002</v>
      </c>
      <c r="Q54" s="25">
        <v>4.2583433199999998</v>
      </c>
      <c r="R54" s="25" t="s">
        <v>50</v>
      </c>
      <c r="S54" s="24">
        <f t="shared" si="2"/>
        <v>-4.33239792</v>
      </c>
      <c r="T54" s="24">
        <f t="shared" si="7"/>
        <v>4.33239792</v>
      </c>
      <c r="U54" s="26">
        <f t="shared" si="8"/>
        <v>425.9308191434975</v>
      </c>
      <c r="V54" s="68"/>
    </row>
    <row r="55" spans="1:22" ht="26.25" x14ac:dyDescent="0.25">
      <c r="A55" s="22" t="s">
        <v>21</v>
      </c>
      <c r="B55" s="27" t="s">
        <v>647</v>
      </c>
      <c r="C55" s="53" t="s">
        <v>648</v>
      </c>
      <c r="D55" s="24">
        <v>0</v>
      </c>
      <c r="E55" s="24">
        <v>0</v>
      </c>
      <c r="F55" s="25" t="s">
        <v>50</v>
      </c>
      <c r="G55" s="24">
        <v>9.2442200000000003</v>
      </c>
      <c r="H55" s="24">
        <f t="shared" si="3"/>
        <v>9.2442200000000003</v>
      </c>
      <c r="I55" s="24">
        <f t="shared" si="4"/>
        <v>14.40354857</v>
      </c>
      <c r="J55" s="24">
        <v>2.3110550000000001</v>
      </c>
      <c r="K55" s="24">
        <f>2542018.38/1000000</f>
        <v>2.54201838</v>
      </c>
      <c r="L55" s="24">
        <v>2.3110550000000001</v>
      </c>
      <c r="M55" s="24">
        <v>4.4243623999999997</v>
      </c>
      <c r="N55" s="24">
        <v>2.3110550000000001</v>
      </c>
      <c r="O55" s="25">
        <v>5.0905257600000002</v>
      </c>
      <c r="P55" s="24">
        <v>2.3110550000000001</v>
      </c>
      <c r="Q55" s="25">
        <v>2.3466420299999999</v>
      </c>
      <c r="R55" s="25" t="s">
        <v>50</v>
      </c>
      <c r="S55" s="24">
        <f t="shared" si="2"/>
        <v>-5.1593285699999996</v>
      </c>
      <c r="T55" s="24">
        <f t="shared" si="7"/>
        <v>5.1593285699999996</v>
      </c>
      <c r="U55" s="26">
        <f t="shared" si="8"/>
        <v>55.811399663789928</v>
      </c>
      <c r="V55" s="68"/>
    </row>
    <row r="56" spans="1:22" ht="26.25" x14ac:dyDescent="0.25">
      <c r="A56" s="22" t="s">
        <v>21</v>
      </c>
      <c r="B56" s="27" t="s">
        <v>649</v>
      </c>
      <c r="C56" s="53" t="s">
        <v>650</v>
      </c>
      <c r="D56" s="24">
        <v>0</v>
      </c>
      <c r="E56" s="24">
        <v>0</v>
      </c>
      <c r="F56" s="25" t="s">
        <v>50</v>
      </c>
      <c r="G56" s="24">
        <v>5.5567599999999997</v>
      </c>
      <c r="H56" s="24">
        <f t="shared" si="3"/>
        <v>5.5567599999999997</v>
      </c>
      <c r="I56" s="24">
        <f t="shared" si="4"/>
        <v>10.072376590000001</v>
      </c>
      <c r="J56" s="24">
        <v>1.3891899999999999</v>
      </c>
      <c r="K56" s="24">
        <f>742229.14/1000000</f>
        <v>0.74222914000000006</v>
      </c>
      <c r="L56" s="24">
        <v>1.3891899999999999</v>
      </c>
      <c r="M56" s="24">
        <v>2.3601540000000001E-2</v>
      </c>
      <c r="N56" s="24">
        <v>1.3891899999999999</v>
      </c>
      <c r="O56" s="25">
        <v>4.9777696900000006</v>
      </c>
      <c r="P56" s="24">
        <v>1.3891899999999999</v>
      </c>
      <c r="Q56" s="25">
        <v>4.32877622</v>
      </c>
      <c r="R56" s="25" t="s">
        <v>50</v>
      </c>
      <c r="S56" s="24">
        <f t="shared" si="2"/>
        <v>-4.5156165900000014</v>
      </c>
      <c r="T56" s="24">
        <f t="shared" si="7"/>
        <v>4.5156165900000014</v>
      </c>
      <c r="U56" s="26">
        <f t="shared" si="8"/>
        <v>81.263480697384836</v>
      </c>
      <c r="V56" s="68"/>
    </row>
    <row r="57" spans="1:22" ht="35.25" customHeight="1" x14ac:dyDescent="0.25">
      <c r="A57" s="22" t="s">
        <v>21</v>
      </c>
      <c r="B57" s="27" t="s">
        <v>419</v>
      </c>
      <c r="C57" s="53" t="s">
        <v>421</v>
      </c>
      <c r="D57" s="24">
        <v>0</v>
      </c>
      <c r="E57" s="24">
        <v>0</v>
      </c>
      <c r="F57" s="25" t="s">
        <v>50</v>
      </c>
      <c r="G57" s="24">
        <v>0</v>
      </c>
      <c r="H57" s="24">
        <f t="shared" si="3"/>
        <v>0</v>
      </c>
      <c r="I57" s="24">
        <f t="shared" si="4"/>
        <v>0</v>
      </c>
      <c r="J57" s="24">
        <v>0</v>
      </c>
      <c r="K57" s="24">
        <v>0</v>
      </c>
      <c r="L57" s="24">
        <v>0</v>
      </c>
      <c r="M57" s="25">
        <v>0</v>
      </c>
      <c r="N57" s="24">
        <v>0</v>
      </c>
      <c r="O57" s="25">
        <v>0</v>
      </c>
      <c r="P57" s="24">
        <v>0</v>
      </c>
      <c r="Q57" s="25">
        <v>0</v>
      </c>
      <c r="R57" s="25" t="s">
        <v>50</v>
      </c>
      <c r="S57" s="24">
        <f t="shared" si="2"/>
        <v>0</v>
      </c>
      <c r="T57" s="24">
        <f t="shared" si="7"/>
        <v>0</v>
      </c>
      <c r="U57" s="26">
        <v>0</v>
      </c>
      <c r="V57" s="68"/>
    </row>
    <row r="58" spans="1:22" ht="38.25" x14ac:dyDescent="0.25">
      <c r="A58" s="20" t="s">
        <v>21</v>
      </c>
      <c r="B58" s="21" t="s">
        <v>73</v>
      </c>
      <c r="C58" s="50" t="s">
        <v>52</v>
      </c>
      <c r="D58" s="16">
        <v>0</v>
      </c>
      <c r="E58" s="16">
        <v>0</v>
      </c>
      <c r="F58" s="17" t="s">
        <v>50</v>
      </c>
      <c r="G58" s="16">
        <v>0</v>
      </c>
      <c r="H58" s="16">
        <f t="shared" si="3"/>
        <v>0</v>
      </c>
      <c r="I58" s="16">
        <f t="shared" si="4"/>
        <v>0</v>
      </c>
      <c r="J58" s="16">
        <v>0</v>
      </c>
      <c r="K58" s="16">
        <v>0</v>
      </c>
      <c r="L58" s="16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7" t="s">
        <v>50</v>
      </c>
      <c r="S58" s="16">
        <f t="shared" si="2"/>
        <v>0</v>
      </c>
      <c r="T58" s="16">
        <f t="shared" si="7"/>
        <v>0</v>
      </c>
      <c r="U58" s="18">
        <v>0</v>
      </c>
      <c r="V58" s="68"/>
    </row>
    <row r="59" spans="1:22" ht="38.25" x14ac:dyDescent="0.25">
      <c r="A59" s="20" t="s">
        <v>21</v>
      </c>
      <c r="B59" s="21" t="s">
        <v>74</v>
      </c>
      <c r="C59" s="50" t="s">
        <v>52</v>
      </c>
      <c r="D59" s="16">
        <v>0</v>
      </c>
      <c r="E59" s="16">
        <v>0</v>
      </c>
      <c r="F59" s="17" t="s">
        <v>50</v>
      </c>
      <c r="G59" s="16">
        <v>0</v>
      </c>
      <c r="H59" s="16">
        <f t="shared" si="3"/>
        <v>0</v>
      </c>
      <c r="I59" s="16">
        <f t="shared" si="4"/>
        <v>0</v>
      </c>
      <c r="J59" s="16">
        <v>0</v>
      </c>
      <c r="K59" s="16">
        <v>0</v>
      </c>
      <c r="L59" s="16">
        <v>0</v>
      </c>
      <c r="M59" s="17">
        <v>0</v>
      </c>
      <c r="N59" s="16">
        <v>0</v>
      </c>
      <c r="O59" s="17">
        <v>0</v>
      </c>
      <c r="P59" s="16">
        <v>0</v>
      </c>
      <c r="Q59" s="17">
        <v>0</v>
      </c>
      <c r="R59" s="17" t="s">
        <v>50</v>
      </c>
      <c r="S59" s="16">
        <f t="shared" si="2"/>
        <v>0</v>
      </c>
      <c r="T59" s="16">
        <f t="shared" si="7"/>
        <v>0</v>
      </c>
      <c r="U59" s="18">
        <v>0</v>
      </c>
      <c r="V59" s="68"/>
    </row>
    <row r="60" spans="1:22" ht="25.5" x14ac:dyDescent="0.25">
      <c r="A60" s="14" t="s">
        <v>22</v>
      </c>
      <c r="B60" s="19" t="s">
        <v>75</v>
      </c>
      <c r="C60" s="49" t="s">
        <v>52</v>
      </c>
      <c r="D60" s="16">
        <v>0</v>
      </c>
      <c r="E60" s="16">
        <f>SUM(E61:E87)</f>
        <v>34.984850496</v>
      </c>
      <c r="F60" s="17" t="s">
        <v>50</v>
      </c>
      <c r="G60" s="16">
        <v>51.655994</v>
      </c>
      <c r="H60" s="16">
        <f t="shared" si="3"/>
        <v>51.655994</v>
      </c>
      <c r="I60" s="16">
        <f t="shared" si="4"/>
        <v>58.777940950000001</v>
      </c>
      <c r="J60" s="16">
        <f t="shared" ref="J60:P60" si="17">SUM(J61:J87)</f>
        <v>12.271808999999999</v>
      </c>
      <c r="K60" s="16">
        <f t="shared" si="17"/>
        <v>1.01383198</v>
      </c>
      <c r="L60" s="16">
        <f t="shared" si="17"/>
        <v>12.271805000000001</v>
      </c>
      <c r="M60" s="16">
        <f>SUM(M61:M106)</f>
        <v>10.178813379999999</v>
      </c>
      <c r="N60" s="16">
        <f t="shared" si="17"/>
        <v>12.271805000000001</v>
      </c>
      <c r="O60" s="17">
        <f>SUM(O61:O106)</f>
        <v>19.65989265</v>
      </c>
      <c r="P60" s="16">
        <f t="shared" si="17"/>
        <v>14.840574999999999</v>
      </c>
      <c r="Q60" s="17">
        <f>SUM(Q61:Q129)</f>
        <v>27.925402939999998</v>
      </c>
      <c r="R60" s="17" t="s">
        <v>50</v>
      </c>
      <c r="S60" s="16">
        <f t="shared" si="2"/>
        <v>-7.1219469500000017</v>
      </c>
      <c r="T60" s="16">
        <f t="shared" si="7"/>
        <v>7.1219469500000017</v>
      </c>
      <c r="U60" s="18">
        <f t="shared" si="8"/>
        <v>13.787261455079161</v>
      </c>
      <c r="V60" s="68"/>
    </row>
    <row r="61" spans="1:22" ht="45.75" customHeight="1" x14ac:dyDescent="0.25">
      <c r="A61" s="22" t="s">
        <v>22</v>
      </c>
      <c r="B61" s="23" t="s">
        <v>466</v>
      </c>
      <c r="C61" s="53" t="s">
        <v>467</v>
      </c>
      <c r="D61" s="24">
        <v>0</v>
      </c>
      <c r="E61" s="24">
        <f>80919.1*1.2/1000000</f>
        <v>9.7102919999999995E-2</v>
      </c>
      <c r="F61" s="25" t="s">
        <v>50</v>
      </c>
      <c r="G61" s="24">
        <v>0</v>
      </c>
      <c r="H61" s="24">
        <f t="shared" si="3"/>
        <v>0</v>
      </c>
      <c r="I61" s="24">
        <f t="shared" si="4"/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5">
        <v>0</v>
      </c>
      <c r="P61" s="24">
        <v>0</v>
      </c>
      <c r="Q61" s="25">
        <v>0</v>
      </c>
      <c r="R61" s="25" t="s">
        <v>50</v>
      </c>
      <c r="S61" s="24">
        <f t="shared" si="2"/>
        <v>0</v>
      </c>
      <c r="T61" s="24">
        <f t="shared" si="7"/>
        <v>0</v>
      </c>
      <c r="U61" s="26">
        <v>0</v>
      </c>
      <c r="V61" s="68"/>
    </row>
    <row r="62" spans="1:22" ht="45.75" customHeight="1" x14ac:dyDescent="0.25">
      <c r="A62" s="22" t="s">
        <v>22</v>
      </c>
      <c r="B62" s="23" t="s">
        <v>431</v>
      </c>
      <c r="C62" s="53" t="s">
        <v>432</v>
      </c>
      <c r="D62" s="24">
        <v>0</v>
      </c>
      <c r="E62" s="24">
        <f>652422.93*1.2/1000000</f>
        <v>0.78290751600000008</v>
      </c>
      <c r="F62" s="25" t="s">
        <v>50</v>
      </c>
      <c r="G62" s="24">
        <v>0</v>
      </c>
      <c r="H62" s="24">
        <f t="shared" si="3"/>
        <v>0</v>
      </c>
      <c r="I62" s="24">
        <f t="shared" si="4"/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5">
        <v>0</v>
      </c>
      <c r="P62" s="24">
        <v>0</v>
      </c>
      <c r="Q62" s="25">
        <v>0</v>
      </c>
      <c r="R62" s="25" t="s">
        <v>50</v>
      </c>
      <c r="S62" s="24">
        <f t="shared" si="2"/>
        <v>0</v>
      </c>
      <c r="T62" s="24">
        <f t="shared" si="7"/>
        <v>0</v>
      </c>
      <c r="U62" s="26">
        <v>0</v>
      </c>
      <c r="V62" s="68"/>
    </row>
    <row r="63" spans="1:22" ht="45.75" customHeight="1" x14ac:dyDescent="0.25">
      <c r="A63" s="22" t="s">
        <v>22</v>
      </c>
      <c r="B63" s="23" t="s">
        <v>433</v>
      </c>
      <c r="C63" s="53" t="s">
        <v>434</v>
      </c>
      <c r="D63" s="24">
        <v>0</v>
      </c>
      <c r="E63" s="24">
        <f>480576.75*1.2/1000000</f>
        <v>0.57669209999999993</v>
      </c>
      <c r="F63" s="25" t="s">
        <v>50</v>
      </c>
      <c r="G63" s="24">
        <v>0</v>
      </c>
      <c r="H63" s="24">
        <f t="shared" si="3"/>
        <v>0</v>
      </c>
      <c r="I63" s="24">
        <f t="shared" si="4"/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5">
        <v>0</v>
      </c>
      <c r="P63" s="24">
        <v>0</v>
      </c>
      <c r="Q63" s="25">
        <v>0</v>
      </c>
      <c r="R63" s="25" t="s">
        <v>50</v>
      </c>
      <c r="S63" s="24">
        <f t="shared" si="2"/>
        <v>0</v>
      </c>
      <c r="T63" s="24">
        <f t="shared" si="7"/>
        <v>0</v>
      </c>
      <c r="U63" s="26">
        <v>0</v>
      </c>
      <c r="V63" s="68"/>
    </row>
    <row r="64" spans="1:22" ht="45.75" customHeight="1" x14ac:dyDescent="0.25">
      <c r="A64" s="22" t="s">
        <v>22</v>
      </c>
      <c r="B64" s="23" t="s">
        <v>468</v>
      </c>
      <c r="C64" s="53" t="s">
        <v>469</v>
      </c>
      <c r="D64" s="24">
        <v>0</v>
      </c>
      <c r="E64" s="24">
        <f>365082.49*1.2/1000000</f>
        <v>0.43809898799999997</v>
      </c>
      <c r="F64" s="25" t="s">
        <v>50</v>
      </c>
      <c r="G64" s="24">
        <v>0</v>
      </c>
      <c r="H64" s="24">
        <f t="shared" si="3"/>
        <v>0</v>
      </c>
      <c r="I64" s="24">
        <f t="shared" si="4"/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5">
        <v>0</v>
      </c>
      <c r="P64" s="24">
        <v>0</v>
      </c>
      <c r="Q64" s="25">
        <v>0</v>
      </c>
      <c r="R64" s="25" t="s">
        <v>50</v>
      </c>
      <c r="S64" s="24">
        <f t="shared" si="2"/>
        <v>0</v>
      </c>
      <c r="T64" s="24">
        <f t="shared" si="7"/>
        <v>0</v>
      </c>
      <c r="U64" s="26">
        <v>0</v>
      </c>
      <c r="V64" s="68"/>
    </row>
    <row r="65" spans="1:22" ht="45.75" customHeight="1" x14ac:dyDescent="0.25">
      <c r="A65" s="22" t="s">
        <v>22</v>
      </c>
      <c r="B65" s="23" t="s">
        <v>470</v>
      </c>
      <c r="C65" s="53" t="s">
        <v>471</v>
      </c>
      <c r="D65" s="24">
        <v>0</v>
      </c>
      <c r="E65" s="24">
        <f>1005993.42*1.2/1000000</f>
        <v>1.207192104</v>
      </c>
      <c r="F65" s="25" t="s">
        <v>50</v>
      </c>
      <c r="G65" s="24">
        <v>0</v>
      </c>
      <c r="H65" s="24">
        <f t="shared" si="3"/>
        <v>0</v>
      </c>
      <c r="I65" s="24">
        <f t="shared" si="4"/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5">
        <v>0</v>
      </c>
      <c r="P65" s="24">
        <v>0</v>
      </c>
      <c r="Q65" s="25">
        <v>0</v>
      </c>
      <c r="R65" s="25" t="s">
        <v>50</v>
      </c>
      <c r="S65" s="24">
        <f t="shared" si="2"/>
        <v>0</v>
      </c>
      <c r="T65" s="24">
        <f t="shared" si="7"/>
        <v>0</v>
      </c>
      <c r="U65" s="26">
        <v>0</v>
      </c>
      <c r="V65" s="68"/>
    </row>
    <row r="66" spans="1:22" ht="45.75" customHeight="1" x14ac:dyDescent="0.25">
      <c r="A66" s="22" t="s">
        <v>22</v>
      </c>
      <c r="B66" s="23" t="s">
        <v>472</v>
      </c>
      <c r="C66" s="53" t="s">
        <v>473</v>
      </c>
      <c r="D66" s="24">
        <v>0</v>
      </c>
      <c r="E66" s="24">
        <f>62236.17*1.2/1000000</f>
        <v>7.4683403999999995E-2</v>
      </c>
      <c r="F66" s="25" t="s">
        <v>50</v>
      </c>
      <c r="G66" s="24">
        <v>0</v>
      </c>
      <c r="H66" s="24">
        <f t="shared" si="3"/>
        <v>0</v>
      </c>
      <c r="I66" s="24">
        <f t="shared" si="4"/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5">
        <v>0</v>
      </c>
      <c r="P66" s="24">
        <v>0</v>
      </c>
      <c r="Q66" s="25">
        <v>0</v>
      </c>
      <c r="R66" s="25" t="s">
        <v>50</v>
      </c>
      <c r="S66" s="24">
        <f t="shared" si="2"/>
        <v>0</v>
      </c>
      <c r="T66" s="24">
        <f t="shared" si="7"/>
        <v>0</v>
      </c>
      <c r="U66" s="26">
        <v>0</v>
      </c>
      <c r="V66" s="68"/>
    </row>
    <row r="67" spans="1:22" ht="45.75" customHeight="1" x14ac:dyDescent="0.25">
      <c r="A67" s="22" t="s">
        <v>22</v>
      </c>
      <c r="B67" s="23" t="s">
        <v>474</v>
      </c>
      <c r="C67" s="53" t="s">
        <v>475</v>
      </c>
      <c r="D67" s="24">
        <v>0</v>
      </c>
      <c r="E67" s="24">
        <f>45050.44*1.2/1000000</f>
        <v>5.4060527999999997E-2</v>
      </c>
      <c r="F67" s="25" t="s">
        <v>50</v>
      </c>
      <c r="G67" s="24">
        <v>0</v>
      </c>
      <c r="H67" s="24">
        <f t="shared" si="3"/>
        <v>0</v>
      </c>
      <c r="I67" s="24">
        <f t="shared" si="4"/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5">
        <v>0</v>
      </c>
      <c r="P67" s="24">
        <v>0</v>
      </c>
      <c r="Q67" s="25">
        <v>0</v>
      </c>
      <c r="R67" s="25" t="s">
        <v>50</v>
      </c>
      <c r="S67" s="24">
        <f t="shared" si="2"/>
        <v>0</v>
      </c>
      <c r="T67" s="24">
        <f t="shared" si="7"/>
        <v>0</v>
      </c>
      <c r="U67" s="26">
        <v>0</v>
      </c>
      <c r="V67" s="68"/>
    </row>
    <row r="68" spans="1:22" ht="38.25" x14ac:dyDescent="0.25">
      <c r="A68" s="22" t="s">
        <v>22</v>
      </c>
      <c r="B68" s="23" t="s">
        <v>476</v>
      </c>
      <c r="C68" s="53" t="s">
        <v>477</v>
      </c>
      <c r="D68" s="24">
        <v>0</v>
      </c>
      <c r="E68" s="24">
        <f>112400.85*1.2/1000000</f>
        <v>0.13488101999999999</v>
      </c>
      <c r="F68" s="25" t="s">
        <v>50</v>
      </c>
      <c r="G68" s="24">
        <v>0</v>
      </c>
      <c r="H68" s="24">
        <f t="shared" si="3"/>
        <v>0</v>
      </c>
      <c r="I68" s="24">
        <f t="shared" si="4"/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5">
        <v>0</v>
      </c>
      <c r="P68" s="24">
        <v>0</v>
      </c>
      <c r="Q68" s="25">
        <v>0</v>
      </c>
      <c r="R68" s="25" t="s">
        <v>50</v>
      </c>
      <c r="S68" s="24">
        <f t="shared" si="2"/>
        <v>0</v>
      </c>
      <c r="T68" s="24">
        <f t="shared" si="7"/>
        <v>0</v>
      </c>
      <c r="U68" s="26">
        <v>0</v>
      </c>
      <c r="V68" s="68"/>
    </row>
    <row r="69" spans="1:22" ht="38.25" x14ac:dyDescent="0.25">
      <c r="A69" s="22" t="s">
        <v>22</v>
      </c>
      <c r="B69" s="23" t="s">
        <v>478</v>
      </c>
      <c r="C69" s="53" t="s">
        <v>479</v>
      </c>
      <c r="D69" s="24">
        <v>0</v>
      </c>
      <c r="E69" s="24">
        <f>48181.54*1.2/1000000</f>
        <v>5.7817847999999998E-2</v>
      </c>
      <c r="F69" s="25" t="s">
        <v>50</v>
      </c>
      <c r="G69" s="24">
        <v>0</v>
      </c>
      <c r="H69" s="24">
        <f t="shared" si="3"/>
        <v>0</v>
      </c>
      <c r="I69" s="24">
        <f t="shared" si="4"/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5">
        <v>0</v>
      </c>
      <c r="P69" s="24">
        <v>0</v>
      </c>
      <c r="Q69" s="25">
        <v>0</v>
      </c>
      <c r="R69" s="25" t="s">
        <v>50</v>
      </c>
      <c r="S69" s="24">
        <f t="shared" si="2"/>
        <v>0</v>
      </c>
      <c r="T69" s="24">
        <f t="shared" si="7"/>
        <v>0</v>
      </c>
      <c r="U69" s="26">
        <v>0</v>
      </c>
      <c r="V69" s="68"/>
    </row>
    <row r="70" spans="1:22" ht="25.5" x14ac:dyDescent="0.25">
      <c r="A70" s="22" t="s">
        <v>22</v>
      </c>
      <c r="B70" s="23" t="s">
        <v>480</v>
      </c>
      <c r="C70" s="53" t="s">
        <v>481</v>
      </c>
      <c r="D70" s="24">
        <v>0</v>
      </c>
      <c r="E70" s="24">
        <f>52632.41*1.2/1000000</f>
        <v>6.3158891999999994E-2</v>
      </c>
      <c r="F70" s="25" t="s">
        <v>50</v>
      </c>
      <c r="G70" s="24">
        <v>0</v>
      </c>
      <c r="H70" s="24">
        <f t="shared" si="3"/>
        <v>0</v>
      </c>
      <c r="I70" s="24">
        <f t="shared" si="4"/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5">
        <v>0</v>
      </c>
      <c r="P70" s="24">
        <v>0</v>
      </c>
      <c r="Q70" s="25">
        <v>0</v>
      </c>
      <c r="R70" s="25" t="s">
        <v>50</v>
      </c>
      <c r="S70" s="24">
        <f t="shared" si="2"/>
        <v>0</v>
      </c>
      <c r="T70" s="24">
        <f t="shared" si="7"/>
        <v>0</v>
      </c>
      <c r="U70" s="26">
        <v>0</v>
      </c>
      <c r="V70" s="68"/>
    </row>
    <row r="71" spans="1:22" ht="43.5" customHeight="1" x14ac:dyDescent="0.25">
      <c r="A71" s="22" t="s">
        <v>22</v>
      </c>
      <c r="B71" s="23" t="s">
        <v>482</v>
      </c>
      <c r="C71" s="53" t="s">
        <v>483</v>
      </c>
      <c r="D71" s="24">
        <v>0</v>
      </c>
      <c r="E71" s="24">
        <f>36372.31*1.2/1000000</f>
        <v>4.3646772E-2</v>
      </c>
      <c r="F71" s="25" t="s">
        <v>50</v>
      </c>
      <c r="G71" s="24">
        <v>0</v>
      </c>
      <c r="H71" s="24">
        <f t="shared" si="3"/>
        <v>0</v>
      </c>
      <c r="I71" s="24">
        <f t="shared" si="4"/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5">
        <v>0</v>
      </c>
      <c r="P71" s="24">
        <v>0</v>
      </c>
      <c r="Q71" s="25">
        <v>0</v>
      </c>
      <c r="R71" s="25" t="s">
        <v>50</v>
      </c>
      <c r="S71" s="24">
        <f t="shared" si="2"/>
        <v>0</v>
      </c>
      <c r="T71" s="24">
        <f t="shared" si="7"/>
        <v>0</v>
      </c>
      <c r="U71" s="26">
        <v>0</v>
      </c>
      <c r="V71" s="68"/>
    </row>
    <row r="72" spans="1:22" ht="57" customHeight="1" x14ac:dyDescent="0.25">
      <c r="A72" s="22" t="s">
        <v>22</v>
      </c>
      <c r="B72" s="23" t="s">
        <v>484</v>
      </c>
      <c r="C72" s="53" t="s">
        <v>485</v>
      </c>
      <c r="D72" s="24">
        <v>0</v>
      </c>
      <c r="E72" s="24">
        <f>25496.72*1.2/1000000</f>
        <v>3.0596063999999999E-2</v>
      </c>
      <c r="F72" s="25" t="s">
        <v>50</v>
      </c>
      <c r="G72" s="24">
        <v>0</v>
      </c>
      <c r="H72" s="24">
        <f t="shared" si="3"/>
        <v>0</v>
      </c>
      <c r="I72" s="24">
        <f t="shared" si="4"/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5">
        <v>0</v>
      </c>
      <c r="P72" s="24">
        <v>0</v>
      </c>
      <c r="Q72" s="25">
        <v>0</v>
      </c>
      <c r="R72" s="25" t="s">
        <v>50</v>
      </c>
      <c r="S72" s="24">
        <f t="shared" si="2"/>
        <v>0</v>
      </c>
      <c r="T72" s="24">
        <f t="shared" si="7"/>
        <v>0</v>
      </c>
      <c r="U72" s="26">
        <v>0</v>
      </c>
      <c r="V72" s="68"/>
    </row>
    <row r="73" spans="1:22" ht="93" customHeight="1" x14ac:dyDescent="0.25">
      <c r="A73" s="22" t="s">
        <v>22</v>
      </c>
      <c r="B73" s="23" t="s">
        <v>486</v>
      </c>
      <c r="C73" s="53" t="s">
        <v>487</v>
      </c>
      <c r="D73" s="24">
        <v>0</v>
      </c>
      <c r="E73" s="24">
        <f>25720605.89*1.2/1000000</f>
        <v>30.864727068000001</v>
      </c>
      <c r="F73" s="25" t="s">
        <v>50</v>
      </c>
      <c r="G73" s="24">
        <v>0</v>
      </c>
      <c r="H73" s="24">
        <f t="shared" si="3"/>
        <v>0</v>
      </c>
      <c r="I73" s="24">
        <f t="shared" si="4"/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5">
        <v>0</v>
      </c>
      <c r="P73" s="24">
        <v>0</v>
      </c>
      <c r="Q73" s="25">
        <v>0</v>
      </c>
      <c r="R73" s="25" t="s">
        <v>50</v>
      </c>
      <c r="S73" s="24">
        <f t="shared" si="2"/>
        <v>0</v>
      </c>
      <c r="T73" s="24">
        <f t="shared" si="7"/>
        <v>0</v>
      </c>
      <c r="U73" s="26">
        <v>0</v>
      </c>
      <c r="V73" s="68"/>
    </row>
    <row r="74" spans="1:22" ht="52.5" customHeight="1" x14ac:dyDescent="0.25">
      <c r="A74" s="22" t="s">
        <v>22</v>
      </c>
      <c r="B74" s="23" t="s">
        <v>488</v>
      </c>
      <c r="C74" s="53" t="s">
        <v>489</v>
      </c>
      <c r="D74" s="24">
        <v>0</v>
      </c>
      <c r="E74" s="24">
        <f>440788.25*1.2/1000000</f>
        <v>0.52894589999999997</v>
      </c>
      <c r="F74" s="25" t="s">
        <v>50</v>
      </c>
      <c r="G74" s="24">
        <v>0</v>
      </c>
      <c r="H74" s="24">
        <f t="shared" si="3"/>
        <v>0</v>
      </c>
      <c r="I74" s="24">
        <f t="shared" si="4"/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5">
        <v>0</v>
      </c>
      <c r="P74" s="24">
        <v>0</v>
      </c>
      <c r="Q74" s="25">
        <v>0</v>
      </c>
      <c r="R74" s="25" t="s">
        <v>50</v>
      </c>
      <c r="S74" s="24">
        <f t="shared" si="2"/>
        <v>0</v>
      </c>
      <c r="T74" s="24">
        <f t="shared" si="7"/>
        <v>0</v>
      </c>
      <c r="U74" s="26">
        <v>0</v>
      </c>
      <c r="V74" s="68"/>
    </row>
    <row r="75" spans="1:22" ht="25.5" x14ac:dyDescent="0.25">
      <c r="A75" s="22" t="s">
        <v>22</v>
      </c>
      <c r="B75" s="23" t="s">
        <v>490</v>
      </c>
      <c r="C75" s="53" t="s">
        <v>491</v>
      </c>
      <c r="D75" s="24">
        <v>0</v>
      </c>
      <c r="E75" s="24">
        <f>(67178.81-41896)*1.2/1000000</f>
        <v>3.0339371999999996E-2</v>
      </c>
      <c r="F75" s="25" t="s">
        <v>50</v>
      </c>
      <c r="G75" s="24">
        <v>0</v>
      </c>
      <c r="H75" s="24">
        <f t="shared" si="3"/>
        <v>0</v>
      </c>
      <c r="I75" s="24">
        <f t="shared" si="4"/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5">
        <v>0</v>
      </c>
      <c r="P75" s="24">
        <v>0</v>
      </c>
      <c r="Q75" s="25">
        <v>0</v>
      </c>
      <c r="R75" s="25" t="s">
        <v>50</v>
      </c>
      <c r="S75" s="24">
        <f t="shared" si="2"/>
        <v>0</v>
      </c>
      <c r="T75" s="24">
        <f t="shared" si="7"/>
        <v>0</v>
      </c>
      <c r="U75" s="26">
        <v>0</v>
      </c>
      <c r="V75" s="68"/>
    </row>
    <row r="76" spans="1:22" x14ac:dyDescent="0.25">
      <c r="A76" s="22" t="s">
        <v>22</v>
      </c>
      <c r="B76" s="29" t="s">
        <v>735</v>
      </c>
      <c r="C76" s="54" t="s">
        <v>631</v>
      </c>
      <c r="D76" s="24">
        <v>0</v>
      </c>
      <c r="E76" s="24">
        <v>0</v>
      </c>
      <c r="F76" s="25" t="s">
        <v>50</v>
      </c>
      <c r="G76" s="24">
        <v>0</v>
      </c>
      <c r="H76" s="24">
        <v>0</v>
      </c>
      <c r="I76" s="24">
        <f t="shared" si="4"/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5">
        <v>0</v>
      </c>
      <c r="P76" s="24">
        <v>0</v>
      </c>
      <c r="Q76" s="25">
        <v>0</v>
      </c>
      <c r="R76" s="25" t="s">
        <v>50</v>
      </c>
      <c r="S76" s="24">
        <f t="shared" si="2"/>
        <v>0</v>
      </c>
      <c r="T76" s="24">
        <f t="shared" si="7"/>
        <v>0</v>
      </c>
      <c r="U76" s="26">
        <v>0</v>
      </c>
      <c r="V76" s="68"/>
    </row>
    <row r="77" spans="1:22" ht="25.5" x14ac:dyDescent="0.25">
      <c r="A77" s="22" t="s">
        <v>22</v>
      </c>
      <c r="B77" s="29" t="s">
        <v>736</v>
      </c>
      <c r="C77" s="54" t="s">
        <v>632</v>
      </c>
      <c r="D77" s="24">
        <v>0</v>
      </c>
      <c r="E77" s="24">
        <v>0</v>
      </c>
      <c r="F77" s="25" t="s">
        <v>50</v>
      </c>
      <c r="G77" s="24">
        <v>0</v>
      </c>
      <c r="H77" s="24">
        <v>0</v>
      </c>
      <c r="I77" s="24">
        <f t="shared" si="4"/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5">
        <v>0</v>
      </c>
      <c r="P77" s="24">
        <v>0</v>
      </c>
      <c r="Q77" s="25">
        <v>0</v>
      </c>
      <c r="R77" s="25" t="s">
        <v>50</v>
      </c>
      <c r="S77" s="24">
        <f t="shared" si="2"/>
        <v>0</v>
      </c>
      <c r="T77" s="24">
        <f t="shared" si="7"/>
        <v>0</v>
      </c>
      <c r="U77" s="26">
        <v>0</v>
      </c>
      <c r="V77" s="68"/>
    </row>
    <row r="78" spans="1:22" x14ac:dyDescent="0.25">
      <c r="A78" s="22" t="s">
        <v>22</v>
      </c>
      <c r="B78" s="29" t="s">
        <v>737</v>
      </c>
      <c r="C78" s="54" t="s">
        <v>633</v>
      </c>
      <c r="D78" s="24">
        <v>0</v>
      </c>
      <c r="E78" s="24">
        <v>0</v>
      </c>
      <c r="F78" s="25" t="s">
        <v>50</v>
      </c>
      <c r="G78" s="24">
        <v>0</v>
      </c>
      <c r="H78" s="24">
        <v>0</v>
      </c>
      <c r="I78" s="24">
        <f t="shared" si="4"/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5">
        <v>0</v>
      </c>
      <c r="P78" s="24">
        <v>0</v>
      </c>
      <c r="Q78" s="25">
        <v>0</v>
      </c>
      <c r="R78" s="25" t="s">
        <v>50</v>
      </c>
      <c r="S78" s="24">
        <f t="shared" si="2"/>
        <v>0</v>
      </c>
      <c r="T78" s="24">
        <f t="shared" si="7"/>
        <v>0</v>
      </c>
      <c r="U78" s="26">
        <v>0</v>
      </c>
      <c r="V78" s="68"/>
    </row>
    <row r="79" spans="1:22" ht="25.5" x14ac:dyDescent="0.25">
      <c r="A79" s="22" t="s">
        <v>22</v>
      </c>
      <c r="B79" s="29" t="s">
        <v>738</v>
      </c>
      <c r="C79" s="54" t="s">
        <v>634</v>
      </c>
      <c r="D79" s="24">
        <v>0</v>
      </c>
      <c r="E79" s="24">
        <v>0</v>
      </c>
      <c r="F79" s="25" t="s">
        <v>50</v>
      </c>
      <c r="G79" s="24">
        <v>0</v>
      </c>
      <c r="H79" s="24">
        <v>0</v>
      </c>
      <c r="I79" s="24">
        <f t="shared" si="4"/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5">
        <v>0</v>
      </c>
      <c r="P79" s="24">
        <v>0</v>
      </c>
      <c r="Q79" s="25">
        <v>0</v>
      </c>
      <c r="R79" s="25" t="s">
        <v>50</v>
      </c>
      <c r="S79" s="24">
        <f t="shared" si="2"/>
        <v>0</v>
      </c>
      <c r="T79" s="24">
        <f t="shared" si="7"/>
        <v>0</v>
      </c>
      <c r="U79" s="26">
        <v>0</v>
      </c>
      <c r="V79" s="68"/>
    </row>
    <row r="80" spans="1:22" ht="38.25" x14ac:dyDescent="0.25">
      <c r="A80" s="22" t="s">
        <v>22</v>
      </c>
      <c r="B80" s="23" t="s">
        <v>652</v>
      </c>
      <c r="C80" s="53" t="s">
        <v>653</v>
      </c>
      <c r="D80" s="24">
        <v>0</v>
      </c>
      <c r="E80" s="24">
        <v>0</v>
      </c>
      <c r="F80" s="24">
        <v>0</v>
      </c>
      <c r="G80" s="24">
        <v>51.655994</v>
      </c>
      <c r="H80" s="24">
        <f t="shared" si="3"/>
        <v>51.655994</v>
      </c>
      <c r="I80" s="24">
        <f t="shared" si="4"/>
        <v>0</v>
      </c>
      <c r="J80" s="24">
        <v>12.271808999999999</v>
      </c>
      <c r="K80" s="24">
        <v>0</v>
      </c>
      <c r="L80" s="24">
        <v>12.271805000000001</v>
      </c>
      <c r="M80" s="24">
        <v>0</v>
      </c>
      <c r="N80" s="24">
        <v>12.271805000000001</v>
      </c>
      <c r="O80" s="25">
        <v>0</v>
      </c>
      <c r="P80" s="24">
        <v>14.840574999999999</v>
      </c>
      <c r="Q80" s="25">
        <v>0</v>
      </c>
      <c r="R80" s="24">
        <v>0</v>
      </c>
      <c r="S80" s="24">
        <f t="shared" si="2"/>
        <v>51.655994</v>
      </c>
      <c r="T80" s="24">
        <f t="shared" si="7"/>
        <v>-51.655994</v>
      </c>
      <c r="U80" s="26">
        <v>0</v>
      </c>
      <c r="V80" s="68"/>
    </row>
    <row r="81" spans="1:22" ht="51.75" customHeight="1" x14ac:dyDescent="0.25">
      <c r="A81" s="22" t="s">
        <v>22</v>
      </c>
      <c r="B81" s="23" t="s">
        <v>422</v>
      </c>
      <c r="C81" s="53" t="s">
        <v>423</v>
      </c>
      <c r="D81" s="24">
        <v>0</v>
      </c>
      <c r="E81" s="24">
        <v>0</v>
      </c>
      <c r="F81" s="25" t="s">
        <v>50</v>
      </c>
      <c r="G81" s="24">
        <v>0</v>
      </c>
      <c r="H81" s="24">
        <f t="shared" si="3"/>
        <v>0</v>
      </c>
      <c r="I81" s="24">
        <f t="shared" si="4"/>
        <v>0</v>
      </c>
      <c r="J81" s="24">
        <v>0</v>
      </c>
      <c r="K81" s="24">
        <v>0</v>
      </c>
      <c r="L81" s="24">
        <v>0</v>
      </c>
      <c r="M81" s="25">
        <v>0</v>
      </c>
      <c r="N81" s="24">
        <v>0</v>
      </c>
      <c r="O81" s="25">
        <v>0</v>
      </c>
      <c r="P81" s="24">
        <v>0</v>
      </c>
      <c r="Q81" s="25">
        <v>0</v>
      </c>
      <c r="R81" s="25" t="s">
        <v>50</v>
      </c>
      <c r="S81" s="24">
        <f t="shared" si="2"/>
        <v>0</v>
      </c>
      <c r="T81" s="24">
        <f t="shared" si="7"/>
        <v>0</v>
      </c>
      <c r="U81" s="26">
        <v>0</v>
      </c>
      <c r="V81" s="68"/>
    </row>
    <row r="82" spans="1:22" ht="54" customHeight="1" x14ac:dyDescent="0.25">
      <c r="A82" s="22" t="s">
        <v>22</v>
      </c>
      <c r="B82" s="23" t="s">
        <v>435</v>
      </c>
      <c r="C82" s="53" t="s">
        <v>424</v>
      </c>
      <c r="D82" s="24">
        <v>0</v>
      </c>
      <c r="E82" s="24">
        <v>0</v>
      </c>
      <c r="F82" s="25" t="s">
        <v>50</v>
      </c>
      <c r="G82" s="24">
        <v>0</v>
      </c>
      <c r="H82" s="24">
        <f t="shared" si="3"/>
        <v>0</v>
      </c>
      <c r="I82" s="24">
        <f t="shared" si="4"/>
        <v>9.7795455699999998</v>
      </c>
      <c r="J82" s="24">
        <v>0</v>
      </c>
      <c r="K82" s="24">
        <v>0</v>
      </c>
      <c r="L82" s="24">
        <v>0</v>
      </c>
      <c r="M82" s="25">
        <v>9.7795455699999998</v>
      </c>
      <c r="N82" s="24">
        <v>0</v>
      </c>
      <c r="O82" s="25">
        <v>0</v>
      </c>
      <c r="P82" s="24">
        <v>0</v>
      </c>
      <c r="Q82" s="25">
        <v>0</v>
      </c>
      <c r="R82" s="25" t="s">
        <v>50</v>
      </c>
      <c r="S82" s="24">
        <f t="shared" si="2"/>
        <v>-9.7795455699999998</v>
      </c>
      <c r="T82" s="24">
        <f t="shared" si="7"/>
        <v>9.7795455699999998</v>
      </c>
      <c r="U82" s="26">
        <v>100</v>
      </c>
      <c r="V82" s="68"/>
    </row>
    <row r="83" spans="1:22" ht="54.75" customHeight="1" x14ac:dyDescent="0.25">
      <c r="A83" s="22" t="s">
        <v>22</v>
      </c>
      <c r="B83" s="23" t="s">
        <v>425</v>
      </c>
      <c r="C83" s="53" t="s">
        <v>426</v>
      </c>
      <c r="D83" s="24">
        <v>0</v>
      </c>
      <c r="E83" s="24">
        <v>0</v>
      </c>
      <c r="F83" s="25" t="s">
        <v>50</v>
      </c>
      <c r="G83" s="24">
        <v>0</v>
      </c>
      <c r="H83" s="24">
        <f t="shared" si="3"/>
        <v>0</v>
      </c>
      <c r="I83" s="24">
        <f t="shared" si="3"/>
        <v>0.95793236000000004</v>
      </c>
      <c r="J83" s="24">
        <v>0</v>
      </c>
      <c r="K83" s="24">
        <f>957.93236/1000</f>
        <v>0.95793236000000004</v>
      </c>
      <c r="L83" s="24">
        <v>0</v>
      </c>
      <c r="M83" s="25">
        <v>0</v>
      </c>
      <c r="N83" s="24">
        <v>0</v>
      </c>
      <c r="O83" s="25">
        <v>0</v>
      </c>
      <c r="P83" s="24">
        <v>0</v>
      </c>
      <c r="Q83" s="25">
        <v>0</v>
      </c>
      <c r="R83" s="25" t="s">
        <v>50</v>
      </c>
      <c r="S83" s="24">
        <f t="shared" si="2"/>
        <v>-0.95793236000000004</v>
      </c>
      <c r="T83" s="24">
        <f t="shared" ref="T83:T146" si="18">(K83+M83+O83+Q83)-(J83+L83+N83+P83)</f>
        <v>0.95793236000000004</v>
      </c>
      <c r="U83" s="26">
        <v>100</v>
      </c>
      <c r="V83" s="68"/>
    </row>
    <row r="84" spans="1:22" ht="44.25" customHeight="1" x14ac:dyDescent="0.25">
      <c r="A84" s="22" t="s">
        <v>22</v>
      </c>
      <c r="B84" s="23" t="s">
        <v>427</v>
      </c>
      <c r="C84" s="53" t="s">
        <v>428</v>
      </c>
      <c r="D84" s="24">
        <v>0</v>
      </c>
      <c r="E84" s="24">
        <v>0</v>
      </c>
      <c r="F84" s="25" t="s">
        <v>50</v>
      </c>
      <c r="G84" s="24">
        <v>0</v>
      </c>
      <c r="H84" s="24">
        <f t="shared" si="3"/>
        <v>0</v>
      </c>
      <c r="I84" s="24">
        <f t="shared" si="3"/>
        <v>5.5899619999999997E-2</v>
      </c>
      <c r="J84" s="24">
        <v>0</v>
      </c>
      <c r="K84" s="24">
        <f>55.89962/1000</f>
        <v>5.5899619999999997E-2</v>
      </c>
      <c r="L84" s="24">
        <v>0</v>
      </c>
      <c r="M84" s="25">
        <v>0</v>
      </c>
      <c r="N84" s="24">
        <v>0</v>
      </c>
      <c r="O84" s="25">
        <v>0</v>
      </c>
      <c r="P84" s="24">
        <v>0</v>
      </c>
      <c r="Q84" s="25">
        <v>0</v>
      </c>
      <c r="R84" s="25" t="s">
        <v>50</v>
      </c>
      <c r="S84" s="24">
        <f t="shared" si="2"/>
        <v>-5.5899619999999997E-2</v>
      </c>
      <c r="T84" s="24">
        <f t="shared" si="18"/>
        <v>5.5899619999999997E-2</v>
      </c>
      <c r="U84" s="26">
        <v>100</v>
      </c>
      <c r="V84" s="68"/>
    </row>
    <row r="85" spans="1:22" ht="66" customHeight="1" x14ac:dyDescent="0.25">
      <c r="A85" s="22" t="s">
        <v>22</v>
      </c>
      <c r="B85" s="23" t="s">
        <v>429</v>
      </c>
      <c r="C85" s="53" t="s">
        <v>430</v>
      </c>
      <c r="D85" s="24">
        <v>0</v>
      </c>
      <c r="E85" s="24">
        <v>0</v>
      </c>
      <c r="F85" s="25" t="s">
        <v>50</v>
      </c>
      <c r="G85" s="24">
        <v>0</v>
      </c>
      <c r="H85" s="24">
        <f t="shared" si="3"/>
        <v>0</v>
      </c>
      <c r="I85" s="24">
        <f t="shared" si="3"/>
        <v>0</v>
      </c>
      <c r="J85" s="24">
        <v>0</v>
      </c>
      <c r="K85" s="24">
        <v>0</v>
      </c>
      <c r="L85" s="24">
        <v>0</v>
      </c>
      <c r="M85" s="25">
        <v>0</v>
      </c>
      <c r="N85" s="24">
        <v>0</v>
      </c>
      <c r="O85" s="25">
        <v>0</v>
      </c>
      <c r="P85" s="24">
        <v>0</v>
      </c>
      <c r="Q85" s="25">
        <v>0</v>
      </c>
      <c r="R85" s="25" t="s">
        <v>50</v>
      </c>
      <c r="S85" s="24">
        <f t="shared" si="2"/>
        <v>0</v>
      </c>
      <c r="T85" s="24">
        <f t="shared" si="18"/>
        <v>0</v>
      </c>
      <c r="U85" s="26">
        <v>0</v>
      </c>
      <c r="V85" s="68"/>
    </row>
    <row r="86" spans="1:22" ht="48.75" customHeight="1" x14ac:dyDescent="0.25">
      <c r="A86" s="22" t="s">
        <v>22</v>
      </c>
      <c r="B86" s="23" t="s">
        <v>431</v>
      </c>
      <c r="C86" s="53" t="s">
        <v>432</v>
      </c>
      <c r="D86" s="24">
        <v>0</v>
      </c>
      <c r="E86" s="24">
        <v>0</v>
      </c>
      <c r="F86" s="25" t="s">
        <v>50</v>
      </c>
      <c r="G86" s="24">
        <v>0</v>
      </c>
      <c r="H86" s="24">
        <f t="shared" si="3"/>
        <v>0</v>
      </c>
      <c r="I86" s="24">
        <f t="shared" si="3"/>
        <v>0</v>
      </c>
      <c r="J86" s="24">
        <v>0</v>
      </c>
      <c r="K86" s="24">
        <v>0</v>
      </c>
      <c r="L86" s="24">
        <v>0</v>
      </c>
      <c r="M86" s="25">
        <v>0</v>
      </c>
      <c r="N86" s="24">
        <v>0</v>
      </c>
      <c r="O86" s="25">
        <v>0</v>
      </c>
      <c r="P86" s="24">
        <v>0</v>
      </c>
      <c r="Q86" s="25">
        <v>0</v>
      </c>
      <c r="R86" s="25" t="s">
        <v>50</v>
      </c>
      <c r="S86" s="24">
        <f t="shared" si="2"/>
        <v>0</v>
      </c>
      <c r="T86" s="24">
        <f t="shared" si="18"/>
        <v>0</v>
      </c>
      <c r="U86" s="26">
        <v>0</v>
      </c>
      <c r="V86" s="68"/>
    </row>
    <row r="87" spans="1:22" ht="46.5" customHeight="1" x14ac:dyDescent="0.25">
      <c r="A87" s="22" t="s">
        <v>22</v>
      </c>
      <c r="B87" s="23" t="s">
        <v>433</v>
      </c>
      <c r="C87" s="53" t="s">
        <v>434</v>
      </c>
      <c r="D87" s="24">
        <v>0</v>
      </c>
      <c r="E87" s="24">
        <v>0</v>
      </c>
      <c r="F87" s="25" t="s">
        <v>50</v>
      </c>
      <c r="G87" s="24">
        <v>0</v>
      </c>
      <c r="H87" s="24">
        <f t="shared" ref="H87:I185" si="19">J87+L87+N87+P87</f>
        <v>0</v>
      </c>
      <c r="I87" s="24">
        <f t="shared" si="19"/>
        <v>3.6565081799999999</v>
      </c>
      <c r="J87" s="24">
        <v>0</v>
      </c>
      <c r="K87" s="24">
        <v>0</v>
      </c>
      <c r="L87" s="24">
        <v>0</v>
      </c>
      <c r="M87" s="25">
        <v>0</v>
      </c>
      <c r="N87" s="24">
        <v>0</v>
      </c>
      <c r="O87" s="25">
        <v>3.6565081799999999</v>
      </c>
      <c r="P87" s="24">
        <v>0</v>
      </c>
      <c r="Q87" s="25">
        <v>0</v>
      </c>
      <c r="R87" s="25" t="s">
        <v>50</v>
      </c>
      <c r="S87" s="24">
        <f t="shared" ref="S87:S150" si="20">G87-I87</f>
        <v>-3.6565081799999999</v>
      </c>
      <c r="T87" s="24">
        <f t="shared" si="18"/>
        <v>3.6565081799999999</v>
      </c>
      <c r="U87" s="26">
        <v>100</v>
      </c>
      <c r="V87" s="68"/>
    </row>
    <row r="88" spans="1:22" ht="45.75" customHeight="1" x14ac:dyDescent="0.25">
      <c r="A88" s="30" t="s">
        <v>22</v>
      </c>
      <c r="B88" s="23" t="s">
        <v>622</v>
      </c>
      <c r="C88" s="53" t="s">
        <v>631</v>
      </c>
      <c r="D88" s="24">
        <v>0</v>
      </c>
      <c r="E88" s="24">
        <v>0</v>
      </c>
      <c r="F88" s="25" t="s">
        <v>50</v>
      </c>
      <c r="G88" s="24">
        <v>0</v>
      </c>
      <c r="H88" s="24">
        <f t="shared" si="19"/>
        <v>0</v>
      </c>
      <c r="I88" s="24">
        <f t="shared" si="19"/>
        <v>2.611314E-2</v>
      </c>
      <c r="J88" s="24">
        <v>0</v>
      </c>
      <c r="K88" s="24">
        <v>0</v>
      </c>
      <c r="L88" s="24">
        <v>0</v>
      </c>
      <c r="M88" s="25">
        <v>2.611314E-2</v>
      </c>
      <c r="N88" s="24">
        <v>0</v>
      </c>
      <c r="O88" s="25">
        <v>0</v>
      </c>
      <c r="P88" s="24">
        <v>0</v>
      </c>
      <c r="Q88" s="25">
        <v>0</v>
      </c>
      <c r="R88" s="25" t="s">
        <v>50</v>
      </c>
      <c r="S88" s="24">
        <f t="shared" si="20"/>
        <v>-2.611314E-2</v>
      </c>
      <c r="T88" s="24">
        <f t="shared" si="18"/>
        <v>2.611314E-2</v>
      </c>
      <c r="U88" s="26">
        <v>100</v>
      </c>
      <c r="V88" s="68"/>
    </row>
    <row r="89" spans="1:22" ht="45.75" customHeight="1" x14ac:dyDescent="0.25">
      <c r="A89" s="30"/>
      <c r="B89" s="23" t="s">
        <v>470</v>
      </c>
      <c r="C89" s="53" t="s">
        <v>471</v>
      </c>
      <c r="D89" s="24">
        <v>0</v>
      </c>
      <c r="E89" s="24">
        <v>0</v>
      </c>
      <c r="F89" s="25" t="s">
        <v>50</v>
      </c>
      <c r="G89" s="24">
        <v>0</v>
      </c>
      <c r="H89" s="24">
        <v>0</v>
      </c>
      <c r="I89" s="24">
        <f t="shared" si="19"/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5">
        <v>0</v>
      </c>
      <c r="R89" s="25" t="s">
        <v>50</v>
      </c>
      <c r="S89" s="24">
        <f t="shared" si="20"/>
        <v>0</v>
      </c>
      <c r="T89" s="24">
        <f t="shared" si="18"/>
        <v>0</v>
      </c>
      <c r="U89" s="26">
        <v>0</v>
      </c>
      <c r="V89" s="68"/>
    </row>
    <row r="90" spans="1:22" ht="45.75" customHeight="1" x14ac:dyDescent="0.25">
      <c r="A90" s="30" t="s">
        <v>22</v>
      </c>
      <c r="B90" s="23" t="s">
        <v>472</v>
      </c>
      <c r="C90" s="53" t="s">
        <v>473</v>
      </c>
      <c r="D90" s="24">
        <v>0</v>
      </c>
      <c r="E90" s="24">
        <v>0</v>
      </c>
      <c r="F90" s="25" t="s">
        <v>50</v>
      </c>
      <c r="G90" s="24">
        <v>0</v>
      </c>
      <c r="H90" s="24">
        <f t="shared" si="19"/>
        <v>0</v>
      </c>
      <c r="I90" s="24">
        <f t="shared" si="19"/>
        <v>0</v>
      </c>
      <c r="J90" s="24">
        <v>0</v>
      </c>
      <c r="K90" s="24">
        <v>0</v>
      </c>
      <c r="L90" s="24">
        <v>0</v>
      </c>
      <c r="M90" s="25">
        <v>0</v>
      </c>
      <c r="N90" s="24">
        <v>0</v>
      </c>
      <c r="O90" s="25">
        <v>0</v>
      </c>
      <c r="P90" s="24">
        <v>0</v>
      </c>
      <c r="Q90" s="25">
        <v>0</v>
      </c>
      <c r="R90" s="25" t="s">
        <v>50</v>
      </c>
      <c r="S90" s="24">
        <f t="shared" si="20"/>
        <v>0</v>
      </c>
      <c r="T90" s="24">
        <f t="shared" si="18"/>
        <v>0</v>
      </c>
      <c r="U90" s="26">
        <v>0</v>
      </c>
      <c r="V90" s="68"/>
    </row>
    <row r="91" spans="1:22" ht="45.75" customHeight="1" x14ac:dyDescent="0.25">
      <c r="A91" s="30" t="s">
        <v>22</v>
      </c>
      <c r="B91" s="23" t="s">
        <v>474</v>
      </c>
      <c r="C91" s="53" t="s">
        <v>475</v>
      </c>
      <c r="D91" s="24">
        <v>0</v>
      </c>
      <c r="E91" s="24">
        <v>0</v>
      </c>
      <c r="F91" s="25" t="s">
        <v>50</v>
      </c>
      <c r="G91" s="24">
        <v>0</v>
      </c>
      <c r="H91" s="24">
        <v>0</v>
      </c>
      <c r="I91" s="24">
        <f t="shared" si="19"/>
        <v>0</v>
      </c>
      <c r="J91" s="24">
        <v>0</v>
      </c>
      <c r="K91" s="24">
        <v>0</v>
      </c>
      <c r="L91" s="24">
        <v>0</v>
      </c>
      <c r="M91" s="25">
        <v>0</v>
      </c>
      <c r="N91" s="24">
        <v>0</v>
      </c>
      <c r="O91" s="25">
        <v>0</v>
      </c>
      <c r="P91" s="24">
        <v>0</v>
      </c>
      <c r="Q91" s="25">
        <v>0</v>
      </c>
      <c r="R91" s="25" t="s">
        <v>50</v>
      </c>
      <c r="S91" s="24">
        <f t="shared" si="20"/>
        <v>0</v>
      </c>
      <c r="T91" s="24">
        <f t="shared" si="18"/>
        <v>0</v>
      </c>
      <c r="U91" s="26">
        <v>0</v>
      </c>
      <c r="V91" s="68"/>
    </row>
    <row r="92" spans="1:22" ht="45.75" customHeight="1" x14ac:dyDescent="0.25">
      <c r="A92" s="30" t="s">
        <v>22</v>
      </c>
      <c r="B92" s="23" t="s">
        <v>480</v>
      </c>
      <c r="C92" s="53" t="s">
        <v>481</v>
      </c>
      <c r="D92" s="24">
        <v>0</v>
      </c>
      <c r="E92" s="24">
        <v>0</v>
      </c>
      <c r="F92" s="25" t="s">
        <v>50</v>
      </c>
      <c r="G92" s="24">
        <v>0</v>
      </c>
      <c r="H92" s="24">
        <v>0</v>
      </c>
      <c r="I92" s="24">
        <f t="shared" si="19"/>
        <v>0</v>
      </c>
      <c r="J92" s="24">
        <v>0</v>
      </c>
      <c r="K92" s="24">
        <v>0</v>
      </c>
      <c r="L92" s="24">
        <v>0</v>
      </c>
      <c r="M92" s="25">
        <v>0</v>
      </c>
      <c r="N92" s="24">
        <v>0</v>
      </c>
      <c r="O92" s="25">
        <v>0</v>
      </c>
      <c r="P92" s="24">
        <v>0</v>
      </c>
      <c r="Q92" s="25">
        <v>0</v>
      </c>
      <c r="R92" s="25" t="s">
        <v>50</v>
      </c>
      <c r="S92" s="24">
        <f t="shared" si="20"/>
        <v>0</v>
      </c>
      <c r="T92" s="24">
        <f t="shared" si="18"/>
        <v>0</v>
      </c>
      <c r="U92" s="26">
        <v>0</v>
      </c>
      <c r="V92" s="68"/>
    </row>
    <row r="93" spans="1:22" ht="46.5" customHeight="1" x14ac:dyDescent="0.25">
      <c r="A93" s="30" t="s">
        <v>22</v>
      </c>
      <c r="B93" s="23" t="s">
        <v>482</v>
      </c>
      <c r="C93" s="53" t="s">
        <v>483</v>
      </c>
      <c r="D93" s="24">
        <v>0</v>
      </c>
      <c r="E93" s="24">
        <v>0</v>
      </c>
      <c r="F93" s="25" t="s">
        <v>50</v>
      </c>
      <c r="G93" s="24">
        <v>0</v>
      </c>
      <c r="H93" s="24">
        <v>0</v>
      </c>
      <c r="I93" s="24">
        <f t="shared" si="19"/>
        <v>0</v>
      </c>
      <c r="J93" s="24">
        <v>0</v>
      </c>
      <c r="K93" s="24">
        <v>0</v>
      </c>
      <c r="L93" s="24">
        <v>0</v>
      </c>
      <c r="M93" s="25">
        <v>0</v>
      </c>
      <c r="N93" s="24">
        <v>0</v>
      </c>
      <c r="O93" s="25">
        <v>0</v>
      </c>
      <c r="P93" s="24">
        <v>0</v>
      </c>
      <c r="Q93" s="25">
        <v>0</v>
      </c>
      <c r="R93" s="25" t="s">
        <v>50</v>
      </c>
      <c r="S93" s="24">
        <f t="shared" si="20"/>
        <v>0</v>
      </c>
      <c r="T93" s="24">
        <f t="shared" si="18"/>
        <v>0</v>
      </c>
      <c r="U93" s="26">
        <v>0</v>
      </c>
      <c r="V93" s="68"/>
    </row>
    <row r="94" spans="1:22" ht="105" customHeight="1" x14ac:dyDescent="0.25">
      <c r="A94" s="30" t="s">
        <v>22</v>
      </c>
      <c r="B94" s="23" t="s">
        <v>486</v>
      </c>
      <c r="C94" s="53" t="s">
        <v>487</v>
      </c>
      <c r="D94" s="24">
        <v>0</v>
      </c>
      <c r="E94" s="24">
        <v>0</v>
      </c>
      <c r="F94" s="25" t="s">
        <v>50</v>
      </c>
      <c r="G94" s="24">
        <v>0</v>
      </c>
      <c r="H94" s="24">
        <v>0</v>
      </c>
      <c r="I94" s="24">
        <f t="shared" si="19"/>
        <v>27.925402939999998</v>
      </c>
      <c r="J94" s="24">
        <v>0</v>
      </c>
      <c r="K94" s="24">
        <v>0</v>
      </c>
      <c r="L94" s="24">
        <v>0</v>
      </c>
      <c r="M94" s="25">
        <v>0</v>
      </c>
      <c r="N94" s="24">
        <v>0</v>
      </c>
      <c r="O94" s="25">
        <v>0</v>
      </c>
      <c r="P94" s="24">
        <v>0</v>
      </c>
      <c r="Q94" s="25">
        <v>27.925402939999998</v>
      </c>
      <c r="R94" s="25" t="s">
        <v>50</v>
      </c>
      <c r="S94" s="24">
        <f t="shared" si="20"/>
        <v>-27.925402939999998</v>
      </c>
      <c r="T94" s="24">
        <f t="shared" si="18"/>
        <v>27.925402939999998</v>
      </c>
      <c r="U94" s="26">
        <v>100</v>
      </c>
      <c r="V94" s="68"/>
    </row>
    <row r="95" spans="1:22" ht="53.25" customHeight="1" x14ac:dyDescent="0.25">
      <c r="A95" s="30" t="s">
        <v>22</v>
      </c>
      <c r="B95" s="23" t="s">
        <v>623</v>
      </c>
      <c r="C95" s="53" t="s">
        <v>632</v>
      </c>
      <c r="D95" s="24">
        <v>0</v>
      </c>
      <c r="E95" s="24">
        <v>0</v>
      </c>
      <c r="F95" s="25" t="s">
        <v>50</v>
      </c>
      <c r="G95" s="24">
        <v>0</v>
      </c>
      <c r="H95" s="24">
        <f t="shared" si="19"/>
        <v>0</v>
      </c>
      <c r="I95" s="24">
        <f t="shared" si="19"/>
        <v>0</v>
      </c>
      <c r="J95" s="24">
        <v>0</v>
      </c>
      <c r="K95" s="24">
        <v>0</v>
      </c>
      <c r="L95" s="24">
        <v>0</v>
      </c>
      <c r="M95" s="25">
        <v>0</v>
      </c>
      <c r="N95" s="24">
        <v>0</v>
      </c>
      <c r="O95" s="25">
        <v>0</v>
      </c>
      <c r="P95" s="24">
        <v>0</v>
      </c>
      <c r="Q95" s="25">
        <v>0</v>
      </c>
      <c r="R95" s="25" t="s">
        <v>50</v>
      </c>
      <c r="S95" s="24">
        <f t="shared" si="20"/>
        <v>0</v>
      </c>
      <c r="T95" s="24">
        <f t="shared" si="18"/>
        <v>0</v>
      </c>
      <c r="U95" s="26">
        <v>0</v>
      </c>
      <c r="V95" s="68"/>
    </row>
    <row r="96" spans="1:22" ht="69.75" customHeight="1" x14ac:dyDescent="0.25">
      <c r="A96" s="30" t="s">
        <v>22</v>
      </c>
      <c r="B96" s="23" t="s">
        <v>624</v>
      </c>
      <c r="C96" s="53" t="s">
        <v>633</v>
      </c>
      <c r="D96" s="24">
        <v>0</v>
      </c>
      <c r="E96" s="24">
        <v>0</v>
      </c>
      <c r="F96" s="25" t="s">
        <v>50</v>
      </c>
      <c r="G96" s="24">
        <v>0</v>
      </c>
      <c r="H96" s="24">
        <f t="shared" si="19"/>
        <v>0</v>
      </c>
      <c r="I96" s="24">
        <f t="shared" si="19"/>
        <v>0</v>
      </c>
      <c r="J96" s="24">
        <v>0</v>
      </c>
      <c r="K96" s="24">
        <v>0</v>
      </c>
      <c r="L96" s="24">
        <v>0</v>
      </c>
      <c r="M96" s="25">
        <v>0</v>
      </c>
      <c r="N96" s="24">
        <v>0</v>
      </c>
      <c r="O96" s="25">
        <v>0</v>
      </c>
      <c r="P96" s="24">
        <v>0</v>
      </c>
      <c r="Q96" s="25">
        <v>0</v>
      </c>
      <c r="R96" s="25" t="s">
        <v>50</v>
      </c>
      <c r="S96" s="24">
        <f t="shared" si="20"/>
        <v>0</v>
      </c>
      <c r="T96" s="24">
        <f t="shared" si="18"/>
        <v>0</v>
      </c>
      <c r="U96" s="26">
        <v>0</v>
      </c>
      <c r="V96" s="68"/>
    </row>
    <row r="97" spans="1:22" ht="54" customHeight="1" x14ac:dyDescent="0.25">
      <c r="A97" s="30" t="s">
        <v>22</v>
      </c>
      <c r="B97" s="23" t="s">
        <v>625</v>
      </c>
      <c r="C97" s="53" t="s">
        <v>634</v>
      </c>
      <c r="D97" s="24">
        <v>0</v>
      </c>
      <c r="E97" s="24">
        <v>0</v>
      </c>
      <c r="F97" s="25" t="s">
        <v>50</v>
      </c>
      <c r="G97" s="24">
        <v>0</v>
      </c>
      <c r="H97" s="24">
        <f t="shared" si="19"/>
        <v>0</v>
      </c>
      <c r="I97" s="24">
        <f t="shared" si="19"/>
        <v>0</v>
      </c>
      <c r="J97" s="24">
        <v>0</v>
      </c>
      <c r="K97" s="24">
        <v>0</v>
      </c>
      <c r="L97" s="24">
        <v>0</v>
      </c>
      <c r="M97" s="25">
        <v>0</v>
      </c>
      <c r="N97" s="24">
        <v>0</v>
      </c>
      <c r="O97" s="25">
        <v>0</v>
      </c>
      <c r="P97" s="24">
        <v>0</v>
      </c>
      <c r="Q97" s="25">
        <v>0</v>
      </c>
      <c r="R97" s="25" t="s">
        <v>50</v>
      </c>
      <c r="S97" s="24">
        <f t="shared" si="20"/>
        <v>0</v>
      </c>
      <c r="T97" s="24">
        <f t="shared" si="18"/>
        <v>0</v>
      </c>
      <c r="U97" s="26">
        <v>0</v>
      </c>
      <c r="V97" s="68"/>
    </row>
    <row r="98" spans="1:22" ht="51.75" customHeight="1" x14ac:dyDescent="0.25">
      <c r="A98" s="30" t="s">
        <v>22</v>
      </c>
      <c r="B98" s="23" t="s">
        <v>626</v>
      </c>
      <c r="C98" s="53" t="s">
        <v>635</v>
      </c>
      <c r="D98" s="24">
        <v>0</v>
      </c>
      <c r="E98" s="24">
        <v>0</v>
      </c>
      <c r="F98" s="25" t="s">
        <v>50</v>
      </c>
      <c r="G98" s="24">
        <v>0</v>
      </c>
      <c r="H98" s="24">
        <f t="shared" si="19"/>
        <v>0</v>
      </c>
      <c r="I98" s="24">
        <f t="shared" si="19"/>
        <v>0</v>
      </c>
      <c r="J98" s="24">
        <v>0</v>
      </c>
      <c r="K98" s="24">
        <v>0</v>
      </c>
      <c r="L98" s="24">
        <v>0</v>
      </c>
      <c r="M98" s="25">
        <v>0</v>
      </c>
      <c r="N98" s="24">
        <v>0</v>
      </c>
      <c r="O98" s="25">
        <v>0</v>
      </c>
      <c r="P98" s="24">
        <v>0</v>
      </c>
      <c r="Q98" s="25">
        <v>0</v>
      </c>
      <c r="R98" s="25" t="s">
        <v>50</v>
      </c>
      <c r="S98" s="24">
        <f t="shared" si="20"/>
        <v>0</v>
      </c>
      <c r="T98" s="24">
        <f t="shared" si="18"/>
        <v>0</v>
      </c>
      <c r="U98" s="26">
        <v>0</v>
      </c>
      <c r="V98" s="68"/>
    </row>
    <row r="99" spans="1:22" ht="51.75" customHeight="1" x14ac:dyDescent="0.25">
      <c r="A99" s="30" t="s">
        <v>22</v>
      </c>
      <c r="B99" s="23" t="s">
        <v>627</v>
      </c>
      <c r="C99" s="53" t="s">
        <v>636</v>
      </c>
      <c r="D99" s="24">
        <v>0</v>
      </c>
      <c r="E99" s="24">
        <v>0</v>
      </c>
      <c r="F99" s="25" t="s">
        <v>50</v>
      </c>
      <c r="G99" s="24">
        <v>0</v>
      </c>
      <c r="H99" s="24">
        <f t="shared" si="19"/>
        <v>0</v>
      </c>
      <c r="I99" s="24">
        <f t="shared" si="19"/>
        <v>3.8812589999999994E-2</v>
      </c>
      <c r="J99" s="24">
        <v>0</v>
      </c>
      <c r="K99" s="24">
        <v>0</v>
      </c>
      <c r="L99" s="24">
        <v>0</v>
      </c>
      <c r="M99" s="25">
        <v>3.8812589999999994E-2</v>
      </c>
      <c r="N99" s="24">
        <v>0</v>
      </c>
      <c r="O99" s="25">
        <v>0</v>
      </c>
      <c r="P99" s="24">
        <v>0</v>
      </c>
      <c r="Q99" s="25">
        <v>0</v>
      </c>
      <c r="R99" s="25" t="s">
        <v>50</v>
      </c>
      <c r="S99" s="24">
        <f t="shared" si="20"/>
        <v>-3.8812589999999994E-2</v>
      </c>
      <c r="T99" s="24">
        <f t="shared" si="18"/>
        <v>3.8812589999999994E-2</v>
      </c>
      <c r="U99" s="26">
        <v>100</v>
      </c>
      <c r="V99" s="68"/>
    </row>
    <row r="100" spans="1:22" ht="51.75" customHeight="1" x14ac:dyDescent="0.25">
      <c r="A100" s="30" t="s">
        <v>22</v>
      </c>
      <c r="B100" s="23" t="s">
        <v>628</v>
      </c>
      <c r="C100" s="53" t="s">
        <v>637</v>
      </c>
      <c r="D100" s="24">
        <v>0</v>
      </c>
      <c r="E100" s="24">
        <v>0</v>
      </c>
      <c r="F100" s="25" t="s">
        <v>50</v>
      </c>
      <c r="G100" s="24">
        <v>0</v>
      </c>
      <c r="H100" s="24">
        <f t="shared" si="19"/>
        <v>0</v>
      </c>
      <c r="I100" s="24">
        <f t="shared" si="19"/>
        <v>5.66106759</v>
      </c>
      <c r="J100" s="24">
        <v>0</v>
      </c>
      <c r="K100" s="24">
        <v>0</v>
      </c>
      <c r="L100" s="24">
        <v>0</v>
      </c>
      <c r="M100" s="25">
        <v>0</v>
      </c>
      <c r="N100" s="24">
        <v>0</v>
      </c>
      <c r="O100" s="25">
        <v>5.66106759</v>
      </c>
      <c r="P100" s="24">
        <v>0</v>
      </c>
      <c r="Q100" s="25">
        <v>0</v>
      </c>
      <c r="R100" s="25" t="s">
        <v>50</v>
      </c>
      <c r="S100" s="24">
        <f t="shared" si="20"/>
        <v>-5.66106759</v>
      </c>
      <c r="T100" s="24">
        <f t="shared" si="18"/>
        <v>5.66106759</v>
      </c>
      <c r="U100" s="26">
        <v>100</v>
      </c>
      <c r="V100" s="68"/>
    </row>
    <row r="101" spans="1:22" ht="51.75" customHeight="1" x14ac:dyDescent="0.25">
      <c r="A101" s="30" t="s">
        <v>22</v>
      </c>
      <c r="B101" s="23" t="s">
        <v>629</v>
      </c>
      <c r="C101" s="53" t="s">
        <v>638</v>
      </c>
      <c r="D101" s="24">
        <v>0</v>
      </c>
      <c r="E101" s="24">
        <v>0</v>
      </c>
      <c r="F101" s="25" t="s">
        <v>50</v>
      </c>
      <c r="G101" s="24">
        <v>0</v>
      </c>
      <c r="H101" s="24">
        <f t="shared" si="19"/>
        <v>0</v>
      </c>
      <c r="I101" s="24">
        <f t="shared" si="19"/>
        <v>0.33434207999999999</v>
      </c>
      <c r="J101" s="24">
        <v>0</v>
      </c>
      <c r="K101" s="24">
        <v>0</v>
      </c>
      <c r="L101" s="24">
        <v>0</v>
      </c>
      <c r="M101" s="25">
        <v>0.33434207999999999</v>
      </c>
      <c r="N101" s="24">
        <v>0</v>
      </c>
      <c r="O101" s="25">
        <v>0</v>
      </c>
      <c r="P101" s="24">
        <v>0</v>
      </c>
      <c r="Q101" s="25">
        <v>0</v>
      </c>
      <c r="R101" s="25" t="s">
        <v>50</v>
      </c>
      <c r="S101" s="24">
        <f t="shared" si="20"/>
        <v>-0.33434207999999999</v>
      </c>
      <c r="T101" s="24">
        <f t="shared" si="18"/>
        <v>0.33434207999999999</v>
      </c>
      <c r="U101" s="26">
        <v>100</v>
      </c>
      <c r="V101" s="68"/>
    </row>
    <row r="102" spans="1:22" ht="51.75" customHeight="1" x14ac:dyDescent="0.25">
      <c r="A102" s="30" t="s">
        <v>22</v>
      </c>
      <c r="B102" s="23" t="s">
        <v>630</v>
      </c>
      <c r="C102" s="53" t="s">
        <v>639</v>
      </c>
      <c r="D102" s="24">
        <v>0</v>
      </c>
      <c r="E102" s="24">
        <v>0</v>
      </c>
      <c r="F102" s="25" t="s">
        <v>50</v>
      </c>
      <c r="G102" s="24">
        <v>0</v>
      </c>
      <c r="H102" s="24">
        <f t="shared" si="19"/>
        <v>0</v>
      </c>
      <c r="I102" s="24">
        <f t="shared" si="19"/>
        <v>0</v>
      </c>
      <c r="J102" s="24">
        <v>0</v>
      </c>
      <c r="K102" s="24">
        <v>0</v>
      </c>
      <c r="L102" s="24">
        <v>0</v>
      </c>
      <c r="M102" s="25">
        <v>0</v>
      </c>
      <c r="N102" s="24">
        <v>0</v>
      </c>
      <c r="O102" s="25">
        <v>0</v>
      </c>
      <c r="P102" s="24">
        <v>0</v>
      </c>
      <c r="Q102" s="25">
        <v>0</v>
      </c>
      <c r="R102" s="25" t="s">
        <v>50</v>
      </c>
      <c r="S102" s="24">
        <f t="shared" si="20"/>
        <v>0</v>
      </c>
      <c r="T102" s="24">
        <f t="shared" si="18"/>
        <v>0</v>
      </c>
      <c r="U102" s="26">
        <v>0</v>
      </c>
      <c r="V102" s="68"/>
    </row>
    <row r="103" spans="1:22" ht="51.75" customHeight="1" x14ac:dyDescent="0.25">
      <c r="A103" s="30" t="s">
        <v>22</v>
      </c>
      <c r="B103" s="23" t="s">
        <v>724</v>
      </c>
      <c r="C103" s="53" t="s">
        <v>725</v>
      </c>
      <c r="D103" s="24">
        <v>0</v>
      </c>
      <c r="E103" s="24">
        <v>0</v>
      </c>
      <c r="F103" s="25" t="s">
        <v>50</v>
      </c>
      <c r="G103" s="24">
        <v>0</v>
      </c>
      <c r="H103" s="24">
        <f t="shared" si="19"/>
        <v>0</v>
      </c>
      <c r="I103" s="24">
        <f t="shared" si="19"/>
        <v>3.9615916200000001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5">
        <v>3.9615916200000001</v>
      </c>
      <c r="P103" s="24">
        <v>0</v>
      </c>
      <c r="Q103" s="24">
        <v>0</v>
      </c>
      <c r="R103" s="25" t="s">
        <v>50</v>
      </c>
      <c r="S103" s="24">
        <f t="shared" si="20"/>
        <v>-3.9615916200000001</v>
      </c>
      <c r="T103" s="24">
        <f t="shared" si="18"/>
        <v>3.9615916200000001</v>
      </c>
      <c r="U103" s="26">
        <v>100</v>
      </c>
      <c r="V103" s="68"/>
    </row>
    <row r="104" spans="1:22" ht="51.75" customHeight="1" x14ac:dyDescent="0.25">
      <c r="A104" s="30" t="s">
        <v>22</v>
      </c>
      <c r="B104" s="23" t="s">
        <v>726</v>
      </c>
      <c r="C104" s="53" t="s">
        <v>727</v>
      </c>
      <c r="D104" s="24">
        <v>0</v>
      </c>
      <c r="E104" s="24">
        <v>0</v>
      </c>
      <c r="F104" s="25" t="s">
        <v>50</v>
      </c>
      <c r="G104" s="24">
        <v>0</v>
      </c>
      <c r="H104" s="24">
        <f t="shared" si="19"/>
        <v>0</v>
      </c>
      <c r="I104" s="24">
        <f t="shared" si="19"/>
        <v>2.6962482799999998</v>
      </c>
      <c r="J104" s="24">
        <v>0</v>
      </c>
      <c r="K104" s="24">
        <v>0</v>
      </c>
      <c r="L104" s="24">
        <v>0</v>
      </c>
      <c r="M104" s="25">
        <v>0</v>
      </c>
      <c r="N104" s="24">
        <v>0</v>
      </c>
      <c r="O104" s="25">
        <v>2.6962482799999998</v>
      </c>
      <c r="P104" s="24">
        <v>0</v>
      </c>
      <c r="Q104" s="24">
        <v>0</v>
      </c>
      <c r="R104" s="25" t="s">
        <v>50</v>
      </c>
      <c r="S104" s="24">
        <f t="shared" si="20"/>
        <v>-2.6962482799999998</v>
      </c>
      <c r="T104" s="24">
        <f t="shared" si="18"/>
        <v>2.6962482799999998</v>
      </c>
      <c r="U104" s="26">
        <v>100</v>
      </c>
      <c r="V104" s="68"/>
    </row>
    <row r="105" spans="1:22" ht="51.75" customHeight="1" x14ac:dyDescent="0.25">
      <c r="A105" s="30" t="s">
        <v>22</v>
      </c>
      <c r="B105" s="23" t="s">
        <v>728</v>
      </c>
      <c r="C105" s="53" t="s">
        <v>729</v>
      </c>
      <c r="D105" s="24">
        <v>0</v>
      </c>
      <c r="E105" s="24">
        <v>0</v>
      </c>
      <c r="F105" s="25" t="s">
        <v>50</v>
      </c>
      <c r="G105" s="24">
        <v>0</v>
      </c>
      <c r="H105" s="24">
        <f t="shared" si="19"/>
        <v>0</v>
      </c>
      <c r="I105" s="24">
        <f t="shared" si="19"/>
        <v>3.6844769799999999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5">
        <v>3.6844769799999999</v>
      </c>
      <c r="P105" s="24">
        <v>0</v>
      </c>
      <c r="Q105" s="24">
        <v>0</v>
      </c>
      <c r="R105" s="25" t="s">
        <v>50</v>
      </c>
      <c r="S105" s="24">
        <f t="shared" si="20"/>
        <v>-3.6844769799999999</v>
      </c>
      <c r="T105" s="24">
        <f t="shared" si="18"/>
        <v>3.6844769799999999</v>
      </c>
      <c r="U105" s="26">
        <v>100</v>
      </c>
      <c r="V105" s="68"/>
    </row>
    <row r="106" spans="1:22" ht="49.5" customHeight="1" x14ac:dyDescent="0.25">
      <c r="A106" s="30" t="s">
        <v>22</v>
      </c>
      <c r="B106" s="23" t="s">
        <v>466</v>
      </c>
      <c r="C106" s="53" t="s">
        <v>467</v>
      </c>
      <c r="D106" s="24">
        <v>0</v>
      </c>
      <c r="E106" s="24">
        <v>0</v>
      </c>
      <c r="F106" s="25" t="s">
        <v>50</v>
      </c>
      <c r="G106" s="24">
        <v>0</v>
      </c>
      <c r="H106" s="24">
        <f t="shared" si="19"/>
        <v>0</v>
      </c>
      <c r="I106" s="24">
        <f t="shared" si="19"/>
        <v>0</v>
      </c>
      <c r="J106" s="24">
        <v>0</v>
      </c>
      <c r="K106" s="24">
        <v>0</v>
      </c>
      <c r="L106" s="24">
        <v>0</v>
      </c>
      <c r="M106" s="25">
        <v>0</v>
      </c>
      <c r="N106" s="24">
        <v>0</v>
      </c>
      <c r="O106" s="25">
        <v>0</v>
      </c>
      <c r="P106" s="24">
        <v>0</v>
      </c>
      <c r="Q106" s="24">
        <v>0</v>
      </c>
      <c r="R106" s="25" t="s">
        <v>50</v>
      </c>
      <c r="S106" s="24">
        <f t="shared" si="20"/>
        <v>0</v>
      </c>
      <c r="T106" s="24">
        <f t="shared" si="18"/>
        <v>0</v>
      </c>
      <c r="U106" s="26">
        <v>0</v>
      </c>
      <c r="V106" s="68"/>
    </row>
    <row r="107" spans="1:22" ht="49.5" customHeight="1" x14ac:dyDescent="0.25">
      <c r="A107" s="30" t="s">
        <v>22</v>
      </c>
      <c r="B107" s="23" t="s">
        <v>739</v>
      </c>
      <c r="C107" s="53" t="s">
        <v>740</v>
      </c>
      <c r="D107" s="24">
        <v>0</v>
      </c>
      <c r="E107" s="24">
        <v>0</v>
      </c>
      <c r="F107" s="25" t="s">
        <v>50</v>
      </c>
      <c r="G107" s="24">
        <v>0</v>
      </c>
      <c r="H107" s="24">
        <v>0</v>
      </c>
      <c r="I107" s="24">
        <f t="shared" si="19"/>
        <v>0</v>
      </c>
      <c r="J107" s="24">
        <v>0</v>
      </c>
      <c r="K107" s="24">
        <v>0</v>
      </c>
      <c r="L107" s="24">
        <v>0</v>
      </c>
      <c r="M107" s="25">
        <v>0</v>
      </c>
      <c r="N107" s="24">
        <v>0</v>
      </c>
      <c r="O107" s="25">
        <v>0</v>
      </c>
      <c r="P107" s="24">
        <v>0</v>
      </c>
      <c r="Q107" s="24">
        <v>0</v>
      </c>
      <c r="R107" s="25" t="s">
        <v>50</v>
      </c>
      <c r="S107" s="24">
        <f t="shared" si="20"/>
        <v>0</v>
      </c>
      <c r="T107" s="24">
        <f t="shared" si="18"/>
        <v>0</v>
      </c>
      <c r="U107" s="26">
        <v>0</v>
      </c>
      <c r="V107" s="68"/>
    </row>
    <row r="108" spans="1:22" ht="49.5" customHeight="1" x14ac:dyDescent="0.25">
      <c r="A108" s="30" t="s">
        <v>22</v>
      </c>
      <c r="B108" s="23" t="s">
        <v>724</v>
      </c>
      <c r="C108" s="53" t="s">
        <v>725</v>
      </c>
      <c r="D108" s="24">
        <v>0</v>
      </c>
      <c r="E108" s="24">
        <v>0</v>
      </c>
      <c r="F108" s="25" t="s">
        <v>50</v>
      </c>
      <c r="G108" s="24">
        <v>0</v>
      </c>
      <c r="H108" s="24">
        <v>0</v>
      </c>
      <c r="I108" s="24">
        <f t="shared" si="19"/>
        <v>0</v>
      </c>
      <c r="J108" s="24">
        <v>0</v>
      </c>
      <c r="K108" s="24">
        <v>0</v>
      </c>
      <c r="L108" s="24">
        <v>0</v>
      </c>
      <c r="M108" s="25">
        <v>0</v>
      </c>
      <c r="N108" s="24">
        <v>0</v>
      </c>
      <c r="O108" s="25">
        <v>0</v>
      </c>
      <c r="P108" s="24">
        <v>0</v>
      </c>
      <c r="Q108" s="24">
        <v>0</v>
      </c>
      <c r="R108" s="25" t="s">
        <v>50</v>
      </c>
      <c r="S108" s="24">
        <f t="shared" si="20"/>
        <v>0</v>
      </c>
      <c r="T108" s="24">
        <f t="shared" si="18"/>
        <v>0</v>
      </c>
      <c r="U108" s="26">
        <v>0</v>
      </c>
      <c r="V108" s="68"/>
    </row>
    <row r="109" spans="1:22" ht="49.5" customHeight="1" x14ac:dyDescent="0.25">
      <c r="A109" s="30" t="s">
        <v>22</v>
      </c>
      <c r="B109" s="23" t="s">
        <v>741</v>
      </c>
      <c r="C109" s="53" t="s">
        <v>742</v>
      </c>
      <c r="D109" s="24">
        <v>0</v>
      </c>
      <c r="E109" s="24">
        <v>0</v>
      </c>
      <c r="F109" s="25" t="s">
        <v>50</v>
      </c>
      <c r="G109" s="24">
        <v>0</v>
      </c>
      <c r="H109" s="24">
        <v>0</v>
      </c>
      <c r="I109" s="24">
        <f t="shared" si="19"/>
        <v>0</v>
      </c>
      <c r="J109" s="24">
        <v>0</v>
      </c>
      <c r="K109" s="24">
        <v>0</v>
      </c>
      <c r="L109" s="24">
        <v>0</v>
      </c>
      <c r="M109" s="25">
        <v>0</v>
      </c>
      <c r="N109" s="24">
        <v>0</v>
      </c>
      <c r="O109" s="25">
        <v>0</v>
      </c>
      <c r="P109" s="24">
        <v>0</v>
      </c>
      <c r="Q109" s="24">
        <v>0</v>
      </c>
      <c r="R109" s="25" t="s">
        <v>50</v>
      </c>
      <c r="S109" s="24">
        <f t="shared" si="20"/>
        <v>0</v>
      </c>
      <c r="T109" s="24">
        <f t="shared" si="18"/>
        <v>0</v>
      </c>
      <c r="U109" s="26">
        <v>0</v>
      </c>
      <c r="V109" s="68"/>
    </row>
    <row r="110" spans="1:22" ht="49.5" customHeight="1" x14ac:dyDescent="0.25">
      <c r="A110" s="30" t="s">
        <v>22</v>
      </c>
      <c r="B110" s="23" t="s">
        <v>743</v>
      </c>
      <c r="C110" s="53" t="s">
        <v>744</v>
      </c>
      <c r="D110" s="24">
        <v>0</v>
      </c>
      <c r="E110" s="24">
        <v>0</v>
      </c>
      <c r="F110" s="25" t="s">
        <v>50</v>
      </c>
      <c r="G110" s="24">
        <v>0</v>
      </c>
      <c r="H110" s="24">
        <v>0</v>
      </c>
      <c r="I110" s="24">
        <f t="shared" si="19"/>
        <v>0</v>
      </c>
      <c r="J110" s="24">
        <v>0</v>
      </c>
      <c r="K110" s="24">
        <v>0</v>
      </c>
      <c r="L110" s="24">
        <v>0</v>
      </c>
      <c r="M110" s="25">
        <v>0</v>
      </c>
      <c r="N110" s="24">
        <v>0</v>
      </c>
      <c r="O110" s="25">
        <v>0</v>
      </c>
      <c r="P110" s="24">
        <v>0</v>
      </c>
      <c r="Q110" s="24">
        <v>0</v>
      </c>
      <c r="R110" s="25" t="s">
        <v>50</v>
      </c>
      <c r="S110" s="24">
        <f t="shared" si="20"/>
        <v>0</v>
      </c>
      <c r="T110" s="24">
        <f t="shared" si="18"/>
        <v>0</v>
      </c>
      <c r="U110" s="26">
        <v>0</v>
      </c>
      <c r="V110" s="68"/>
    </row>
    <row r="111" spans="1:22" ht="54" customHeight="1" x14ac:dyDescent="0.25">
      <c r="A111" s="30" t="s">
        <v>22</v>
      </c>
      <c r="B111" s="23" t="s">
        <v>726</v>
      </c>
      <c r="C111" s="53" t="s">
        <v>727</v>
      </c>
      <c r="D111" s="24">
        <v>0</v>
      </c>
      <c r="E111" s="24">
        <v>0</v>
      </c>
      <c r="F111" s="25" t="s">
        <v>50</v>
      </c>
      <c r="G111" s="24">
        <v>0</v>
      </c>
      <c r="H111" s="24">
        <v>0</v>
      </c>
      <c r="I111" s="24">
        <f t="shared" si="19"/>
        <v>0</v>
      </c>
      <c r="J111" s="24">
        <v>0</v>
      </c>
      <c r="K111" s="24">
        <v>0</v>
      </c>
      <c r="L111" s="24">
        <v>0</v>
      </c>
      <c r="M111" s="25">
        <v>0</v>
      </c>
      <c r="N111" s="24">
        <v>0</v>
      </c>
      <c r="O111" s="25">
        <v>0</v>
      </c>
      <c r="P111" s="24">
        <v>0</v>
      </c>
      <c r="Q111" s="24">
        <v>0</v>
      </c>
      <c r="R111" s="25" t="s">
        <v>50</v>
      </c>
      <c r="S111" s="24">
        <f t="shared" si="20"/>
        <v>0</v>
      </c>
      <c r="T111" s="24">
        <f t="shared" si="18"/>
        <v>0</v>
      </c>
      <c r="U111" s="26">
        <v>0</v>
      </c>
      <c r="V111" s="68"/>
    </row>
    <row r="112" spans="1:22" ht="54" customHeight="1" x14ac:dyDescent="0.25">
      <c r="A112" s="30" t="s">
        <v>22</v>
      </c>
      <c r="B112" s="23" t="s">
        <v>745</v>
      </c>
      <c r="C112" s="53" t="s">
        <v>746</v>
      </c>
      <c r="D112" s="24">
        <v>0</v>
      </c>
      <c r="E112" s="24">
        <v>0</v>
      </c>
      <c r="F112" s="25" t="s">
        <v>50</v>
      </c>
      <c r="G112" s="24">
        <v>0</v>
      </c>
      <c r="H112" s="24">
        <v>0</v>
      </c>
      <c r="I112" s="24">
        <f t="shared" si="19"/>
        <v>0</v>
      </c>
      <c r="J112" s="24">
        <v>0</v>
      </c>
      <c r="K112" s="24">
        <v>0</v>
      </c>
      <c r="L112" s="24">
        <v>0</v>
      </c>
      <c r="M112" s="25">
        <v>0</v>
      </c>
      <c r="N112" s="24">
        <v>0</v>
      </c>
      <c r="O112" s="25">
        <v>0</v>
      </c>
      <c r="P112" s="24">
        <v>0</v>
      </c>
      <c r="Q112" s="24">
        <v>0</v>
      </c>
      <c r="R112" s="25" t="s">
        <v>50</v>
      </c>
      <c r="S112" s="24">
        <f t="shared" si="20"/>
        <v>0</v>
      </c>
      <c r="T112" s="24">
        <f t="shared" si="18"/>
        <v>0</v>
      </c>
      <c r="U112" s="26">
        <v>0</v>
      </c>
      <c r="V112" s="68"/>
    </row>
    <row r="113" spans="1:22" ht="54" customHeight="1" x14ac:dyDescent="0.25">
      <c r="A113" s="30" t="s">
        <v>22</v>
      </c>
      <c r="B113" s="23" t="s">
        <v>747</v>
      </c>
      <c r="C113" s="53" t="s">
        <v>748</v>
      </c>
      <c r="D113" s="24">
        <v>0</v>
      </c>
      <c r="E113" s="24">
        <v>0</v>
      </c>
      <c r="F113" s="25" t="s">
        <v>50</v>
      </c>
      <c r="G113" s="24">
        <v>0</v>
      </c>
      <c r="H113" s="24">
        <v>0</v>
      </c>
      <c r="I113" s="24">
        <f t="shared" si="19"/>
        <v>0</v>
      </c>
      <c r="J113" s="24">
        <v>0</v>
      </c>
      <c r="K113" s="24">
        <v>0</v>
      </c>
      <c r="L113" s="24">
        <v>0</v>
      </c>
      <c r="M113" s="25">
        <v>0</v>
      </c>
      <c r="N113" s="24">
        <v>0</v>
      </c>
      <c r="O113" s="25">
        <v>0</v>
      </c>
      <c r="P113" s="24">
        <v>0</v>
      </c>
      <c r="Q113" s="24">
        <v>0</v>
      </c>
      <c r="R113" s="25" t="s">
        <v>50</v>
      </c>
      <c r="S113" s="24">
        <f t="shared" si="20"/>
        <v>0</v>
      </c>
      <c r="T113" s="24">
        <f t="shared" si="18"/>
        <v>0</v>
      </c>
      <c r="U113" s="26">
        <v>0</v>
      </c>
      <c r="V113" s="68"/>
    </row>
    <row r="114" spans="1:22" ht="54" customHeight="1" x14ac:dyDescent="0.25">
      <c r="A114" s="30" t="s">
        <v>22</v>
      </c>
      <c r="B114" s="23" t="s">
        <v>749</v>
      </c>
      <c r="C114" s="53" t="s">
        <v>750</v>
      </c>
      <c r="D114" s="24">
        <v>0</v>
      </c>
      <c r="E114" s="24">
        <v>0</v>
      </c>
      <c r="F114" s="25" t="s">
        <v>50</v>
      </c>
      <c r="G114" s="24">
        <v>0</v>
      </c>
      <c r="H114" s="24">
        <v>0</v>
      </c>
      <c r="I114" s="24">
        <f t="shared" si="19"/>
        <v>0</v>
      </c>
      <c r="J114" s="24">
        <v>0</v>
      </c>
      <c r="K114" s="24">
        <v>0</v>
      </c>
      <c r="L114" s="24">
        <v>0</v>
      </c>
      <c r="M114" s="25">
        <v>0</v>
      </c>
      <c r="N114" s="24">
        <v>0</v>
      </c>
      <c r="O114" s="25">
        <v>0</v>
      </c>
      <c r="P114" s="24">
        <v>0</v>
      </c>
      <c r="Q114" s="24">
        <v>0</v>
      </c>
      <c r="R114" s="25" t="s">
        <v>50</v>
      </c>
      <c r="S114" s="24">
        <f t="shared" si="20"/>
        <v>0</v>
      </c>
      <c r="T114" s="24">
        <f t="shared" si="18"/>
        <v>0</v>
      </c>
      <c r="U114" s="26">
        <v>0</v>
      </c>
      <c r="V114" s="68"/>
    </row>
    <row r="115" spans="1:22" ht="56.25" customHeight="1" x14ac:dyDescent="0.25">
      <c r="A115" s="30" t="s">
        <v>22</v>
      </c>
      <c r="B115" s="23" t="s">
        <v>628</v>
      </c>
      <c r="C115" s="53" t="s">
        <v>637</v>
      </c>
      <c r="D115" s="24">
        <v>0</v>
      </c>
      <c r="E115" s="24">
        <v>0</v>
      </c>
      <c r="F115" s="25" t="s">
        <v>50</v>
      </c>
      <c r="G115" s="24">
        <v>0</v>
      </c>
      <c r="H115" s="24">
        <v>0</v>
      </c>
      <c r="I115" s="24">
        <f t="shared" si="19"/>
        <v>0</v>
      </c>
      <c r="J115" s="24">
        <v>0</v>
      </c>
      <c r="K115" s="24">
        <v>0</v>
      </c>
      <c r="L115" s="24">
        <v>0</v>
      </c>
      <c r="M115" s="25">
        <v>0</v>
      </c>
      <c r="N115" s="24">
        <v>0</v>
      </c>
      <c r="O115" s="25">
        <v>0</v>
      </c>
      <c r="P115" s="24">
        <v>0</v>
      </c>
      <c r="Q115" s="24">
        <v>0</v>
      </c>
      <c r="R115" s="25" t="s">
        <v>50</v>
      </c>
      <c r="S115" s="24">
        <f t="shared" si="20"/>
        <v>0</v>
      </c>
      <c r="T115" s="24">
        <f t="shared" si="18"/>
        <v>0</v>
      </c>
      <c r="U115" s="26">
        <v>0</v>
      </c>
      <c r="V115" s="68"/>
    </row>
    <row r="116" spans="1:22" ht="56.25" customHeight="1" x14ac:dyDescent="0.25">
      <c r="A116" s="30" t="s">
        <v>22</v>
      </c>
      <c r="B116" s="23" t="s">
        <v>728</v>
      </c>
      <c r="C116" s="53" t="s">
        <v>729</v>
      </c>
      <c r="D116" s="24">
        <v>0</v>
      </c>
      <c r="E116" s="24">
        <v>0</v>
      </c>
      <c r="F116" s="25" t="s">
        <v>50</v>
      </c>
      <c r="G116" s="24">
        <v>0</v>
      </c>
      <c r="H116" s="24">
        <v>0</v>
      </c>
      <c r="I116" s="24">
        <f t="shared" si="19"/>
        <v>0</v>
      </c>
      <c r="J116" s="24">
        <v>0</v>
      </c>
      <c r="K116" s="24">
        <v>0</v>
      </c>
      <c r="L116" s="24">
        <v>0</v>
      </c>
      <c r="M116" s="25">
        <v>0</v>
      </c>
      <c r="N116" s="24">
        <v>0</v>
      </c>
      <c r="O116" s="25">
        <v>0</v>
      </c>
      <c r="P116" s="24">
        <v>0</v>
      </c>
      <c r="Q116" s="24">
        <v>0</v>
      </c>
      <c r="R116" s="25" t="s">
        <v>50</v>
      </c>
      <c r="S116" s="24">
        <f t="shared" si="20"/>
        <v>0</v>
      </c>
      <c r="T116" s="24">
        <f t="shared" si="18"/>
        <v>0</v>
      </c>
      <c r="U116" s="26">
        <v>0</v>
      </c>
      <c r="V116" s="68"/>
    </row>
    <row r="117" spans="1:22" ht="56.25" customHeight="1" x14ac:dyDescent="0.25">
      <c r="A117" s="30" t="s">
        <v>22</v>
      </c>
      <c r="B117" s="23" t="s">
        <v>466</v>
      </c>
      <c r="C117" s="53" t="s">
        <v>467</v>
      </c>
      <c r="D117" s="24">
        <v>0</v>
      </c>
      <c r="E117" s="24">
        <v>0</v>
      </c>
      <c r="F117" s="25" t="s">
        <v>50</v>
      </c>
      <c r="G117" s="24">
        <v>0</v>
      </c>
      <c r="H117" s="24">
        <v>0</v>
      </c>
      <c r="I117" s="24">
        <f t="shared" si="19"/>
        <v>0</v>
      </c>
      <c r="J117" s="24">
        <v>0</v>
      </c>
      <c r="K117" s="24">
        <v>0</v>
      </c>
      <c r="L117" s="24">
        <v>0</v>
      </c>
      <c r="M117" s="25">
        <v>0</v>
      </c>
      <c r="N117" s="24">
        <v>0</v>
      </c>
      <c r="O117" s="25">
        <v>0</v>
      </c>
      <c r="P117" s="24">
        <v>0</v>
      </c>
      <c r="Q117" s="24">
        <v>0</v>
      </c>
      <c r="R117" s="25" t="s">
        <v>50</v>
      </c>
      <c r="S117" s="24">
        <f t="shared" si="20"/>
        <v>0</v>
      </c>
      <c r="T117" s="24">
        <f t="shared" si="18"/>
        <v>0</v>
      </c>
      <c r="U117" s="26">
        <v>0</v>
      </c>
      <c r="V117" s="68"/>
    </row>
    <row r="118" spans="1:22" ht="56.25" customHeight="1" x14ac:dyDescent="0.25">
      <c r="A118" s="30" t="s">
        <v>22</v>
      </c>
      <c r="B118" s="23" t="s">
        <v>751</v>
      </c>
      <c r="C118" s="53" t="s">
        <v>729</v>
      </c>
      <c r="D118" s="24">
        <v>0</v>
      </c>
      <c r="E118" s="24">
        <v>0</v>
      </c>
      <c r="F118" s="25" t="s">
        <v>50</v>
      </c>
      <c r="G118" s="24">
        <v>0</v>
      </c>
      <c r="H118" s="24">
        <v>0</v>
      </c>
      <c r="I118" s="24">
        <f t="shared" si="19"/>
        <v>0</v>
      </c>
      <c r="J118" s="24">
        <v>0</v>
      </c>
      <c r="K118" s="24">
        <v>0</v>
      </c>
      <c r="L118" s="24">
        <v>0</v>
      </c>
      <c r="M118" s="25">
        <v>0</v>
      </c>
      <c r="N118" s="24">
        <v>0</v>
      </c>
      <c r="O118" s="25">
        <v>0</v>
      </c>
      <c r="P118" s="24">
        <v>0</v>
      </c>
      <c r="Q118" s="24">
        <v>0</v>
      </c>
      <c r="R118" s="25" t="s">
        <v>50</v>
      </c>
      <c r="S118" s="24">
        <f t="shared" si="20"/>
        <v>0</v>
      </c>
      <c r="T118" s="24">
        <f t="shared" si="18"/>
        <v>0</v>
      </c>
      <c r="U118" s="26">
        <v>0</v>
      </c>
      <c r="V118" s="68"/>
    </row>
    <row r="119" spans="1:22" ht="56.25" customHeight="1" x14ac:dyDescent="0.25">
      <c r="A119" s="30" t="s">
        <v>22</v>
      </c>
      <c r="B119" s="23" t="s">
        <v>433</v>
      </c>
      <c r="C119" s="53" t="s">
        <v>434</v>
      </c>
      <c r="D119" s="24">
        <v>0</v>
      </c>
      <c r="E119" s="24">
        <v>0</v>
      </c>
      <c r="F119" s="25" t="s">
        <v>50</v>
      </c>
      <c r="G119" s="24">
        <v>0</v>
      </c>
      <c r="H119" s="24">
        <v>0</v>
      </c>
      <c r="I119" s="24">
        <f t="shared" si="19"/>
        <v>0</v>
      </c>
      <c r="J119" s="24">
        <v>0</v>
      </c>
      <c r="K119" s="24">
        <v>0</v>
      </c>
      <c r="L119" s="24">
        <v>0</v>
      </c>
      <c r="M119" s="25">
        <v>0</v>
      </c>
      <c r="N119" s="24">
        <v>0</v>
      </c>
      <c r="O119" s="25">
        <v>0</v>
      </c>
      <c r="P119" s="24">
        <v>0</v>
      </c>
      <c r="Q119" s="24">
        <v>0</v>
      </c>
      <c r="R119" s="25" t="s">
        <v>50</v>
      </c>
      <c r="S119" s="24">
        <f t="shared" si="20"/>
        <v>0</v>
      </c>
      <c r="T119" s="24">
        <f t="shared" si="18"/>
        <v>0</v>
      </c>
      <c r="U119" s="26">
        <v>0</v>
      </c>
      <c r="V119" s="68"/>
    </row>
    <row r="120" spans="1:22" ht="50.25" customHeight="1" x14ac:dyDescent="0.25">
      <c r="A120" s="30" t="s">
        <v>22</v>
      </c>
      <c r="B120" s="23" t="s">
        <v>752</v>
      </c>
      <c r="C120" s="53" t="s">
        <v>753</v>
      </c>
      <c r="D120" s="24">
        <v>0</v>
      </c>
      <c r="E120" s="24">
        <v>0</v>
      </c>
      <c r="F120" s="25" t="s">
        <v>50</v>
      </c>
      <c r="G120" s="24">
        <v>0</v>
      </c>
      <c r="H120" s="24">
        <v>0</v>
      </c>
      <c r="I120" s="24">
        <f t="shared" si="19"/>
        <v>0</v>
      </c>
      <c r="J120" s="24">
        <v>0</v>
      </c>
      <c r="K120" s="24">
        <v>0</v>
      </c>
      <c r="L120" s="24">
        <v>0</v>
      </c>
      <c r="M120" s="25">
        <v>0</v>
      </c>
      <c r="N120" s="24">
        <v>0</v>
      </c>
      <c r="O120" s="25">
        <v>0</v>
      </c>
      <c r="P120" s="24">
        <v>0</v>
      </c>
      <c r="Q120" s="24">
        <v>0</v>
      </c>
      <c r="R120" s="25" t="s">
        <v>50</v>
      </c>
      <c r="S120" s="24">
        <f t="shared" si="20"/>
        <v>0</v>
      </c>
      <c r="T120" s="24">
        <f t="shared" si="18"/>
        <v>0</v>
      </c>
      <c r="U120" s="26">
        <v>0</v>
      </c>
      <c r="V120" s="68"/>
    </row>
    <row r="121" spans="1:22" ht="50.25" customHeight="1" x14ac:dyDescent="0.25">
      <c r="A121" s="30" t="s">
        <v>22</v>
      </c>
      <c r="B121" s="23" t="s">
        <v>754</v>
      </c>
      <c r="C121" s="53" t="s">
        <v>753</v>
      </c>
      <c r="D121" s="24">
        <v>0</v>
      </c>
      <c r="E121" s="24">
        <v>0</v>
      </c>
      <c r="F121" s="25" t="s">
        <v>50</v>
      </c>
      <c r="G121" s="24">
        <v>0</v>
      </c>
      <c r="H121" s="24">
        <v>0</v>
      </c>
      <c r="I121" s="24">
        <f t="shared" si="19"/>
        <v>0</v>
      </c>
      <c r="J121" s="24">
        <v>0</v>
      </c>
      <c r="K121" s="24">
        <v>0</v>
      </c>
      <c r="L121" s="24">
        <v>0</v>
      </c>
      <c r="M121" s="25">
        <v>0</v>
      </c>
      <c r="N121" s="24">
        <v>0</v>
      </c>
      <c r="O121" s="25">
        <v>0</v>
      </c>
      <c r="P121" s="24">
        <v>0</v>
      </c>
      <c r="Q121" s="24">
        <v>0</v>
      </c>
      <c r="R121" s="25" t="s">
        <v>50</v>
      </c>
      <c r="S121" s="24">
        <f t="shared" si="20"/>
        <v>0</v>
      </c>
      <c r="T121" s="24">
        <f t="shared" si="18"/>
        <v>0</v>
      </c>
      <c r="U121" s="26">
        <v>0</v>
      </c>
      <c r="V121" s="68"/>
    </row>
    <row r="122" spans="1:22" ht="50.25" customHeight="1" x14ac:dyDescent="0.25">
      <c r="A122" s="30" t="s">
        <v>22</v>
      </c>
      <c r="B122" s="23" t="s">
        <v>755</v>
      </c>
      <c r="C122" s="53" t="s">
        <v>756</v>
      </c>
      <c r="D122" s="24">
        <v>0</v>
      </c>
      <c r="E122" s="24">
        <v>0</v>
      </c>
      <c r="F122" s="25" t="s">
        <v>50</v>
      </c>
      <c r="G122" s="24">
        <v>0</v>
      </c>
      <c r="H122" s="24">
        <v>0</v>
      </c>
      <c r="I122" s="24">
        <f t="shared" si="19"/>
        <v>0</v>
      </c>
      <c r="J122" s="24">
        <v>0</v>
      </c>
      <c r="K122" s="24">
        <v>0</v>
      </c>
      <c r="L122" s="24">
        <v>0</v>
      </c>
      <c r="M122" s="25">
        <v>0</v>
      </c>
      <c r="N122" s="24">
        <v>0</v>
      </c>
      <c r="O122" s="25">
        <v>0</v>
      </c>
      <c r="P122" s="24">
        <v>0</v>
      </c>
      <c r="Q122" s="24">
        <v>0</v>
      </c>
      <c r="R122" s="25" t="s">
        <v>50</v>
      </c>
      <c r="S122" s="24">
        <f t="shared" si="20"/>
        <v>0</v>
      </c>
      <c r="T122" s="24">
        <f t="shared" si="18"/>
        <v>0</v>
      </c>
      <c r="U122" s="26">
        <v>0</v>
      </c>
      <c r="V122" s="68"/>
    </row>
    <row r="123" spans="1:22" ht="86.25" customHeight="1" x14ac:dyDescent="0.25">
      <c r="A123" s="30" t="s">
        <v>22</v>
      </c>
      <c r="B123" s="23" t="s">
        <v>757</v>
      </c>
      <c r="C123" s="53" t="s">
        <v>758</v>
      </c>
      <c r="D123" s="24">
        <v>0</v>
      </c>
      <c r="E123" s="24">
        <v>0</v>
      </c>
      <c r="F123" s="25" t="s">
        <v>50</v>
      </c>
      <c r="G123" s="24">
        <v>0</v>
      </c>
      <c r="H123" s="24">
        <v>0</v>
      </c>
      <c r="I123" s="24">
        <f t="shared" si="19"/>
        <v>0</v>
      </c>
      <c r="J123" s="24">
        <v>0</v>
      </c>
      <c r="K123" s="24">
        <v>0</v>
      </c>
      <c r="L123" s="24">
        <v>0</v>
      </c>
      <c r="M123" s="25">
        <v>0</v>
      </c>
      <c r="N123" s="24">
        <v>0</v>
      </c>
      <c r="O123" s="25">
        <v>0</v>
      </c>
      <c r="P123" s="24">
        <v>0</v>
      </c>
      <c r="Q123" s="24">
        <v>0</v>
      </c>
      <c r="R123" s="25" t="s">
        <v>50</v>
      </c>
      <c r="S123" s="24">
        <f t="shared" si="20"/>
        <v>0</v>
      </c>
      <c r="T123" s="24">
        <f t="shared" si="18"/>
        <v>0</v>
      </c>
      <c r="U123" s="26">
        <v>0</v>
      </c>
      <c r="V123" s="68"/>
    </row>
    <row r="124" spans="1:22" ht="86.25" customHeight="1" x14ac:dyDescent="0.25">
      <c r="A124" s="30" t="s">
        <v>22</v>
      </c>
      <c r="B124" s="23" t="s">
        <v>759</v>
      </c>
      <c r="C124" s="53" t="s">
        <v>760</v>
      </c>
      <c r="D124" s="24">
        <v>0</v>
      </c>
      <c r="E124" s="24">
        <v>0</v>
      </c>
      <c r="F124" s="25" t="s">
        <v>50</v>
      </c>
      <c r="G124" s="24">
        <v>0</v>
      </c>
      <c r="H124" s="24">
        <v>0</v>
      </c>
      <c r="I124" s="24">
        <f t="shared" si="19"/>
        <v>0</v>
      </c>
      <c r="J124" s="24">
        <v>0</v>
      </c>
      <c r="K124" s="24">
        <v>0</v>
      </c>
      <c r="L124" s="24">
        <v>0</v>
      </c>
      <c r="M124" s="25">
        <v>0</v>
      </c>
      <c r="N124" s="24">
        <v>0</v>
      </c>
      <c r="O124" s="25">
        <v>0</v>
      </c>
      <c r="P124" s="24">
        <v>0</v>
      </c>
      <c r="Q124" s="24">
        <v>0</v>
      </c>
      <c r="R124" s="25" t="s">
        <v>50</v>
      </c>
      <c r="S124" s="24">
        <f t="shared" si="20"/>
        <v>0</v>
      </c>
      <c r="T124" s="24">
        <f t="shared" si="18"/>
        <v>0</v>
      </c>
      <c r="U124" s="26">
        <v>0</v>
      </c>
      <c r="V124" s="68"/>
    </row>
    <row r="125" spans="1:22" ht="58.5" customHeight="1" x14ac:dyDescent="0.25">
      <c r="A125" s="30" t="s">
        <v>22</v>
      </c>
      <c r="B125" s="23" t="s">
        <v>761</v>
      </c>
      <c r="C125" s="53" t="s">
        <v>762</v>
      </c>
      <c r="D125" s="24">
        <v>0</v>
      </c>
      <c r="E125" s="24">
        <v>0</v>
      </c>
      <c r="F125" s="25" t="s">
        <v>50</v>
      </c>
      <c r="G125" s="24">
        <v>0</v>
      </c>
      <c r="H125" s="24">
        <v>0</v>
      </c>
      <c r="I125" s="24">
        <f t="shared" si="19"/>
        <v>0</v>
      </c>
      <c r="J125" s="24">
        <v>0</v>
      </c>
      <c r="K125" s="24">
        <v>0</v>
      </c>
      <c r="L125" s="24">
        <v>0</v>
      </c>
      <c r="M125" s="25">
        <v>0</v>
      </c>
      <c r="N125" s="24">
        <v>0</v>
      </c>
      <c r="O125" s="25">
        <v>0</v>
      </c>
      <c r="P125" s="24">
        <v>0</v>
      </c>
      <c r="Q125" s="24">
        <v>0</v>
      </c>
      <c r="R125" s="25" t="s">
        <v>50</v>
      </c>
      <c r="S125" s="24">
        <f t="shared" si="20"/>
        <v>0</v>
      </c>
      <c r="T125" s="24">
        <f t="shared" si="18"/>
        <v>0</v>
      </c>
      <c r="U125" s="26">
        <v>0</v>
      </c>
      <c r="V125" s="68"/>
    </row>
    <row r="126" spans="1:22" ht="81.75" customHeight="1" x14ac:dyDescent="0.25">
      <c r="A126" s="30" t="s">
        <v>22</v>
      </c>
      <c r="B126" s="23" t="s">
        <v>763</v>
      </c>
      <c r="C126" s="53" t="s">
        <v>764</v>
      </c>
      <c r="D126" s="24">
        <v>0</v>
      </c>
      <c r="E126" s="24">
        <v>0</v>
      </c>
      <c r="F126" s="25" t="s">
        <v>50</v>
      </c>
      <c r="G126" s="24">
        <v>0</v>
      </c>
      <c r="H126" s="24">
        <v>0</v>
      </c>
      <c r="I126" s="24">
        <f t="shared" si="19"/>
        <v>0</v>
      </c>
      <c r="J126" s="24">
        <v>0</v>
      </c>
      <c r="K126" s="24">
        <v>0</v>
      </c>
      <c r="L126" s="24">
        <v>0</v>
      </c>
      <c r="M126" s="25">
        <v>0</v>
      </c>
      <c r="N126" s="24">
        <v>0</v>
      </c>
      <c r="O126" s="25">
        <v>0</v>
      </c>
      <c r="P126" s="24">
        <v>0</v>
      </c>
      <c r="Q126" s="24">
        <v>0</v>
      </c>
      <c r="R126" s="25" t="s">
        <v>50</v>
      </c>
      <c r="S126" s="24">
        <f t="shared" si="20"/>
        <v>0</v>
      </c>
      <c r="T126" s="24">
        <f t="shared" si="18"/>
        <v>0</v>
      </c>
      <c r="U126" s="26">
        <v>0</v>
      </c>
      <c r="V126" s="68"/>
    </row>
    <row r="127" spans="1:22" ht="69" customHeight="1" x14ac:dyDescent="0.25">
      <c r="A127" s="30" t="s">
        <v>22</v>
      </c>
      <c r="B127" s="23" t="s">
        <v>765</v>
      </c>
      <c r="C127" s="53" t="s">
        <v>766</v>
      </c>
      <c r="D127" s="24">
        <v>0</v>
      </c>
      <c r="E127" s="24">
        <v>0</v>
      </c>
      <c r="F127" s="25" t="s">
        <v>50</v>
      </c>
      <c r="G127" s="24">
        <v>0</v>
      </c>
      <c r="H127" s="24">
        <v>0</v>
      </c>
      <c r="I127" s="24">
        <f t="shared" si="19"/>
        <v>0</v>
      </c>
      <c r="J127" s="24">
        <v>0</v>
      </c>
      <c r="K127" s="24">
        <v>0</v>
      </c>
      <c r="L127" s="24">
        <v>0</v>
      </c>
      <c r="M127" s="25">
        <v>0</v>
      </c>
      <c r="N127" s="24">
        <v>0</v>
      </c>
      <c r="O127" s="25">
        <v>0</v>
      </c>
      <c r="P127" s="24">
        <v>0</v>
      </c>
      <c r="Q127" s="24">
        <v>0</v>
      </c>
      <c r="R127" s="25" t="s">
        <v>50</v>
      </c>
      <c r="S127" s="24">
        <f t="shared" si="20"/>
        <v>0</v>
      </c>
      <c r="T127" s="24">
        <f t="shared" si="18"/>
        <v>0</v>
      </c>
      <c r="U127" s="26">
        <v>0</v>
      </c>
      <c r="V127" s="68"/>
    </row>
    <row r="128" spans="1:22" ht="71.25" customHeight="1" x14ac:dyDescent="0.25">
      <c r="A128" s="30" t="s">
        <v>22</v>
      </c>
      <c r="B128" s="23" t="s">
        <v>767</v>
      </c>
      <c r="C128" s="53" t="s">
        <v>768</v>
      </c>
      <c r="D128" s="24">
        <v>0</v>
      </c>
      <c r="E128" s="24">
        <v>0</v>
      </c>
      <c r="F128" s="25" t="s">
        <v>50</v>
      </c>
      <c r="G128" s="24">
        <v>0</v>
      </c>
      <c r="H128" s="24">
        <v>0</v>
      </c>
      <c r="I128" s="24">
        <f t="shared" si="19"/>
        <v>0</v>
      </c>
      <c r="J128" s="24">
        <v>0</v>
      </c>
      <c r="K128" s="24">
        <v>0</v>
      </c>
      <c r="L128" s="24">
        <v>0</v>
      </c>
      <c r="M128" s="25">
        <v>0</v>
      </c>
      <c r="N128" s="24">
        <v>0</v>
      </c>
      <c r="O128" s="25">
        <v>0</v>
      </c>
      <c r="P128" s="24">
        <v>0</v>
      </c>
      <c r="Q128" s="24">
        <v>0</v>
      </c>
      <c r="R128" s="25" t="s">
        <v>50</v>
      </c>
      <c r="S128" s="24">
        <f t="shared" si="20"/>
        <v>0</v>
      </c>
      <c r="T128" s="24">
        <f t="shared" si="18"/>
        <v>0</v>
      </c>
      <c r="U128" s="26">
        <v>0</v>
      </c>
      <c r="V128" s="68"/>
    </row>
    <row r="129" spans="1:22" ht="59.25" customHeight="1" x14ac:dyDescent="0.25">
      <c r="A129" s="30" t="s">
        <v>22</v>
      </c>
      <c r="B129" s="23" t="s">
        <v>769</v>
      </c>
      <c r="C129" s="53" t="s">
        <v>770</v>
      </c>
      <c r="D129" s="24">
        <v>0</v>
      </c>
      <c r="E129" s="24">
        <v>0</v>
      </c>
      <c r="F129" s="25" t="s">
        <v>50</v>
      </c>
      <c r="G129" s="24">
        <v>0</v>
      </c>
      <c r="H129" s="24">
        <v>0</v>
      </c>
      <c r="I129" s="24">
        <f t="shared" si="19"/>
        <v>0</v>
      </c>
      <c r="J129" s="24">
        <v>0</v>
      </c>
      <c r="K129" s="24">
        <v>0</v>
      </c>
      <c r="L129" s="24">
        <v>0</v>
      </c>
      <c r="M129" s="25">
        <v>0</v>
      </c>
      <c r="N129" s="24">
        <v>0</v>
      </c>
      <c r="O129" s="25">
        <v>0</v>
      </c>
      <c r="P129" s="24">
        <v>0</v>
      </c>
      <c r="Q129" s="24">
        <v>0</v>
      </c>
      <c r="R129" s="25" t="s">
        <v>50</v>
      </c>
      <c r="S129" s="24">
        <f t="shared" si="20"/>
        <v>0</v>
      </c>
      <c r="T129" s="24">
        <f t="shared" si="18"/>
        <v>0</v>
      </c>
      <c r="U129" s="26">
        <v>0</v>
      </c>
      <c r="V129" s="69"/>
    </row>
    <row r="130" spans="1:22" ht="25.5" x14ac:dyDescent="0.25">
      <c r="A130" s="14" t="s">
        <v>23</v>
      </c>
      <c r="B130" s="19" t="s">
        <v>76</v>
      </c>
      <c r="C130" s="49" t="s">
        <v>52</v>
      </c>
      <c r="D130" s="16">
        <v>0</v>
      </c>
      <c r="E130" s="16">
        <v>0</v>
      </c>
      <c r="F130" s="17" t="s">
        <v>50</v>
      </c>
      <c r="G130" s="16">
        <v>0</v>
      </c>
      <c r="H130" s="16">
        <f t="shared" si="19"/>
        <v>0</v>
      </c>
      <c r="I130" s="16">
        <f t="shared" si="19"/>
        <v>0</v>
      </c>
      <c r="J130" s="24">
        <v>0</v>
      </c>
      <c r="K130" s="16">
        <v>0</v>
      </c>
      <c r="L130" s="16">
        <v>0</v>
      </c>
      <c r="M130" s="17">
        <v>0</v>
      </c>
      <c r="N130" s="16">
        <v>0</v>
      </c>
      <c r="O130" s="17">
        <v>0</v>
      </c>
      <c r="P130" s="16">
        <v>0</v>
      </c>
      <c r="Q130" s="17">
        <v>0</v>
      </c>
      <c r="R130" s="17" t="s">
        <v>50</v>
      </c>
      <c r="S130" s="16">
        <f t="shared" si="20"/>
        <v>0</v>
      </c>
      <c r="T130" s="16">
        <f t="shared" si="18"/>
        <v>0</v>
      </c>
      <c r="U130" s="18">
        <v>0</v>
      </c>
      <c r="V130" s="48" t="s">
        <v>50</v>
      </c>
    </row>
    <row r="131" spans="1:22" ht="38.25" x14ac:dyDescent="0.25">
      <c r="A131" s="14" t="s">
        <v>42</v>
      </c>
      <c r="B131" s="19" t="s">
        <v>77</v>
      </c>
      <c r="C131" s="49" t="s">
        <v>52</v>
      </c>
      <c r="D131" s="16">
        <v>0</v>
      </c>
      <c r="E131" s="16">
        <v>0</v>
      </c>
      <c r="F131" s="17" t="s">
        <v>50</v>
      </c>
      <c r="G131" s="16">
        <v>0</v>
      </c>
      <c r="H131" s="16">
        <f t="shared" si="19"/>
        <v>0</v>
      </c>
      <c r="I131" s="16">
        <f t="shared" si="19"/>
        <v>0</v>
      </c>
      <c r="J131" s="16">
        <v>0</v>
      </c>
      <c r="K131" s="16">
        <v>0</v>
      </c>
      <c r="L131" s="16">
        <v>0</v>
      </c>
      <c r="M131" s="17">
        <v>0</v>
      </c>
      <c r="N131" s="16">
        <v>0</v>
      </c>
      <c r="O131" s="17">
        <v>0</v>
      </c>
      <c r="P131" s="16">
        <v>0</v>
      </c>
      <c r="Q131" s="17">
        <v>0</v>
      </c>
      <c r="R131" s="17" t="s">
        <v>50</v>
      </c>
      <c r="S131" s="16">
        <f t="shared" si="20"/>
        <v>0</v>
      </c>
      <c r="T131" s="16">
        <f t="shared" si="18"/>
        <v>0</v>
      </c>
      <c r="U131" s="18">
        <v>0</v>
      </c>
      <c r="V131" s="48" t="s">
        <v>50</v>
      </c>
    </row>
    <row r="132" spans="1:22" ht="25.5" x14ac:dyDescent="0.25">
      <c r="A132" s="14" t="s">
        <v>43</v>
      </c>
      <c r="B132" s="19" t="s">
        <v>78</v>
      </c>
      <c r="C132" s="49" t="s">
        <v>52</v>
      </c>
      <c r="D132" s="16">
        <v>0</v>
      </c>
      <c r="E132" s="16">
        <v>0</v>
      </c>
      <c r="F132" s="17" t="s">
        <v>50</v>
      </c>
      <c r="G132" s="16">
        <v>0</v>
      </c>
      <c r="H132" s="16">
        <f t="shared" si="19"/>
        <v>0</v>
      </c>
      <c r="I132" s="16">
        <f t="shared" si="19"/>
        <v>0</v>
      </c>
      <c r="J132" s="16">
        <v>0</v>
      </c>
      <c r="K132" s="16">
        <v>0</v>
      </c>
      <c r="L132" s="16">
        <v>0</v>
      </c>
      <c r="M132" s="17">
        <v>0</v>
      </c>
      <c r="N132" s="16">
        <v>0</v>
      </c>
      <c r="O132" s="17">
        <v>0</v>
      </c>
      <c r="P132" s="16">
        <v>0</v>
      </c>
      <c r="Q132" s="17">
        <v>0</v>
      </c>
      <c r="R132" s="17" t="s">
        <v>50</v>
      </c>
      <c r="S132" s="16">
        <f t="shared" si="20"/>
        <v>0</v>
      </c>
      <c r="T132" s="16">
        <f t="shared" si="18"/>
        <v>0</v>
      </c>
      <c r="U132" s="18">
        <v>0</v>
      </c>
      <c r="V132" s="48" t="s">
        <v>50</v>
      </c>
    </row>
    <row r="133" spans="1:22" ht="25.5" x14ac:dyDescent="0.25">
      <c r="A133" s="14" t="s">
        <v>24</v>
      </c>
      <c r="B133" s="19" t="s">
        <v>79</v>
      </c>
      <c r="C133" s="49" t="s">
        <v>52</v>
      </c>
      <c r="D133" s="16">
        <v>0</v>
      </c>
      <c r="E133" s="16">
        <v>0</v>
      </c>
      <c r="F133" s="17" t="s">
        <v>50</v>
      </c>
      <c r="G133" s="16">
        <v>0</v>
      </c>
      <c r="H133" s="16">
        <f t="shared" si="19"/>
        <v>0</v>
      </c>
      <c r="I133" s="16">
        <f t="shared" si="19"/>
        <v>0</v>
      </c>
      <c r="J133" s="16">
        <v>0</v>
      </c>
      <c r="K133" s="16">
        <v>0</v>
      </c>
      <c r="L133" s="16">
        <v>0</v>
      </c>
      <c r="M133" s="17">
        <v>0</v>
      </c>
      <c r="N133" s="16">
        <v>0</v>
      </c>
      <c r="O133" s="17">
        <v>0</v>
      </c>
      <c r="P133" s="16">
        <v>0</v>
      </c>
      <c r="Q133" s="17">
        <v>0</v>
      </c>
      <c r="R133" s="17" t="s">
        <v>50</v>
      </c>
      <c r="S133" s="16">
        <f t="shared" si="20"/>
        <v>0</v>
      </c>
      <c r="T133" s="16">
        <f t="shared" si="18"/>
        <v>0</v>
      </c>
      <c r="U133" s="18">
        <v>0</v>
      </c>
      <c r="V133" s="48" t="s">
        <v>50</v>
      </c>
    </row>
    <row r="134" spans="1:22" ht="25.5" x14ac:dyDescent="0.25">
      <c r="A134" s="14" t="s">
        <v>80</v>
      </c>
      <c r="B134" s="19" t="s">
        <v>81</v>
      </c>
      <c r="C134" s="49" t="s">
        <v>52</v>
      </c>
      <c r="D134" s="16">
        <v>0</v>
      </c>
      <c r="E134" s="16">
        <v>0</v>
      </c>
      <c r="F134" s="17" t="s">
        <v>50</v>
      </c>
      <c r="G134" s="16">
        <v>0</v>
      </c>
      <c r="H134" s="16">
        <f t="shared" si="19"/>
        <v>0</v>
      </c>
      <c r="I134" s="16">
        <f t="shared" si="19"/>
        <v>0</v>
      </c>
      <c r="J134" s="16">
        <v>0</v>
      </c>
      <c r="K134" s="16">
        <v>0</v>
      </c>
      <c r="L134" s="16">
        <v>0</v>
      </c>
      <c r="M134" s="17">
        <v>0</v>
      </c>
      <c r="N134" s="16">
        <v>0</v>
      </c>
      <c r="O134" s="17">
        <v>0</v>
      </c>
      <c r="P134" s="16">
        <v>0</v>
      </c>
      <c r="Q134" s="17">
        <v>0</v>
      </c>
      <c r="R134" s="17" t="s">
        <v>50</v>
      </c>
      <c r="S134" s="16">
        <f t="shared" si="20"/>
        <v>0</v>
      </c>
      <c r="T134" s="16">
        <f t="shared" si="18"/>
        <v>0</v>
      </c>
      <c r="U134" s="18">
        <v>0</v>
      </c>
      <c r="V134" s="48" t="s">
        <v>50</v>
      </c>
    </row>
    <row r="135" spans="1:22" ht="63.75" x14ac:dyDescent="0.25">
      <c r="A135" s="14" t="s">
        <v>80</v>
      </c>
      <c r="B135" s="19" t="s">
        <v>82</v>
      </c>
      <c r="C135" s="49" t="s">
        <v>52</v>
      </c>
      <c r="D135" s="16">
        <v>0</v>
      </c>
      <c r="E135" s="16">
        <v>0</v>
      </c>
      <c r="F135" s="17" t="s">
        <v>50</v>
      </c>
      <c r="G135" s="16">
        <v>0</v>
      </c>
      <c r="H135" s="16">
        <f t="shared" si="19"/>
        <v>0</v>
      </c>
      <c r="I135" s="16">
        <f t="shared" si="19"/>
        <v>0</v>
      </c>
      <c r="J135" s="16">
        <v>0</v>
      </c>
      <c r="K135" s="16">
        <v>0</v>
      </c>
      <c r="L135" s="16">
        <v>0</v>
      </c>
      <c r="M135" s="17">
        <v>0</v>
      </c>
      <c r="N135" s="16">
        <v>0</v>
      </c>
      <c r="O135" s="17">
        <v>0</v>
      </c>
      <c r="P135" s="16">
        <v>0</v>
      </c>
      <c r="Q135" s="17">
        <v>0</v>
      </c>
      <c r="R135" s="17" t="s">
        <v>50</v>
      </c>
      <c r="S135" s="16">
        <f t="shared" si="20"/>
        <v>0</v>
      </c>
      <c r="T135" s="16">
        <f t="shared" si="18"/>
        <v>0</v>
      </c>
      <c r="U135" s="18">
        <v>0</v>
      </c>
      <c r="V135" s="48" t="s">
        <v>50</v>
      </c>
    </row>
    <row r="136" spans="1:22" ht="51" x14ac:dyDescent="0.25">
      <c r="A136" s="14" t="s">
        <v>80</v>
      </c>
      <c r="B136" s="19" t="s">
        <v>83</v>
      </c>
      <c r="C136" s="49" t="s">
        <v>52</v>
      </c>
      <c r="D136" s="16">
        <v>0</v>
      </c>
      <c r="E136" s="16">
        <v>0</v>
      </c>
      <c r="F136" s="17" t="s">
        <v>50</v>
      </c>
      <c r="G136" s="16">
        <v>0</v>
      </c>
      <c r="H136" s="16">
        <f t="shared" si="19"/>
        <v>0</v>
      </c>
      <c r="I136" s="16">
        <f t="shared" si="19"/>
        <v>0</v>
      </c>
      <c r="J136" s="16">
        <v>0</v>
      </c>
      <c r="K136" s="16">
        <v>0</v>
      </c>
      <c r="L136" s="16">
        <v>0</v>
      </c>
      <c r="M136" s="17">
        <v>0</v>
      </c>
      <c r="N136" s="16">
        <v>0</v>
      </c>
      <c r="O136" s="17">
        <v>0</v>
      </c>
      <c r="P136" s="16">
        <v>0</v>
      </c>
      <c r="Q136" s="17">
        <v>0</v>
      </c>
      <c r="R136" s="17" t="s">
        <v>50</v>
      </c>
      <c r="S136" s="16">
        <f t="shared" si="20"/>
        <v>0</v>
      </c>
      <c r="T136" s="16">
        <f t="shared" si="18"/>
        <v>0</v>
      </c>
      <c r="U136" s="18">
        <v>0</v>
      </c>
      <c r="V136" s="48" t="s">
        <v>50</v>
      </c>
    </row>
    <row r="137" spans="1:22" ht="51" x14ac:dyDescent="0.25">
      <c r="A137" s="14" t="s">
        <v>80</v>
      </c>
      <c r="B137" s="19" t="s">
        <v>84</v>
      </c>
      <c r="C137" s="49" t="s">
        <v>52</v>
      </c>
      <c r="D137" s="16">
        <v>0</v>
      </c>
      <c r="E137" s="16">
        <v>0</v>
      </c>
      <c r="F137" s="17" t="s">
        <v>50</v>
      </c>
      <c r="G137" s="16">
        <v>0</v>
      </c>
      <c r="H137" s="16">
        <f t="shared" si="19"/>
        <v>0</v>
      </c>
      <c r="I137" s="16">
        <f t="shared" si="19"/>
        <v>0</v>
      </c>
      <c r="J137" s="16">
        <v>0</v>
      </c>
      <c r="K137" s="16">
        <v>0</v>
      </c>
      <c r="L137" s="16">
        <v>0</v>
      </c>
      <c r="M137" s="17">
        <v>0</v>
      </c>
      <c r="N137" s="16">
        <v>0</v>
      </c>
      <c r="O137" s="17">
        <v>0</v>
      </c>
      <c r="P137" s="16">
        <v>0</v>
      </c>
      <c r="Q137" s="17">
        <v>0</v>
      </c>
      <c r="R137" s="17" t="s">
        <v>50</v>
      </c>
      <c r="S137" s="16">
        <f t="shared" si="20"/>
        <v>0</v>
      </c>
      <c r="T137" s="16">
        <f t="shared" si="18"/>
        <v>0</v>
      </c>
      <c r="U137" s="18">
        <v>0</v>
      </c>
      <c r="V137" s="48" t="s">
        <v>50</v>
      </c>
    </row>
    <row r="138" spans="1:22" ht="25.5" x14ac:dyDescent="0.25">
      <c r="A138" s="14" t="s">
        <v>85</v>
      </c>
      <c r="B138" s="19" t="s">
        <v>81</v>
      </c>
      <c r="C138" s="49" t="s">
        <v>52</v>
      </c>
      <c r="D138" s="16">
        <v>0</v>
      </c>
      <c r="E138" s="16">
        <v>0</v>
      </c>
      <c r="F138" s="17" t="s">
        <v>50</v>
      </c>
      <c r="G138" s="16">
        <v>0</v>
      </c>
      <c r="H138" s="16">
        <f t="shared" si="19"/>
        <v>0</v>
      </c>
      <c r="I138" s="16">
        <v>0</v>
      </c>
      <c r="J138" s="16">
        <v>0</v>
      </c>
      <c r="K138" s="16">
        <v>0</v>
      </c>
      <c r="L138" s="16">
        <v>0</v>
      </c>
      <c r="M138" s="17">
        <v>0</v>
      </c>
      <c r="N138" s="16">
        <v>0</v>
      </c>
      <c r="O138" s="17" t="s">
        <v>50</v>
      </c>
      <c r="P138" s="16">
        <v>0</v>
      </c>
      <c r="Q138" s="17">
        <v>0</v>
      </c>
      <c r="R138" s="17" t="s">
        <v>50</v>
      </c>
      <c r="S138" s="16">
        <f t="shared" si="20"/>
        <v>0</v>
      </c>
      <c r="T138" s="16">
        <v>0</v>
      </c>
      <c r="U138" s="18">
        <v>0</v>
      </c>
      <c r="V138" s="48" t="s">
        <v>50</v>
      </c>
    </row>
    <row r="139" spans="1:22" ht="63.75" x14ac:dyDescent="0.25">
      <c r="A139" s="14" t="s">
        <v>85</v>
      </c>
      <c r="B139" s="19" t="s">
        <v>82</v>
      </c>
      <c r="C139" s="49" t="s">
        <v>52</v>
      </c>
      <c r="D139" s="16">
        <v>0</v>
      </c>
      <c r="E139" s="16">
        <v>0</v>
      </c>
      <c r="F139" s="17" t="s">
        <v>50</v>
      </c>
      <c r="G139" s="16">
        <v>0</v>
      </c>
      <c r="H139" s="16">
        <f t="shared" si="19"/>
        <v>0</v>
      </c>
      <c r="I139" s="16">
        <f t="shared" si="19"/>
        <v>0</v>
      </c>
      <c r="J139" s="16">
        <v>0</v>
      </c>
      <c r="K139" s="16">
        <v>0</v>
      </c>
      <c r="L139" s="16">
        <v>0</v>
      </c>
      <c r="M139" s="17">
        <v>0</v>
      </c>
      <c r="N139" s="16">
        <v>0</v>
      </c>
      <c r="O139" s="17">
        <v>0</v>
      </c>
      <c r="P139" s="16">
        <v>0</v>
      </c>
      <c r="Q139" s="17">
        <v>0</v>
      </c>
      <c r="R139" s="17" t="s">
        <v>50</v>
      </c>
      <c r="S139" s="16">
        <f t="shared" si="20"/>
        <v>0</v>
      </c>
      <c r="T139" s="16">
        <f t="shared" si="18"/>
        <v>0</v>
      </c>
      <c r="U139" s="18">
        <v>0</v>
      </c>
      <c r="V139" s="48" t="s">
        <v>50</v>
      </c>
    </row>
    <row r="140" spans="1:22" ht="51" x14ac:dyDescent="0.25">
      <c r="A140" s="14" t="s">
        <v>85</v>
      </c>
      <c r="B140" s="19" t="s">
        <v>83</v>
      </c>
      <c r="C140" s="49" t="s">
        <v>52</v>
      </c>
      <c r="D140" s="16">
        <v>0</v>
      </c>
      <c r="E140" s="16">
        <v>0</v>
      </c>
      <c r="F140" s="17" t="s">
        <v>50</v>
      </c>
      <c r="G140" s="16">
        <v>0</v>
      </c>
      <c r="H140" s="16">
        <f t="shared" si="19"/>
        <v>0</v>
      </c>
      <c r="I140" s="16">
        <f t="shared" si="19"/>
        <v>0</v>
      </c>
      <c r="J140" s="16">
        <v>0</v>
      </c>
      <c r="K140" s="16">
        <v>0</v>
      </c>
      <c r="L140" s="16">
        <v>0</v>
      </c>
      <c r="M140" s="17">
        <v>0</v>
      </c>
      <c r="N140" s="16">
        <v>0</v>
      </c>
      <c r="O140" s="17">
        <v>0</v>
      </c>
      <c r="P140" s="16">
        <v>0</v>
      </c>
      <c r="Q140" s="17">
        <v>0</v>
      </c>
      <c r="R140" s="17" t="s">
        <v>50</v>
      </c>
      <c r="S140" s="16">
        <f t="shared" si="20"/>
        <v>0</v>
      </c>
      <c r="T140" s="16">
        <f t="shared" si="18"/>
        <v>0</v>
      </c>
      <c r="U140" s="18">
        <v>0</v>
      </c>
      <c r="V140" s="48" t="s">
        <v>50</v>
      </c>
    </row>
    <row r="141" spans="1:22" ht="51" x14ac:dyDescent="0.25">
      <c r="A141" s="14" t="s">
        <v>85</v>
      </c>
      <c r="B141" s="19" t="s">
        <v>86</v>
      </c>
      <c r="C141" s="49" t="s">
        <v>52</v>
      </c>
      <c r="D141" s="16">
        <v>0</v>
      </c>
      <c r="E141" s="16">
        <v>0</v>
      </c>
      <c r="F141" s="17" t="s">
        <v>50</v>
      </c>
      <c r="G141" s="16">
        <v>0</v>
      </c>
      <c r="H141" s="16">
        <f t="shared" si="19"/>
        <v>0</v>
      </c>
      <c r="I141" s="16">
        <f t="shared" si="19"/>
        <v>0</v>
      </c>
      <c r="J141" s="16">
        <v>0</v>
      </c>
      <c r="K141" s="16">
        <v>0</v>
      </c>
      <c r="L141" s="16">
        <v>0</v>
      </c>
      <c r="M141" s="17">
        <v>0</v>
      </c>
      <c r="N141" s="16">
        <v>0</v>
      </c>
      <c r="O141" s="17">
        <v>0</v>
      </c>
      <c r="P141" s="16">
        <v>0</v>
      </c>
      <c r="Q141" s="17">
        <v>0</v>
      </c>
      <c r="R141" s="17" t="s">
        <v>50</v>
      </c>
      <c r="S141" s="16">
        <f t="shared" si="20"/>
        <v>0</v>
      </c>
      <c r="T141" s="16">
        <f t="shared" si="18"/>
        <v>0</v>
      </c>
      <c r="U141" s="18">
        <v>0</v>
      </c>
      <c r="V141" s="48" t="s">
        <v>50</v>
      </c>
    </row>
    <row r="142" spans="1:22" ht="51" x14ac:dyDescent="0.25">
      <c r="A142" s="14" t="s">
        <v>87</v>
      </c>
      <c r="B142" s="19" t="s">
        <v>88</v>
      </c>
      <c r="C142" s="49" t="s">
        <v>52</v>
      </c>
      <c r="D142" s="16">
        <v>0.80914898757497855</v>
      </c>
      <c r="E142" s="16">
        <f>E143+E161</f>
        <v>7.3034652000000005E-2</v>
      </c>
      <c r="F142" s="17" t="s">
        <v>50</v>
      </c>
      <c r="G142" s="16">
        <v>2.4154257283199998</v>
      </c>
      <c r="H142" s="16">
        <f t="shared" si="19"/>
        <v>2.4154257283199998</v>
      </c>
      <c r="I142" s="16">
        <f t="shared" si="19"/>
        <v>0.85615130000000006</v>
      </c>
      <c r="J142" s="16">
        <f>J143</f>
        <v>0.60385643207999995</v>
      </c>
      <c r="K142" s="16">
        <f>K143+K161</f>
        <v>0.36467053999999999</v>
      </c>
      <c r="L142" s="16">
        <f>L143</f>
        <v>0.60385643207999995</v>
      </c>
      <c r="M142" s="17">
        <f>M143+M161</f>
        <v>0.21349897000000001</v>
      </c>
      <c r="N142" s="16">
        <f>N143</f>
        <v>0.60385643207999995</v>
      </c>
      <c r="O142" s="17">
        <f>O143+O161</f>
        <v>0.13681504999999999</v>
      </c>
      <c r="P142" s="16">
        <f>P143</f>
        <v>0.60385643207999995</v>
      </c>
      <c r="Q142" s="17">
        <f>Q143</f>
        <v>0.14116674000000001</v>
      </c>
      <c r="R142" s="17" t="s">
        <v>50</v>
      </c>
      <c r="S142" s="16">
        <f t="shared" si="20"/>
        <v>1.5592744283199997</v>
      </c>
      <c r="T142" s="16">
        <f t="shared" si="18"/>
        <v>-1.5592744283199997</v>
      </c>
      <c r="U142" s="18">
        <f t="shared" ref="U142:U144" si="21">(K142+M142+O142+Q142)/(J142+L142+N142+P142)*100-100</f>
        <v>-64.554848863207297</v>
      </c>
      <c r="V142" s="48" t="s">
        <v>50</v>
      </c>
    </row>
    <row r="143" spans="1:22" ht="38.25" x14ac:dyDescent="0.25">
      <c r="A143" s="14" t="s">
        <v>89</v>
      </c>
      <c r="B143" s="19" t="s">
        <v>90</v>
      </c>
      <c r="C143" s="49" t="s">
        <v>52</v>
      </c>
      <c r="D143" s="16">
        <v>0.38333333333333336</v>
      </c>
      <c r="E143" s="16">
        <f>SUM(E144:E150)</f>
        <v>7.3034652000000005E-2</v>
      </c>
      <c r="F143" s="17" t="s">
        <v>50</v>
      </c>
      <c r="G143" s="16">
        <v>2.4154257283199998</v>
      </c>
      <c r="H143" s="16">
        <f t="shared" si="19"/>
        <v>2.4154257283199998</v>
      </c>
      <c r="I143" s="16">
        <f t="shared" si="19"/>
        <v>0.85615130000000006</v>
      </c>
      <c r="J143" s="16">
        <f>SUM(J144:J156)</f>
        <v>0.60385643207999995</v>
      </c>
      <c r="K143" s="31">
        <f>SUM(K144:K150)</f>
        <v>0.36467053999999999</v>
      </c>
      <c r="L143" s="16">
        <f>L144</f>
        <v>0.60385643207999995</v>
      </c>
      <c r="M143" s="17">
        <f>SUM(M144:M155)</f>
        <v>0.21349897000000001</v>
      </c>
      <c r="N143" s="16">
        <f>N144</f>
        <v>0.60385643207999995</v>
      </c>
      <c r="O143" s="17">
        <f>SUM(O144:O157)</f>
        <v>0.13681504999999999</v>
      </c>
      <c r="P143" s="16">
        <f>P144</f>
        <v>0.60385643207999995</v>
      </c>
      <c r="Q143" s="17">
        <f>SUM(Q144:Q160)</f>
        <v>0.14116674000000001</v>
      </c>
      <c r="R143" s="17" t="s">
        <v>50</v>
      </c>
      <c r="S143" s="16">
        <f t="shared" si="20"/>
        <v>1.5592744283199997</v>
      </c>
      <c r="T143" s="16">
        <f t="shared" si="18"/>
        <v>-1.5592744283199997</v>
      </c>
      <c r="U143" s="18">
        <f t="shared" si="21"/>
        <v>-64.554848863207297</v>
      </c>
      <c r="V143" s="48" t="s">
        <v>50</v>
      </c>
    </row>
    <row r="144" spans="1:22" ht="25.5" x14ac:dyDescent="0.25">
      <c r="A144" s="22" t="s">
        <v>89</v>
      </c>
      <c r="B144" s="32" t="s">
        <v>91</v>
      </c>
      <c r="C144" s="55" t="s">
        <v>92</v>
      </c>
      <c r="D144" s="24">
        <v>0.38333333333333336</v>
      </c>
      <c r="E144" s="24">
        <v>0</v>
      </c>
      <c r="F144" s="25" t="s">
        <v>50</v>
      </c>
      <c r="G144" s="24">
        <v>2.4154257283199998</v>
      </c>
      <c r="H144" s="24">
        <f t="shared" si="19"/>
        <v>2.4154257283199998</v>
      </c>
      <c r="I144" s="24">
        <f t="shared" si="19"/>
        <v>0</v>
      </c>
      <c r="J144" s="24">
        <v>0.60385643207999995</v>
      </c>
      <c r="K144" s="24">
        <v>0</v>
      </c>
      <c r="L144" s="24">
        <v>0.60385643207999995</v>
      </c>
      <c r="M144" s="25">
        <v>0</v>
      </c>
      <c r="N144" s="24">
        <v>0.60385643207999995</v>
      </c>
      <c r="O144" s="25">
        <v>0</v>
      </c>
      <c r="P144" s="24">
        <v>0.60385643207999995</v>
      </c>
      <c r="Q144" s="25">
        <v>0</v>
      </c>
      <c r="R144" s="25" t="s">
        <v>50</v>
      </c>
      <c r="S144" s="24">
        <f t="shared" si="20"/>
        <v>2.4154257283199998</v>
      </c>
      <c r="T144" s="24">
        <f t="shared" si="18"/>
        <v>-2.4154257283199998</v>
      </c>
      <c r="U144" s="26">
        <f t="shared" si="21"/>
        <v>-100</v>
      </c>
      <c r="V144" s="95" t="s">
        <v>699</v>
      </c>
    </row>
    <row r="145" spans="1:22" ht="55.5" customHeight="1" x14ac:dyDescent="0.25">
      <c r="A145" s="22" t="s">
        <v>89</v>
      </c>
      <c r="B145" s="33" t="s">
        <v>325</v>
      </c>
      <c r="C145" s="51" t="s">
        <v>771</v>
      </c>
      <c r="D145" s="24">
        <v>0</v>
      </c>
      <c r="E145" s="24">
        <v>0</v>
      </c>
      <c r="F145" s="25" t="s">
        <v>50</v>
      </c>
      <c r="G145" s="24">
        <v>0</v>
      </c>
      <c r="H145" s="24">
        <f t="shared" si="19"/>
        <v>0</v>
      </c>
      <c r="I145" s="24">
        <f t="shared" si="19"/>
        <v>9.6648110000000009E-2</v>
      </c>
      <c r="J145" s="24">
        <v>0</v>
      </c>
      <c r="K145" s="24">
        <f>96.64811/1000</f>
        <v>9.6648110000000009E-2</v>
      </c>
      <c r="L145" s="24">
        <v>0</v>
      </c>
      <c r="M145" s="25">
        <v>0</v>
      </c>
      <c r="N145" s="24">
        <v>0</v>
      </c>
      <c r="O145" s="25">
        <v>0</v>
      </c>
      <c r="P145" s="24">
        <v>0</v>
      </c>
      <c r="Q145" s="25">
        <v>0</v>
      </c>
      <c r="R145" s="25" t="s">
        <v>50</v>
      </c>
      <c r="S145" s="24">
        <f t="shared" si="20"/>
        <v>-9.6648110000000009E-2</v>
      </c>
      <c r="T145" s="24">
        <f t="shared" si="18"/>
        <v>9.6648110000000009E-2</v>
      </c>
      <c r="U145" s="26">
        <v>100</v>
      </c>
      <c r="V145" s="96"/>
    </row>
    <row r="146" spans="1:22" ht="54" customHeight="1" x14ac:dyDescent="0.25">
      <c r="A146" s="22" t="s">
        <v>89</v>
      </c>
      <c r="B146" s="33" t="s">
        <v>326</v>
      </c>
      <c r="C146" s="51" t="s">
        <v>772</v>
      </c>
      <c r="D146" s="24">
        <v>0</v>
      </c>
      <c r="E146" s="24">
        <v>0</v>
      </c>
      <c r="F146" s="25" t="s">
        <v>50</v>
      </c>
      <c r="G146" s="24">
        <v>0</v>
      </c>
      <c r="H146" s="24">
        <f t="shared" si="19"/>
        <v>0</v>
      </c>
      <c r="I146" s="24">
        <f t="shared" si="19"/>
        <v>0.16561473000000002</v>
      </c>
      <c r="J146" s="24">
        <v>0</v>
      </c>
      <c r="K146" s="24">
        <f>165.61473/1000</f>
        <v>0.16561473000000002</v>
      </c>
      <c r="L146" s="24">
        <v>0</v>
      </c>
      <c r="M146" s="25">
        <v>0</v>
      </c>
      <c r="N146" s="24">
        <v>0</v>
      </c>
      <c r="O146" s="25">
        <v>0</v>
      </c>
      <c r="P146" s="24">
        <v>0</v>
      </c>
      <c r="Q146" s="25">
        <v>0</v>
      </c>
      <c r="R146" s="25" t="s">
        <v>50</v>
      </c>
      <c r="S146" s="24">
        <f t="shared" si="20"/>
        <v>-0.16561473000000002</v>
      </c>
      <c r="T146" s="24">
        <f t="shared" si="18"/>
        <v>0.16561473000000002</v>
      </c>
      <c r="U146" s="26">
        <v>100</v>
      </c>
      <c r="V146" s="96"/>
    </row>
    <row r="147" spans="1:22" ht="25.5" x14ac:dyDescent="0.25">
      <c r="A147" s="22" t="s">
        <v>89</v>
      </c>
      <c r="B147" s="33" t="s">
        <v>327</v>
      </c>
      <c r="C147" s="51" t="s">
        <v>773</v>
      </c>
      <c r="D147" s="24">
        <v>0</v>
      </c>
      <c r="E147" s="24">
        <v>0</v>
      </c>
      <c r="F147" s="25" t="s">
        <v>50</v>
      </c>
      <c r="G147" s="24">
        <v>0</v>
      </c>
      <c r="H147" s="24">
        <f t="shared" si="19"/>
        <v>0</v>
      </c>
      <c r="I147" s="24">
        <f t="shared" si="19"/>
        <v>9.3945459999999995E-2</v>
      </c>
      <c r="J147" s="24">
        <v>0</v>
      </c>
      <c r="K147" s="24">
        <f>93.94546/1000</f>
        <v>9.3945459999999995E-2</v>
      </c>
      <c r="L147" s="24">
        <v>0</v>
      </c>
      <c r="M147" s="25">
        <v>0</v>
      </c>
      <c r="N147" s="24">
        <v>0</v>
      </c>
      <c r="O147" s="25">
        <v>0</v>
      </c>
      <c r="P147" s="24">
        <v>0</v>
      </c>
      <c r="Q147" s="25">
        <v>0</v>
      </c>
      <c r="R147" s="25" t="s">
        <v>50</v>
      </c>
      <c r="S147" s="24">
        <f t="shared" si="20"/>
        <v>-9.3945459999999995E-2</v>
      </c>
      <c r="T147" s="24">
        <f t="shared" ref="T147:T201" si="22">(K147+M147+O147+Q147)-(J147+L147+N147+P147)</f>
        <v>9.3945459999999995E-2</v>
      </c>
      <c r="U147" s="26">
        <v>100</v>
      </c>
      <c r="V147" s="96"/>
    </row>
    <row r="148" spans="1:22" ht="25.5" x14ac:dyDescent="0.25">
      <c r="A148" s="22" t="s">
        <v>89</v>
      </c>
      <c r="B148" s="33" t="s">
        <v>328</v>
      </c>
      <c r="C148" s="51" t="s">
        <v>774</v>
      </c>
      <c r="D148" s="24">
        <v>0</v>
      </c>
      <c r="E148" s="24">
        <v>0</v>
      </c>
      <c r="F148" s="25" t="s">
        <v>50</v>
      </c>
      <c r="G148" s="24">
        <v>0</v>
      </c>
      <c r="H148" s="24">
        <f t="shared" si="19"/>
        <v>0</v>
      </c>
      <c r="I148" s="24">
        <f t="shared" si="19"/>
        <v>8.4622399999999993E-3</v>
      </c>
      <c r="J148" s="24">
        <v>0</v>
      </c>
      <c r="K148" s="24">
        <f>8.46224/1000</f>
        <v>8.4622399999999993E-3</v>
      </c>
      <c r="L148" s="24">
        <v>0</v>
      </c>
      <c r="M148" s="25">
        <v>0</v>
      </c>
      <c r="N148" s="24">
        <v>0</v>
      </c>
      <c r="O148" s="25">
        <v>0</v>
      </c>
      <c r="P148" s="24">
        <v>0</v>
      </c>
      <c r="Q148" s="25">
        <v>0</v>
      </c>
      <c r="R148" s="25" t="s">
        <v>50</v>
      </c>
      <c r="S148" s="24">
        <f t="shared" si="20"/>
        <v>-8.4622399999999993E-3</v>
      </c>
      <c r="T148" s="24">
        <f t="shared" si="22"/>
        <v>8.4622399999999993E-3</v>
      </c>
      <c r="U148" s="26">
        <v>100</v>
      </c>
      <c r="V148" s="96"/>
    </row>
    <row r="149" spans="1:22" ht="25.5" x14ac:dyDescent="0.25">
      <c r="A149" s="22" t="s">
        <v>89</v>
      </c>
      <c r="B149" s="33" t="s">
        <v>329</v>
      </c>
      <c r="C149" s="51" t="s">
        <v>775</v>
      </c>
      <c r="D149" s="24">
        <v>0</v>
      </c>
      <c r="E149" s="24">
        <v>0</v>
      </c>
      <c r="F149" s="25" t="s">
        <v>50</v>
      </c>
      <c r="G149" s="24">
        <v>0</v>
      </c>
      <c r="H149" s="24">
        <f t="shared" si="19"/>
        <v>0</v>
      </c>
      <c r="I149" s="24">
        <f t="shared" si="19"/>
        <v>5.1739400000000005E-2</v>
      </c>
      <c r="J149" s="24">
        <v>0</v>
      </c>
      <c r="K149" s="24">
        <v>0</v>
      </c>
      <c r="L149" s="24">
        <v>0</v>
      </c>
      <c r="M149" s="25">
        <v>5.1739400000000005E-2</v>
      </c>
      <c r="N149" s="24">
        <v>0</v>
      </c>
      <c r="O149" s="25">
        <v>0</v>
      </c>
      <c r="P149" s="24">
        <v>0</v>
      </c>
      <c r="Q149" s="25">
        <v>0</v>
      </c>
      <c r="R149" s="25" t="s">
        <v>50</v>
      </c>
      <c r="S149" s="24">
        <f t="shared" si="20"/>
        <v>-5.1739400000000005E-2</v>
      </c>
      <c r="T149" s="24">
        <f t="shared" si="22"/>
        <v>5.1739400000000005E-2</v>
      </c>
      <c r="U149" s="26">
        <v>100</v>
      </c>
      <c r="V149" s="97"/>
    </row>
    <row r="150" spans="1:22" ht="49.5" customHeight="1" x14ac:dyDescent="0.25">
      <c r="A150" s="22" t="s">
        <v>89</v>
      </c>
      <c r="B150" s="33" t="s">
        <v>330</v>
      </c>
      <c r="C150" s="51" t="s">
        <v>776</v>
      </c>
      <c r="D150" s="24">
        <v>0</v>
      </c>
      <c r="E150" s="24">
        <f>60862.21*1.2/1000000</f>
        <v>7.3034652000000005E-2</v>
      </c>
      <c r="F150" s="25" t="s">
        <v>50</v>
      </c>
      <c r="G150" s="24">
        <v>0</v>
      </c>
      <c r="H150" s="24">
        <f t="shared" si="19"/>
        <v>0</v>
      </c>
      <c r="I150" s="24">
        <f t="shared" si="19"/>
        <v>0</v>
      </c>
      <c r="J150" s="24">
        <v>0</v>
      </c>
      <c r="K150" s="24">
        <v>0</v>
      </c>
      <c r="L150" s="24">
        <v>0</v>
      </c>
      <c r="M150" s="25">
        <v>0</v>
      </c>
      <c r="N150" s="24">
        <v>0</v>
      </c>
      <c r="O150" s="25">
        <v>0</v>
      </c>
      <c r="P150" s="24">
        <v>0</v>
      </c>
      <c r="Q150" s="25">
        <v>0</v>
      </c>
      <c r="R150" s="25" t="s">
        <v>50</v>
      </c>
      <c r="S150" s="24">
        <f t="shared" si="20"/>
        <v>0</v>
      </c>
      <c r="T150" s="24">
        <f t="shared" si="22"/>
        <v>0</v>
      </c>
      <c r="U150" s="26">
        <v>0</v>
      </c>
      <c r="V150" s="56" t="s">
        <v>50</v>
      </c>
    </row>
    <row r="151" spans="1:22" ht="45" customHeight="1" x14ac:dyDescent="0.25">
      <c r="A151" s="30" t="s">
        <v>89</v>
      </c>
      <c r="B151" s="33" t="s">
        <v>529</v>
      </c>
      <c r="C151" s="51" t="s">
        <v>777</v>
      </c>
      <c r="D151" s="24">
        <v>0</v>
      </c>
      <c r="E151" s="24">
        <v>0</v>
      </c>
      <c r="F151" s="25" t="s">
        <v>50</v>
      </c>
      <c r="G151" s="24">
        <v>0</v>
      </c>
      <c r="H151" s="24">
        <f t="shared" si="19"/>
        <v>0</v>
      </c>
      <c r="I151" s="24">
        <f t="shared" si="19"/>
        <v>7.0547250000000006E-2</v>
      </c>
      <c r="J151" s="24">
        <v>0</v>
      </c>
      <c r="K151" s="24">
        <v>0</v>
      </c>
      <c r="L151" s="24">
        <v>0</v>
      </c>
      <c r="M151" s="25">
        <f>70.54725/1000</f>
        <v>7.0547250000000006E-2</v>
      </c>
      <c r="N151" s="24">
        <v>0</v>
      </c>
      <c r="O151" s="25">
        <v>0</v>
      </c>
      <c r="P151" s="24">
        <v>0</v>
      </c>
      <c r="Q151" s="25">
        <v>0</v>
      </c>
      <c r="R151" s="25" t="s">
        <v>50</v>
      </c>
      <c r="S151" s="24">
        <f t="shared" ref="S151:S206" si="23">G151-I151</f>
        <v>-7.0547250000000006E-2</v>
      </c>
      <c r="T151" s="24">
        <f t="shared" si="22"/>
        <v>7.0547250000000006E-2</v>
      </c>
      <c r="U151" s="26">
        <v>100</v>
      </c>
      <c r="V151" s="67" t="s">
        <v>699</v>
      </c>
    </row>
    <row r="152" spans="1:22" ht="43.5" customHeight="1" x14ac:dyDescent="0.25">
      <c r="A152" s="30" t="s">
        <v>89</v>
      </c>
      <c r="B152" s="33" t="s">
        <v>654</v>
      </c>
      <c r="C152" s="51" t="s">
        <v>778</v>
      </c>
      <c r="D152" s="24">
        <v>0</v>
      </c>
      <c r="E152" s="24">
        <v>0</v>
      </c>
      <c r="F152" s="25" t="s">
        <v>50</v>
      </c>
      <c r="G152" s="24">
        <v>0</v>
      </c>
      <c r="H152" s="24">
        <f t="shared" si="19"/>
        <v>0</v>
      </c>
      <c r="I152" s="24">
        <f t="shared" si="19"/>
        <v>8.8717099999999997E-3</v>
      </c>
      <c r="J152" s="24">
        <v>0</v>
      </c>
      <c r="K152" s="24">
        <v>0</v>
      </c>
      <c r="L152" s="24">
        <v>0</v>
      </c>
      <c r="M152" s="25">
        <f>8.87171/1000</f>
        <v>8.8717099999999997E-3</v>
      </c>
      <c r="N152" s="24">
        <v>0</v>
      </c>
      <c r="O152" s="25">
        <v>0</v>
      </c>
      <c r="P152" s="24">
        <v>0</v>
      </c>
      <c r="Q152" s="25">
        <v>0</v>
      </c>
      <c r="R152" s="25" t="s">
        <v>50</v>
      </c>
      <c r="S152" s="24">
        <f t="shared" si="23"/>
        <v>-8.8717099999999997E-3</v>
      </c>
      <c r="T152" s="24">
        <f t="shared" si="22"/>
        <v>8.8717099999999997E-3</v>
      </c>
      <c r="U152" s="26">
        <v>100</v>
      </c>
      <c r="V152" s="68"/>
    </row>
    <row r="153" spans="1:22" ht="43.5" customHeight="1" x14ac:dyDescent="0.25">
      <c r="A153" s="30" t="s">
        <v>89</v>
      </c>
      <c r="B153" s="33" t="s">
        <v>782</v>
      </c>
      <c r="C153" s="51" t="s">
        <v>783</v>
      </c>
      <c r="D153" s="24">
        <v>0</v>
      </c>
      <c r="E153" s="24">
        <v>0</v>
      </c>
      <c r="F153" s="25" t="s">
        <v>50</v>
      </c>
      <c r="G153" s="24">
        <v>0</v>
      </c>
      <c r="H153" s="24">
        <v>0</v>
      </c>
      <c r="I153" s="24">
        <f t="shared" si="19"/>
        <v>0</v>
      </c>
      <c r="J153" s="24">
        <v>0</v>
      </c>
      <c r="K153" s="24">
        <v>0</v>
      </c>
      <c r="L153" s="24">
        <v>0</v>
      </c>
      <c r="M153" s="25">
        <v>0</v>
      </c>
      <c r="N153" s="24">
        <v>0</v>
      </c>
      <c r="O153" s="25">
        <v>0</v>
      </c>
      <c r="P153" s="24">
        <v>0</v>
      </c>
      <c r="Q153" s="25">
        <v>0</v>
      </c>
      <c r="R153" s="25" t="s">
        <v>50</v>
      </c>
      <c r="S153" s="24">
        <f t="shared" si="23"/>
        <v>0</v>
      </c>
      <c r="T153" s="24">
        <f t="shared" si="22"/>
        <v>0</v>
      </c>
      <c r="U153" s="26">
        <v>0</v>
      </c>
      <c r="V153" s="68"/>
    </row>
    <row r="154" spans="1:22" ht="42.75" customHeight="1" x14ac:dyDescent="0.25">
      <c r="A154" s="30" t="s">
        <v>89</v>
      </c>
      <c r="B154" s="33" t="s">
        <v>784</v>
      </c>
      <c r="C154" s="51" t="s">
        <v>785</v>
      </c>
      <c r="D154" s="24">
        <v>0</v>
      </c>
      <c r="E154" s="24">
        <v>0</v>
      </c>
      <c r="F154" s="25" t="s">
        <v>50</v>
      </c>
      <c r="G154" s="24">
        <v>0</v>
      </c>
      <c r="H154" s="24">
        <v>0</v>
      </c>
      <c r="I154" s="24">
        <f t="shared" si="19"/>
        <v>0</v>
      </c>
      <c r="J154" s="24">
        <v>0</v>
      </c>
      <c r="K154" s="24">
        <v>0</v>
      </c>
      <c r="L154" s="24">
        <v>0</v>
      </c>
      <c r="M154" s="25">
        <v>0</v>
      </c>
      <c r="N154" s="24">
        <v>0</v>
      </c>
      <c r="O154" s="25">
        <v>0</v>
      </c>
      <c r="P154" s="24">
        <v>0</v>
      </c>
      <c r="Q154" s="25">
        <v>0</v>
      </c>
      <c r="R154" s="25" t="s">
        <v>50</v>
      </c>
      <c r="S154" s="24">
        <f t="shared" si="23"/>
        <v>0</v>
      </c>
      <c r="T154" s="24">
        <f t="shared" si="22"/>
        <v>0</v>
      </c>
      <c r="U154" s="26">
        <v>0</v>
      </c>
      <c r="V154" s="68"/>
    </row>
    <row r="155" spans="1:22" ht="25.5" x14ac:dyDescent="0.25">
      <c r="A155" s="30" t="s">
        <v>89</v>
      </c>
      <c r="B155" s="33" t="s">
        <v>530</v>
      </c>
      <c r="C155" s="51" t="s">
        <v>786</v>
      </c>
      <c r="D155" s="24">
        <v>0</v>
      </c>
      <c r="E155" s="24">
        <v>0</v>
      </c>
      <c r="F155" s="25" t="s">
        <v>50</v>
      </c>
      <c r="G155" s="24">
        <v>0</v>
      </c>
      <c r="H155" s="24">
        <f t="shared" si="19"/>
        <v>0</v>
      </c>
      <c r="I155" s="24">
        <f t="shared" si="19"/>
        <v>8.2340609999999995E-2</v>
      </c>
      <c r="J155" s="24">
        <v>0</v>
      </c>
      <c r="K155" s="24">
        <v>0</v>
      </c>
      <c r="L155" s="24">
        <v>0</v>
      </c>
      <c r="M155" s="25">
        <f>82.34061/1000</f>
        <v>8.2340609999999995E-2</v>
      </c>
      <c r="N155" s="24">
        <v>0</v>
      </c>
      <c r="O155" s="25">
        <v>0</v>
      </c>
      <c r="P155" s="24">
        <v>0</v>
      </c>
      <c r="Q155" s="25">
        <v>0</v>
      </c>
      <c r="R155" s="25" t="s">
        <v>50</v>
      </c>
      <c r="S155" s="24">
        <f t="shared" si="23"/>
        <v>-8.2340609999999995E-2</v>
      </c>
      <c r="T155" s="24">
        <f t="shared" si="22"/>
        <v>8.2340609999999995E-2</v>
      </c>
      <c r="U155" s="26">
        <v>100</v>
      </c>
      <c r="V155" s="68"/>
    </row>
    <row r="156" spans="1:22" ht="43.5" customHeight="1" x14ac:dyDescent="0.25">
      <c r="A156" s="30" t="s">
        <v>89</v>
      </c>
      <c r="B156" s="33" t="s">
        <v>657</v>
      </c>
      <c r="C156" s="51" t="s">
        <v>787</v>
      </c>
      <c r="D156" s="24">
        <v>0</v>
      </c>
      <c r="E156" s="24">
        <v>0</v>
      </c>
      <c r="F156" s="25" t="s">
        <v>50</v>
      </c>
      <c r="G156" s="24">
        <v>0</v>
      </c>
      <c r="H156" s="24">
        <f t="shared" si="19"/>
        <v>0</v>
      </c>
      <c r="I156" s="24">
        <f t="shared" si="19"/>
        <v>6.3493539999999987E-2</v>
      </c>
      <c r="J156" s="24">
        <v>0</v>
      </c>
      <c r="K156" s="24">
        <v>0</v>
      </c>
      <c r="L156" s="24">
        <v>0</v>
      </c>
      <c r="M156" s="25">
        <v>0</v>
      </c>
      <c r="N156" s="24">
        <v>0</v>
      </c>
      <c r="O156" s="25">
        <v>6.3493539999999987E-2</v>
      </c>
      <c r="P156" s="24">
        <v>0</v>
      </c>
      <c r="Q156" s="25">
        <v>0</v>
      </c>
      <c r="R156" s="25" t="s">
        <v>50</v>
      </c>
      <c r="S156" s="24">
        <f t="shared" si="23"/>
        <v>-6.3493539999999987E-2</v>
      </c>
      <c r="T156" s="24">
        <f t="shared" si="22"/>
        <v>6.3493539999999987E-2</v>
      </c>
      <c r="U156" s="26">
        <v>100</v>
      </c>
      <c r="V156" s="68"/>
    </row>
    <row r="157" spans="1:22" ht="25.5" x14ac:dyDescent="0.25">
      <c r="A157" s="30" t="s">
        <v>89</v>
      </c>
      <c r="B157" s="33" t="s">
        <v>658</v>
      </c>
      <c r="C157" s="51" t="s">
        <v>788</v>
      </c>
      <c r="D157" s="24">
        <v>0</v>
      </c>
      <c r="E157" s="24">
        <v>0</v>
      </c>
      <c r="F157" s="25" t="s">
        <v>50</v>
      </c>
      <c r="G157" s="24">
        <v>0</v>
      </c>
      <c r="H157" s="24">
        <f t="shared" si="19"/>
        <v>0</v>
      </c>
      <c r="I157" s="24">
        <f t="shared" si="19"/>
        <v>7.3321510000000006E-2</v>
      </c>
      <c r="J157" s="24">
        <v>0</v>
      </c>
      <c r="K157" s="24">
        <v>0</v>
      </c>
      <c r="L157" s="24">
        <v>0</v>
      </c>
      <c r="M157" s="25">
        <v>0</v>
      </c>
      <c r="N157" s="24">
        <v>0</v>
      </c>
      <c r="O157" s="25">
        <v>7.3321510000000006E-2</v>
      </c>
      <c r="P157" s="24">
        <v>0</v>
      </c>
      <c r="Q157" s="25">
        <v>0</v>
      </c>
      <c r="R157" s="25" t="s">
        <v>50</v>
      </c>
      <c r="S157" s="24">
        <f t="shared" si="23"/>
        <v>-7.3321510000000006E-2</v>
      </c>
      <c r="T157" s="24">
        <f t="shared" si="22"/>
        <v>7.3321510000000006E-2</v>
      </c>
      <c r="U157" s="26">
        <v>100</v>
      </c>
      <c r="V157" s="69"/>
    </row>
    <row r="158" spans="1:22" ht="24" customHeight="1" x14ac:dyDescent="0.25">
      <c r="A158" s="30" t="s">
        <v>89</v>
      </c>
      <c r="B158" s="33" t="s">
        <v>789</v>
      </c>
      <c r="C158" s="51" t="s">
        <v>617</v>
      </c>
      <c r="D158" s="24">
        <v>0</v>
      </c>
      <c r="E158" s="24">
        <v>0</v>
      </c>
      <c r="F158" s="25" t="s">
        <v>50</v>
      </c>
      <c r="G158" s="24">
        <v>0</v>
      </c>
      <c r="H158" s="24">
        <v>0</v>
      </c>
      <c r="I158" s="24">
        <f t="shared" si="19"/>
        <v>0</v>
      </c>
      <c r="J158" s="24">
        <v>0</v>
      </c>
      <c r="K158" s="24">
        <v>0</v>
      </c>
      <c r="L158" s="24">
        <v>0</v>
      </c>
      <c r="M158" s="25">
        <v>0</v>
      </c>
      <c r="N158" s="24">
        <v>0</v>
      </c>
      <c r="O158" s="25">
        <v>0</v>
      </c>
      <c r="P158" s="24">
        <v>0</v>
      </c>
      <c r="Q158" s="25">
        <v>0</v>
      </c>
      <c r="R158" s="25" t="s">
        <v>50</v>
      </c>
      <c r="S158" s="24">
        <f t="shared" si="23"/>
        <v>0</v>
      </c>
      <c r="T158" s="24">
        <f t="shared" si="22"/>
        <v>0</v>
      </c>
      <c r="U158" s="26">
        <v>0</v>
      </c>
      <c r="V158" s="57" t="s">
        <v>50</v>
      </c>
    </row>
    <row r="159" spans="1:22" ht="45" customHeight="1" x14ac:dyDescent="0.25">
      <c r="A159" s="30" t="s">
        <v>89</v>
      </c>
      <c r="B159" s="33" t="s">
        <v>790</v>
      </c>
      <c r="C159" s="51" t="s">
        <v>791</v>
      </c>
      <c r="D159" s="24">
        <v>0</v>
      </c>
      <c r="E159" s="24">
        <v>0</v>
      </c>
      <c r="F159" s="25" t="s">
        <v>50</v>
      </c>
      <c r="G159" s="24">
        <v>0</v>
      </c>
      <c r="H159" s="24">
        <v>0</v>
      </c>
      <c r="I159" s="24">
        <f t="shared" si="19"/>
        <v>0.12476635</v>
      </c>
      <c r="J159" s="24">
        <v>0</v>
      </c>
      <c r="K159" s="24">
        <v>0</v>
      </c>
      <c r="L159" s="24">
        <v>0</v>
      </c>
      <c r="M159" s="25">
        <v>0</v>
      </c>
      <c r="N159" s="24">
        <v>0</v>
      </c>
      <c r="O159" s="25">
        <v>0</v>
      </c>
      <c r="P159" s="24">
        <v>0</v>
      </c>
      <c r="Q159" s="25">
        <v>0.12476635</v>
      </c>
      <c r="R159" s="25" t="s">
        <v>50</v>
      </c>
      <c r="S159" s="24">
        <f t="shared" si="23"/>
        <v>-0.12476635</v>
      </c>
      <c r="T159" s="24">
        <f t="shared" si="22"/>
        <v>0.12476635</v>
      </c>
      <c r="U159" s="26">
        <v>100</v>
      </c>
      <c r="V159" s="67" t="s">
        <v>699</v>
      </c>
    </row>
    <row r="160" spans="1:22" ht="57.75" customHeight="1" x14ac:dyDescent="0.25">
      <c r="A160" s="30" t="s">
        <v>89</v>
      </c>
      <c r="B160" s="33" t="s">
        <v>792</v>
      </c>
      <c r="C160" s="51" t="s">
        <v>793</v>
      </c>
      <c r="D160" s="24">
        <v>0</v>
      </c>
      <c r="E160" s="24">
        <v>0</v>
      </c>
      <c r="F160" s="25" t="s">
        <v>50</v>
      </c>
      <c r="G160" s="24">
        <v>0</v>
      </c>
      <c r="H160" s="24">
        <v>0</v>
      </c>
      <c r="I160" s="24">
        <f t="shared" si="19"/>
        <v>1.6400390000000001E-2</v>
      </c>
      <c r="J160" s="24">
        <v>0</v>
      </c>
      <c r="K160" s="24">
        <v>0</v>
      </c>
      <c r="L160" s="24">
        <v>0</v>
      </c>
      <c r="M160" s="25">
        <v>0</v>
      </c>
      <c r="N160" s="24">
        <v>0</v>
      </c>
      <c r="O160" s="25">
        <v>0</v>
      </c>
      <c r="P160" s="24">
        <v>0</v>
      </c>
      <c r="Q160" s="25">
        <v>1.6400390000000001E-2</v>
      </c>
      <c r="R160" s="25" t="s">
        <v>50</v>
      </c>
      <c r="S160" s="24">
        <f t="shared" si="23"/>
        <v>-1.6400390000000001E-2</v>
      </c>
      <c r="T160" s="24">
        <f t="shared" si="22"/>
        <v>1.6400390000000001E-2</v>
      </c>
      <c r="U160" s="26">
        <v>100</v>
      </c>
      <c r="V160" s="69"/>
    </row>
    <row r="161" spans="1:22" ht="72.75" customHeight="1" x14ac:dyDescent="0.25">
      <c r="A161" s="14" t="s">
        <v>93</v>
      </c>
      <c r="B161" s="19" t="s">
        <v>94</v>
      </c>
      <c r="C161" s="49" t="s">
        <v>52</v>
      </c>
      <c r="D161" s="16">
        <v>0</v>
      </c>
      <c r="E161" s="16">
        <v>0</v>
      </c>
      <c r="F161" s="17">
        <v>0</v>
      </c>
      <c r="G161" s="16">
        <v>0</v>
      </c>
      <c r="H161" s="16">
        <f t="shared" si="19"/>
        <v>0</v>
      </c>
      <c r="I161" s="16">
        <f t="shared" si="19"/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7">
        <v>0</v>
      </c>
      <c r="P161" s="16">
        <v>0</v>
      </c>
      <c r="Q161" s="17">
        <v>0</v>
      </c>
      <c r="R161" s="17">
        <v>0</v>
      </c>
      <c r="S161" s="16">
        <f t="shared" si="23"/>
        <v>0</v>
      </c>
      <c r="T161" s="16">
        <f t="shared" si="22"/>
        <v>0</v>
      </c>
      <c r="U161" s="18">
        <v>0</v>
      </c>
      <c r="V161" s="48" t="s">
        <v>50</v>
      </c>
    </row>
    <row r="162" spans="1:22" ht="25.5" x14ac:dyDescent="0.25">
      <c r="A162" s="14" t="s">
        <v>25</v>
      </c>
      <c r="B162" s="19" t="s">
        <v>95</v>
      </c>
      <c r="C162" s="49" t="s">
        <v>52</v>
      </c>
      <c r="D162" s="16">
        <v>16.520314779488359</v>
      </c>
      <c r="E162" s="16">
        <f>E163+E314</f>
        <v>6.3363848039999997</v>
      </c>
      <c r="F162" s="17" t="s">
        <v>50</v>
      </c>
      <c r="G162" s="16">
        <v>133.95458524213561</v>
      </c>
      <c r="H162" s="16">
        <f t="shared" si="19"/>
        <v>133.95458524213561</v>
      </c>
      <c r="I162" s="16">
        <f t="shared" si="19"/>
        <v>99.295148390000008</v>
      </c>
      <c r="J162" s="16">
        <f t="shared" ref="J162:Q162" si="24">J163+J314</f>
        <v>6.5123512313559324</v>
      </c>
      <c r="K162" s="16">
        <f t="shared" si="24"/>
        <v>21.773626309999997</v>
      </c>
      <c r="L162" s="16">
        <f t="shared" si="24"/>
        <v>69.937562292203381</v>
      </c>
      <c r="M162" s="17">
        <f t="shared" si="24"/>
        <v>9.7814750599999964</v>
      </c>
      <c r="N162" s="16">
        <f t="shared" si="24"/>
        <v>32.387612374508493</v>
      </c>
      <c r="O162" s="17">
        <f t="shared" si="24"/>
        <v>13.646142220000002</v>
      </c>
      <c r="P162" s="16">
        <f t="shared" si="24"/>
        <v>25.117059344067798</v>
      </c>
      <c r="Q162" s="17">
        <f t="shared" si="24"/>
        <v>54.093904800000004</v>
      </c>
      <c r="R162" s="17" t="s">
        <v>50</v>
      </c>
      <c r="S162" s="16">
        <f t="shared" si="23"/>
        <v>34.659436852135599</v>
      </c>
      <c r="T162" s="16">
        <f t="shared" si="22"/>
        <v>-34.659436852135599</v>
      </c>
      <c r="U162" s="18">
        <f t="shared" ref="U162:U201" si="25">(K162+M162+O162+Q162)/(J162+L162+N162+P162)*100-100</f>
        <v>-25.874020504401088</v>
      </c>
      <c r="V162" s="48" t="s">
        <v>50</v>
      </c>
    </row>
    <row r="163" spans="1:22" ht="38.25" x14ac:dyDescent="0.25">
      <c r="A163" s="14" t="s">
        <v>26</v>
      </c>
      <c r="B163" s="19" t="s">
        <v>96</v>
      </c>
      <c r="C163" s="49" t="s">
        <v>52</v>
      </c>
      <c r="D163" s="16">
        <v>3.7433373702742676</v>
      </c>
      <c r="E163" s="16">
        <f>E164++E180</f>
        <v>0.15397043999999999</v>
      </c>
      <c r="F163" s="17" t="s">
        <v>50</v>
      </c>
      <c r="G163" s="16">
        <v>43.066782132135614</v>
      </c>
      <c r="H163" s="16">
        <f t="shared" si="19"/>
        <v>43.066782132135614</v>
      </c>
      <c r="I163" s="16">
        <f t="shared" si="19"/>
        <v>50.17127038000001</v>
      </c>
      <c r="J163" s="16">
        <f>J164++J180+J440</f>
        <v>1.1750550513559319</v>
      </c>
      <c r="K163" s="16">
        <f>K164++K180</f>
        <v>15.586592619999998</v>
      </c>
      <c r="L163" s="16">
        <f>L164++L180+L440</f>
        <v>16.346707502203394</v>
      </c>
      <c r="M163" s="17">
        <f>M164++M180</f>
        <v>1.82481157</v>
      </c>
      <c r="N163" s="16">
        <f>SUM(N164+N180)</f>
        <v>20.454803144508489</v>
      </c>
      <c r="O163" s="17">
        <f>O164++O180</f>
        <v>5.9965363800000002</v>
      </c>
      <c r="P163" s="16">
        <f>P164++P180+P440</f>
        <v>5.0902164340677967</v>
      </c>
      <c r="Q163" s="17">
        <f>Q164++Q180+Q440</f>
        <v>26.763329810000005</v>
      </c>
      <c r="R163" s="17" t="s">
        <v>50</v>
      </c>
      <c r="S163" s="16">
        <f t="shared" si="23"/>
        <v>-7.1044882478643956</v>
      </c>
      <c r="T163" s="16">
        <f t="shared" si="22"/>
        <v>7.1044882478643956</v>
      </c>
      <c r="U163" s="18">
        <f t="shared" si="25"/>
        <v>16.496445511221893</v>
      </c>
      <c r="V163" s="48" t="s">
        <v>50</v>
      </c>
    </row>
    <row r="164" spans="1:22" ht="25.5" x14ac:dyDescent="0.25">
      <c r="A164" s="14" t="s">
        <v>27</v>
      </c>
      <c r="B164" s="19" t="s">
        <v>97</v>
      </c>
      <c r="C164" s="49" t="s">
        <v>52</v>
      </c>
      <c r="D164" s="16">
        <v>5.2311728260497001E-2</v>
      </c>
      <c r="E164" s="16">
        <f>SUM(E165:E179)</f>
        <v>9.5011524E-2</v>
      </c>
      <c r="F164" s="17" t="s">
        <v>50</v>
      </c>
      <c r="G164" s="16">
        <v>0.34664822400000012</v>
      </c>
      <c r="H164" s="16">
        <f t="shared" si="19"/>
        <v>0.34664822400000012</v>
      </c>
      <c r="I164" s="16">
        <f t="shared" si="19"/>
        <v>2.5977045999999997</v>
      </c>
      <c r="J164" s="16">
        <f>SUM(J165:J175)</f>
        <v>0</v>
      </c>
      <c r="K164" s="16">
        <f>SUM(K165:K179)</f>
        <v>2.2198133099999997</v>
      </c>
      <c r="L164" s="16">
        <f>SUM(L165:L175)</f>
        <v>0</v>
      </c>
      <c r="M164" s="17">
        <f>SUM(M165:M175)</f>
        <v>6.4463339999999994E-2</v>
      </c>
      <c r="N164" s="16">
        <f>SUM(N165:N176)</f>
        <v>0.34664822400000012</v>
      </c>
      <c r="O164" s="17">
        <f>SUM(O165:O176)</f>
        <v>0.25061671000000002</v>
      </c>
      <c r="P164" s="16">
        <f>SUM(P165:P175)</f>
        <v>0</v>
      </c>
      <c r="Q164" s="17">
        <f>SUM(Q165:Q179)</f>
        <v>6.281123999999999E-2</v>
      </c>
      <c r="R164" s="17" t="s">
        <v>50</v>
      </c>
      <c r="S164" s="16">
        <f t="shared" si="23"/>
        <v>-2.2510563759999997</v>
      </c>
      <c r="T164" s="16">
        <f t="shared" si="22"/>
        <v>2.2510563759999997</v>
      </c>
      <c r="U164" s="18">
        <f t="shared" si="25"/>
        <v>649.37773227997241</v>
      </c>
      <c r="V164" s="48" t="s">
        <v>50</v>
      </c>
    </row>
    <row r="165" spans="1:22" ht="33" customHeight="1" x14ac:dyDescent="0.25">
      <c r="A165" s="34" t="s">
        <v>27</v>
      </c>
      <c r="B165" s="35" t="s">
        <v>98</v>
      </c>
      <c r="C165" s="58" t="s">
        <v>99</v>
      </c>
      <c r="D165" s="24">
        <v>8.3333333333333332E-3</v>
      </c>
      <c r="E165" s="24">
        <v>0</v>
      </c>
      <c r="F165" s="25" t="s">
        <v>50</v>
      </c>
      <c r="G165" s="24">
        <v>3.4664822400000003E-2</v>
      </c>
      <c r="H165" s="24">
        <f t="shared" si="19"/>
        <v>3.4664822400000003E-2</v>
      </c>
      <c r="I165" s="24">
        <f t="shared" si="19"/>
        <v>3.2859439999999997E-2</v>
      </c>
      <c r="J165" s="24">
        <v>0</v>
      </c>
      <c r="K165" s="24">
        <v>0</v>
      </c>
      <c r="L165" s="24">
        <v>0</v>
      </c>
      <c r="M165" s="25">
        <f>32.85944/1000</f>
        <v>3.2859439999999997E-2</v>
      </c>
      <c r="N165" s="24">
        <v>3.4664822400000003E-2</v>
      </c>
      <c r="O165" s="25">
        <v>0</v>
      </c>
      <c r="P165" s="24">
        <v>0</v>
      </c>
      <c r="Q165" s="25">
        <v>0</v>
      </c>
      <c r="R165" s="25" t="s">
        <v>50</v>
      </c>
      <c r="S165" s="24">
        <f t="shared" si="23"/>
        <v>1.8053824000000065E-3</v>
      </c>
      <c r="T165" s="24">
        <f t="shared" si="22"/>
        <v>-1.8053824000000065E-3</v>
      </c>
      <c r="U165" s="26">
        <f t="shared" si="25"/>
        <v>-5.2081109176546789</v>
      </c>
      <c r="V165" s="44" t="s">
        <v>50</v>
      </c>
    </row>
    <row r="166" spans="1:22" ht="33" customHeight="1" x14ac:dyDescent="0.25">
      <c r="A166" s="34" t="s">
        <v>27</v>
      </c>
      <c r="B166" s="35" t="s">
        <v>100</v>
      </c>
      <c r="C166" s="58" t="s">
        <v>101</v>
      </c>
      <c r="D166" s="24">
        <v>8.3333333333333332E-3</v>
      </c>
      <c r="E166" s="24">
        <v>0</v>
      </c>
      <c r="F166" s="25" t="s">
        <v>50</v>
      </c>
      <c r="G166" s="24">
        <v>3.4664822400000003E-2</v>
      </c>
      <c r="H166" s="24">
        <f t="shared" si="19"/>
        <v>3.4664822400000003E-2</v>
      </c>
      <c r="I166" s="24">
        <f t="shared" si="19"/>
        <v>3.1603899999999997E-2</v>
      </c>
      <c r="J166" s="24">
        <v>0</v>
      </c>
      <c r="K166" s="24">
        <v>0</v>
      </c>
      <c r="L166" s="24">
        <v>0</v>
      </c>
      <c r="M166" s="25">
        <f>31.6039/1000</f>
        <v>3.1603899999999997E-2</v>
      </c>
      <c r="N166" s="24">
        <v>3.4664822400000003E-2</v>
      </c>
      <c r="O166" s="25">
        <v>0</v>
      </c>
      <c r="P166" s="24">
        <v>0</v>
      </c>
      <c r="Q166" s="25">
        <v>0</v>
      </c>
      <c r="R166" s="25" t="s">
        <v>50</v>
      </c>
      <c r="S166" s="24">
        <f t="shared" si="23"/>
        <v>3.060922400000006E-3</v>
      </c>
      <c r="T166" s="24">
        <f t="shared" si="22"/>
        <v>-3.060922400000006E-3</v>
      </c>
      <c r="U166" s="26">
        <f t="shared" si="25"/>
        <v>-8.8300536050056451</v>
      </c>
      <c r="V166" s="44" t="s">
        <v>50</v>
      </c>
    </row>
    <row r="167" spans="1:22" ht="33" customHeight="1" x14ac:dyDescent="0.25">
      <c r="A167" s="34" t="s">
        <v>27</v>
      </c>
      <c r="B167" s="35" t="s">
        <v>102</v>
      </c>
      <c r="C167" s="58" t="s">
        <v>103</v>
      </c>
      <c r="D167" s="24">
        <v>4.4556326992287922E-3</v>
      </c>
      <c r="E167" s="24">
        <v>0</v>
      </c>
      <c r="F167" s="25" t="s">
        <v>50</v>
      </c>
      <c r="G167" s="24">
        <v>3.4664822400000003E-2</v>
      </c>
      <c r="H167" s="24">
        <f t="shared" si="19"/>
        <v>3.4664822400000003E-2</v>
      </c>
      <c r="I167" s="24">
        <f t="shared" si="19"/>
        <v>3.11694E-2</v>
      </c>
      <c r="J167" s="24">
        <v>0</v>
      </c>
      <c r="K167" s="24">
        <v>0</v>
      </c>
      <c r="L167" s="24">
        <v>0</v>
      </c>
      <c r="M167" s="25">
        <v>0</v>
      </c>
      <c r="N167" s="24">
        <v>3.4664822400000003E-2</v>
      </c>
      <c r="O167" s="25">
        <v>3.11694E-2</v>
      </c>
      <c r="P167" s="24">
        <v>0</v>
      </c>
      <c r="Q167" s="25">
        <v>0</v>
      </c>
      <c r="R167" s="25" t="s">
        <v>50</v>
      </c>
      <c r="S167" s="24">
        <f t="shared" si="23"/>
        <v>3.4954224000000034E-3</v>
      </c>
      <c r="T167" s="24">
        <f t="shared" si="22"/>
        <v>-3.4954224000000034E-3</v>
      </c>
      <c r="U167" s="26">
        <f t="shared" si="25"/>
        <v>-10.083485672207004</v>
      </c>
      <c r="V167" s="44" t="s">
        <v>50</v>
      </c>
    </row>
    <row r="168" spans="1:22" ht="33" customHeight="1" x14ac:dyDescent="0.25">
      <c r="A168" s="34" t="s">
        <v>27</v>
      </c>
      <c r="B168" s="35" t="s">
        <v>104</v>
      </c>
      <c r="C168" s="58" t="s">
        <v>105</v>
      </c>
      <c r="D168" s="24">
        <v>4.4556326992287922E-3</v>
      </c>
      <c r="E168" s="24">
        <v>0</v>
      </c>
      <c r="F168" s="25" t="s">
        <v>50</v>
      </c>
      <c r="G168" s="24">
        <v>3.4664822400000003E-2</v>
      </c>
      <c r="H168" s="24">
        <f t="shared" si="19"/>
        <v>3.4664822400000003E-2</v>
      </c>
      <c r="I168" s="24">
        <f t="shared" si="19"/>
        <v>3.1318409999999998E-2</v>
      </c>
      <c r="J168" s="24">
        <v>0</v>
      </c>
      <c r="K168" s="24">
        <v>0</v>
      </c>
      <c r="L168" s="24">
        <v>0</v>
      </c>
      <c r="M168" s="25">
        <v>0</v>
      </c>
      <c r="N168" s="24">
        <v>3.4664822400000003E-2</v>
      </c>
      <c r="O168" s="25">
        <v>3.1318409999999998E-2</v>
      </c>
      <c r="P168" s="24">
        <v>0</v>
      </c>
      <c r="Q168" s="25">
        <v>0</v>
      </c>
      <c r="R168" s="25" t="s">
        <v>50</v>
      </c>
      <c r="S168" s="24">
        <f t="shared" si="23"/>
        <v>3.3464124000000053E-3</v>
      </c>
      <c r="T168" s="24">
        <f t="shared" si="22"/>
        <v>-3.3464124000000053E-3</v>
      </c>
      <c r="U168" s="26">
        <f t="shared" si="25"/>
        <v>-9.6536262652250144</v>
      </c>
      <c r="V168" s="44" t="s">
        <v>50</v>
      </c>
    </row>
    <row r="169" spans="1:22" ht="33" customHeight="1" x14ac:dyDescent="0.25">
      <c r="A169" s="34" t="s">
        <v>27</v>
      </c>
      <c r="B169" s="35" t="s">
        <v>106</v>
      </c>
      <c r="C169" s="58" t="s">
        <v>107</v>
      </c>
      <c r="D169" s="24">
        <v>4.4556326992287922E-3</v>
      </c>
      <c r="E169" s="24">
        <v>0</v>
      </c>
      <c r="F169" s="25" t="s">
        <v>50</v>
      </c>
      <c r="G169" s="24">
        <v>3.4664822400000003E-2</v>
      </c>
      <c r="H169" s="24">
        <f t="shared" si="19"/>
        <v>3.4664822400000003E-2</v>
      </c>
      <c r="I169" s="24">
        <f t="shared" si="19"/>
        <v>3.123561E-2</v>
      </c>
      <c r="J169" s="24">
        <v>0</v>
      </c>
      <c r="K169" s="24">
        <v>0</v>
      </c>
      <c r="L169" s="24">
        <v>0</v>
      </c>
      <c r="M169" s="25">
        <v>0</v>
      </c>
      <c r="N169" s="24">
        <v>3.4664822400000003E-2</v>
      </c>
      <c r="O169" s="25">
        <v>3.123561E-2</v>
      </c>
      <c r="P169" s="24">
        <v>0</v>
      </c>
      <c r="Q169" s="25">
        <v>0</v>
      </c>
      <c r="R169" s="25" t="s">
        <v>50</v>
      </c>
      <c r="S169" s="24">
        <f t="shared" si="23"/>
        <v>3.4292124000000028E-3</v>
      </c>
      <c r="T169" s="24">
        <f t="shared" si="22"/>
        <v>-3.4292124000000028E-3</v>
      </c>
      <c r="U169" s="26">
        <f t="shared" si="25"/>
        <v>-9.8924851263625726</v>
      </c>
      <c r="V169" s="44" t="s">
        <v>50</v>
      </c>
    </row>
    <row r="170" spans="1:22" ht="33" customHeight="1" x14ac:dyDescent="0.25">
      <c r="A170" s="34" t="s">
        <v>27</v>
      </c>
      <c r="B170" s="35" t="s">
        <v>108</v>
      </c>
      <c r="C170" s="58" t="s">
        <v>109</v>
      </c>
      <c r="D170" s="24">
        <v>4.4556326992287922E-3</v>
      </c>
      <c r="E170" s="24">
        <v>0</v>
      </c>
      <c r="F170" s="25" t="s">
        <v>50</v>
      </c>
      <c r="G170" s="24">
        <v>3.4664822400000003E-2</v>
      </c>
      <c r="H170" s="24">
        <f t="shared" si="19"/>
        <v>3.4664822400000003E-2</v>
      </c>
      <c r="I170" s="24">
        <f t="shared" si="19"/>
        <v>3.1408980000000003E-2</v>
      </c>
      <c r="J170" s="24">
        <v>0</v>
      </c>
      <c r="K170" s="24">
        <v>0</v>
      </c>
      <c r="L170" s="24">
        <v>0</v>
      </c>
      <c r="M170" s="25">
        <v>0</v>
      </c>
      <c r="N170" s="24">
        <v>3.4664822400000003E-2</v>
      </c>
      <c r="O170" s="25">
        <v>3.1408980000000003E-2</v>
      </c>
      <c r="P170" s="24">
        <v>0</v>
      </c>
      <c r="Q170" s="25">
        <v>0</v>
      </c>
      <c r="R170" s="25" t="s">
        <v>50</v>
      </c>
      <c r="S170" s="24">
        <f t="shared" si="23"/>
        <v>3.2558424000000002E-3</v>
      </c>
      <c r="T170" s="24">
        <f t="shared" si="22"/>
        <v>-3.2558424000000002E-3</v>
      </c>
      <c r="U170" s="26">
        <f t="shared" si="25"/>
        <v>-9.3923527500893869</v>
      </c>
      <c r="V170" s="44" t="s">
        <v>50</v>
      </c>
    </row>
    <row r="171" spans="1:22" ht="33" customHeight="1" x14ac:dyDescent="0.25">
      <c r="A171" s="34" t="s">
        <v>27</v>
      </c>
      <c r="B171" s="35" t="s">
        <v>110</v>
      </c>
      <c r="C171" s="58" t="s">
        <v>111</v>
      </c>
      <c r="D171" s="24">
        <v>4.4556326992287922E-3</v>
      </c>
      <c r="E171" s="24">
        <v>0</v>
      </c>
      <c r="F171" s="25" t="s">
        <v>50</v>
      </c>
      <c r="G171" s="24">
        <v>3.4664822400000003E-2</v>
      </c>
      <c r="H171" s="24">
        <f t="shared" si="19"/>
        <v>3.4664822400000003E-2</v>
      </c>
      <c r="I171" s="24">
        <f t="shared" si="19"/>
        <v>3.146554E-2</v>
      </c>
      <c r="J171" s="24">
        <v>0</v>
      </c>
      <c r="K171" s="24">
        <v>0</v>
      </c>
      <c r="L171" s="24">
        <v>0</v>
      </c>
      <c r="M171" s="25">
        <v>0</v>
      </c>
      <c r="N171" s="24">
        <v>3.4664822400000003E-2</v>
      </c>
      <c r="O171" s="25">
        <v>3.146554E-2</v>
      </c>
      <c r="P171" s="24">
        <v>0</v>
      </c>
      <c r="Q171" s="25">
        <v>0</v>
      </c>
      <c r="R171" s="25" t="s">
        <v>50</v>
      </c>
      <c r="S171" s="24">
        <f t="shared" si="23"/>
        <v>3.1992824000000031E-3</v>
      </c>
      <c r="T171" s="24">
        <f t="shared" si="22"/>
        <v>-3.1992824000000031E-3</v>
      </c>
      <c r="U171" s="26">
        <f t="shared" si="25"/>
        <v>-9.2291902236891445</v>
      </c>
      <c r="V171" s="44" t="s">
        <v>50</v>
      </c>
    </row>
    <row r="172" spans="1:22" ht="33" customHeight="1" x14ac:dyDescent="0.25">
      <c r="A172" s="34" t="s">
        <v>27</v>
      </c>
      <c r="B172" s="35" t="s">
        <v>112</v>
      </c>
      <c r="C172" s="58" t="s">
        <v>113</v>
      </c>
      <c r="D172" s="24">
        <v>4.4556326992287922E-3</v>
      </c>
      <c r="E172" s="24">
        <v>0</v>
      </c>
      <c r="F172" s="25" t="s">
        <v>50</v>
      </c>
      <c r="G172" s="24">
        <v>3.4664822400000003E-2</v>
      </c>
      <c r="H172" s="24">
        <f t="shared" si="19"/>
        <v>3.4664822400000003E-2</v>
      </c>
      <c r="I172" s="24">
        <f t="shared" si="19"/>
        <v>3.1712810000000001E-2</v>
      </c>
      <c r="J172" s="24">
        <v>0</v>
      </c>
      <c r="K172" s="24">
        <v>0</v>
      </c>
      <c r="L172" s="24">
        <v>0</v>
      </c>
      <c r="M172" s="25">
        <v>0</v>
      </c>
      <c r="N172" s="24">
        <v>3.4664822400000003E-2</v>
      </c>
      <c r="O172" s="25">
        <v>3.1712810000000001E-2</v>
      </c>
      <c r="P172" s="24">
        <v>0</v>
      </c>
      <c r="Q172" s="25">
        <v>0</v>
      </c>
      <c r="R172" s="25" t="s">
        <v>50</v>
      </c>
      <c r="S172" s="24">
        <f t="shared" si="23"/>
        <v>2.9520124000000023E-3</v>
      </c>
      <c r="T172" s="24">
        <f t="shared" si="22"/>
        <v>-2.9520124000000023E-3</v>
      </c>
      <c r="U172" s="26">
        <f t="shared" si="25"/>
        <v>-8.5158734290818217</v>
      </c>
      <c r="V172" s="44" t="s">
        <v>50</v>
      </c>
    </row>
    <row r="173" spans="1:22" ht="33" customHeight="1" x14ac:dyDescent="0.25">
      <c r="A173" s="34" t="s">
        <v>27</v>
      </c>
      <c r="B173" s="35" t="s">
        <v>114</v>
      </c>
      <c r="C173" s="58" t="s">
        <v>115</v>
      </c>
      <c r="D173" s="24">
        <v>4.4556326992287922E-3</v>
      </c>
      <c r="E173" s="24">
        <v>0</v>
      </c>
      <c r="F173" s="25" t="s">
        <v>50</v>
      </c>
      <c r="G173" s="24">
        <v>3.4664822400000003E-2</v>
      </c>
      <c r="H173" s="24">
        <f t="shared" si="19"/>
        <v>3.4664822400000003E-2</v>
      </c>
      <c r="I173" s="24">
        <f t="shared" si="19"/>
        <v>3.13009E-2</v>
      </c>
      <c r="J173" s="24">
        <v>0</v>
      </c>
      <c r="K173" s="24">
        <f>31.3009/1000</f>
        <v>3.13009E-2</v>
      </c>
      <c r="L173" s="24">
        <v>0</v>
      </c>
      <c r="M173" s="25">
        <v>0</v>
      </c>
      <c r="N173" s="24">
        <v>3.4664822400000003E-2</v>
      </c>
      <c r="O173" s="25">
        <v>0</v>
      </c>
      <c r="P173" s="24">
        <v>0</v>
      </c>
      <c r="Q173" s="25">
        <v>0</v>
      </c>
      <c r="R173" s="25" t="s">
        <v>50</v>
      </c>
      <c r="S173" s="24">
        <f t="shared" si="23"/>
        <v>3.3639224000000037E-3</v>
      </c>
      <c r="T173" s="24">
        <f t="shared" si="22"/>
        <v>-3.3639224000000037E-3</v>
      </c>
      <c r="U173" s="26">
        <f t="shared" si="25"/>
        <v>-9.7041385678641348</v>
      </c>
      <c r="V173" s="59" t="s">
        <v>50</v>
      </c>
    </row>
    <row r="174" spans="1:22" ht="33" customHeight="1" x14ac:dyDescent="0.25">
      <c r="A174" s="34" t="s">
        <v>27</v>
      </c>
      <c r="B174" s="35" t="s">
        <v>116</v>
      </c>
      <c r="C174" s="58" t="s">
        <v>117</v>
      </c>
      <c r="D174" s="24">
        <v>4.4556326992287922E-3</v>
      </c>
      <c r="E174" s="24">
        <v>0</v>
      </c>
      <c r="F174" s="25" t="s">
        <v>50</v>
      </c>
      <c r="G174" s="24">
        <v>3.4664822400000003E-2</v>
      </c>
      <c r="H174" s="24">
        <f t="shared" si="19"/>
        <v>3.4664822400000003E-2</v>
      </c>
      <c r="I174" s="24">
        <f t="shared" si="19"/>
        <v>3.1374970000000002E-2</v>
      </c>
      <c r="J174" s="24">
        <v>0</v>
      </c>
      <c r="K174" s="24">
        <v>0</v>
      </c>
      <c r="L174" s="24">
        <v>0</v>
      </c>
      <c r="M174" s="25">
        <v>0</v>
      </c>
      <c r="N174" s="24">
        <v>3.4664822400000003E-2</v>
      </c>
      <c r="O174" s="25">
        <v>3.1374970000000002E-2</v>
      </c>
      <c r="P174" s="24">
        <v>0</v>
      </c>
      <c r="Q174" s="25">
        <v>0</v>
      </c>
      <c r="R174" s="25" t="s">
        <v>50</v>
      </c>
      <c r="S174" s="24">
        <f t="shared" si="23"/>
        <v>3.2898524000000012E-3</v>
      </c>
      <c r="T174" s="24">
        <f t="shared" si="22"/>
        <v>-3.2898524000000012E-3</v>
      </c>
      <c r="U174" s="26">
        <f t="shared" si="25"/>
        <v>-9.4904637388247437</v>
      </c>
      <c r="V174" s="44" t="s">
        <v>50</v>
      </c>
    </row>
    <row r="175" spans="1:22" ht="30.75" customHeight="1" x14ac:dyDescent="0.25">
      <c r="A175" s="28" t="s">
        <v>27</v>
      </c>
      <c r="B175" s="35" t="s">
        <v>353</v>
      </c>
      <c r="C175" s="52" t="s">
        <v>354</v>
      </c>
      <c r="D175" s="24">
        <v>0</v>
      </c>
      <c r="E175" s="24">
        <v>0</v>
      </c>
      <c r="F175" s="25" t="s">
        <v>50</v>
      </c>
      <c r="G175" s="24">
        <v>0</v>
      </c>
      <c r="H175" s="24">
        <f t="shared" si="19"/>
        <v>0</v>
      </c>
      <c r="I175" s="24">
        <f t="shared" si="19"/>
        <v>3.1171209999999998E-2</v>
      </c>
      <c r="J175" s="24">
        <v>0</v>
      </c>
      <c r="K175" s="24">
        <f>31.17121/1000</f>
        <v>3.1171209999999998E-2</v>
      </c>
      <c r="L175" s="24">
        <v>0</v>
      </c>
      <c r="M175" s="25">
        <v>0</v>
      </c>
      <c r="N175" s="24">
        <v>0</v>
      </c>
      <c r="O175" s="25">
        <v>0</v>
      </c>
      <c r="P175" s="24">
        <v>0</v>
      </c>
      <c r="Q175" s="25">
        <v>0</v>
      </c>
      <c r="R175" s="25" t="s">
        <v>50</v>
      </c>
      <c r="S175" s="24">
        <f t="shared" si="23"/>
        <v>-3.1171209999999998E-2</v>
      </c>
      <c r="T175" s="24">
        <f t="shared" si="22"/>
        <v>3.1171209999999998E-2</v>
      </c>
      <c r="U175" s="26">
        <v>100</v>
      </c>
      <c r="V175" s="60" t="s">
        <v>698</v>
      </c>
    </row>
    <row r="176" spans="1:22" ht="30.75" customHeight="1" x14ac:dyDescent="0.25">
      <c r="A176" s="36" t="s">
        <v>27</v>
      </c>
      <c r="B176" s="37" t="s">
        <v>659</v>
      </c>
      <c r="C176" s="61" t="s">
        <v>660</v>
      </c>
      <c r="D176" s="24">
        <v>0</v>
      </c>
      <c r="E176" s="24">
        <v>0</v>
      </c>
      <c r="F176" s="25" t="s">
        <v>50</v>
      </c>
      <c r="G176" s="24">
        <v>0</v>
      </c>
      <c r="H176" s="24">
        <f t="shared" si="19"/>
        <v>0</v>
      </c>
      <c r="I176" s="24">
        <f t="shared" si="19"/>
        <v>3.0930990000000002E-2</v>
      </c>
      <c r="J176" s="24">
        <v>0</v>
      </c>
      <c r="K176" s="24">
        <v>0</v>
      </c>
      <c r="L176" s="24">
        <v>0</v>
      </c>
      <c r="M176" s="25">
        <v>0</v>
      </c>
      <c r="N176" s="24">
        <v>0</v>
      </c>
      <c r="O176" s="25">
        <v>3.0930990000000002E-2</v>
      </c>
      <c r="P176" s="24">
        <v>0</v>
      </c>
      <c r="Q176" s="25">
        <v>0</v>
      </c>
      <c r="R176" s="25" t="s">
        <v>50</v>
      </c>
      <c r="S176" s="24">
        <f t="shared" si="23"/>
        <v>-3.0930990000000002E-2</v>
      </c>
      <c r="T176" s="24">
        <f t="shared" si="22"/>
        <v>3.0930990000000002E-2</v>
      </c>
      <c r="U176" s="26">
        <v>100</v>
      </c>
      <c r="V176" s="60" t="s">
        <v>698</v>
      </c>
    </row>
    <row r="177" spans="1:22" ht="30.75" customHeight="1" x14ac:dyDescent="0.25">
      <c r="A177" s="36" t="s">
        <v>27</v>
      </c>
      <c r="B177" s="37" t="s">
        <v>794</v>
      </c>
      <c r="C177" s="61" t="s">
        <v>795</v>
      </c>
      <c r="D177" s="24">
        <v>0</v>
      </c>
      <c r="E177" s="24">
        <v>0</v>
      </c>
      <c r="F177" s="25" t="s">
        <v>50</v>
      </c>
      <c r="G177" s="24">
        <v>0</v>
      </c>
      <c r="H177" s="24">
        <v>0</v>
      </c>
      <c r="I177" s="24">
        <f t="shared" si="19"/>
        <v>3.1526970000000001E-2</v>
      </c>
      <c r="J177" s="24">
        <v>0</v>
      </c>
      <c r="K177" s="24">
        <v>0</v>
      </c>
      <c r="L177" s="24">
        <v>0</v>
      </c>
      <c r="M177" s="25">
        <v>0</v>
      </c>
      <c r="N177" s="24">
        <v>0</v>
      </c>
      <c r="O177" s="25">
        <v>0</v>
      </c>
      <c r="P177" s="24">
        <v>0</v>
      </c>
      <c r="Q177" s="25">
        <v>3.1526970000000001E-2</v>
      </c>
      <c r="R177" s="25" t="s">
        <v>50</v>
      </c>
      <c r="S177" s="24">
        <f t="shared" si="23"/>
        <v>-3.1526970000000001E-2</v>
      </c>
      <c r="T177" s="24">
        <f t="shared" si="22"/>
        <v>3.1526970000000001E-2</v>
      </c>
      <c r="U177" s="26">
        <v>100</v>
      </c>
      <c r="V177" s="60" t="s">
        <v>698</v>
      </c>
    </row>
    <row r="178" spans="1:22" ht="30.75" customHeight="1" x14ac:dyDescent="0.25">
      <c r="A178" s="36" t="s">
        <v>27</v>
      </c>
      <c r="B178" s="37" t="s">
        <v>796</v>
      </c>
      <c r="C178" s="61" t="s">
        <v>797</v>
      </c>
      <c r="D178" s="24">
        <v>0</v>
      </c>
      <c r="E178" s="24">
        <v>0</v>
      </c>
      <c r="F178" s="25" t="s">
        <v>50</v>
      </c>
      <c r="G178" s="24">
        <v>0</v>
      </c>
      <c r="H178" s="24">
        <v>0</v>
      </c>
      <c r="I178" s="24">
        <f t="shared" si="19"/>
        <v>3.1284269999999996E-2</v>
      </c>
      <c r="J178" s="24">
        <v>0</v>
      </c>
      <c r="K178" s="24">
        <v>0</v>
      </c>
      <c r="L178" s="24">
        <v>0</v>
      </c>
      <c r="M178" s="25">
        <v>0</v>
      </c>
      <c r="N178" s="24">
        <v>0</v>
      </c>
      <c r="O178" s="25">
        <v>0</v>
      </c>
      <c r="P178" s="24">
        <v>0</v>
      </c>
      <c r="Q178" s="25">
        <v>3.1284269999999996E-2</v>
      </c>
      <c r="R178" s="25" t="s">
        <v>50</v>
      </c>
      <c r="S178" s="24">
        <f t="shared" si="23"/>
        <v>-3.1284269999999996E-2</v>
      </c>
      <c r="T178" s="24">
        <f t="shared" si="22"/>
        <v>3.1284269999999996E-2</v>
      </c>
      <c r="U178" s="26">
        <v>100</v>
      </c>
      <c r="V178" s="60" t="s">
        <v>698</v>
      </c>
    </row>
    <row r="179" spans="1:22" ht="48" customHeight="1" x14ac:dyDescent="0.25">
      <c r="A179" s="36" t="s">
        <v>27</v>
      </c>
      <c r="B179" s="37" t="s">
        <v>355</v>
      </c>
      <c r="C179" s="61" t="s">
        <v>356</v>
      </c>
      <c r="D179" s="24">
        <v>0</v>
      </c>
      <c r="E179" s="24">
        <v>9.5011524E-2</v>
      </c>
      <c r="F179" s="25" t="s">
        <v>50</v>
      </c>
      <c r="G179" s="24">
        <v>0</v>
      </c>
      <c r="H179" s="24">
        <v>0</v>
      </c>
      <c r="I179" s="24">
        <f t="shared" si="19"/>
        <v>2.1573411999999998</v>
      </c>
      <c r="J179" s="24">
        <v>0</v>
      </c>
      <c r="K179" s="24">
        <v>2.1573411999999998</v>
      </c>
      <c r="L179" s="24">
        <v>0</v>
      </c>
      <c r="M179" s="25">
        <v>0</v>
      </c>
      <c r="N179" s="24">
        <v>0</v>
      </c>
      <c r="O179" s="25">
        <v>0</v>
      </c>
      <c r="P179" s="24">
        <v>0</v>
      </c>
      <c r="Q179" s="25">
        <v>0</v>
      </c>
      <c r="R179" s="25" t="s">
        <v>50</v>
      </c>
      <c r="S179" s="24">
        <f t="shared" si="23"/>
        <v>-2.1573411999999998</v>
      </c>
      <c r="T179" s="24">
        <f t="shared" si="22"/>
        <v>2.1573411999999998</v>
      </c>
      <c r="U179" s="26">
        <v>0</v>
      </c>
      <c r="V179" s="60" t="s">
        <v>700</v>
      </c>
    </row>
    <row r="180" spans="1:22" ht="38.25" x14ac:dyDescent="0.25">
      <c r="A180" s="38" t="s">
        <v>28</v>
      </c>
      <c r="B180" s="39" t="s">
        <v>118</v>
      </c>
      <c r="C180" s="62" t="s">
        <v>52</v>
      </c>
      <c r="D180" s="16">
        <v>3.6910256420137708</v>
      </c>
      <c r="E180" s="16">
        <f>SUM(E181:E249)</f>
        <v>5.8958916E-2</v>
      </c>
      <c r="F180" s="17" t="s">
        <v>50</v>
      </c>
      <c r="G180" s="16">
        <v>32.917709168135616</v>
      </c>
      <c r="H180" s="16">
        <f t="shared" si="19"/>
        <v>32.917709168135616</v>
      </c>
      <c r="I180" s="16">
        <f t="shared" si="19"/>
        <v>38.901269740000004</v>
      </c>
      <c r="J180" s="16">
        <f t="shared" ref="J180:P180" si="26">SUM(J181:J307)</f>
        <v>0.59245688135593189</v>
      </c>
      <c r="K180" s="16">
        <f t="shared" si="26"/>
        <v>13.366779309999998</v>
      </c>
      <c r="L180" s="16">
        <f t="shared" si="26"/>
        <v>7.126880932203397</v>
      </c>
      <c r="M180" s="16">
        <f t="shared" si="26"/>
        <v>1.76034823</v>
      </c>
      <c r="N180" s="16">
        <f t="shared" si="26"/>
        <v>20.10815492050849</v>
      </c>
      <c r="O180" s="17">
        <f t="shared" si="26"/>
        <v>5.7459196700000001</v>
      </c>
      <c r="P180" s="16">
        <f t="shared" si="26"/>
        <v>5.0902164340677967</v>
      </c>
      <c r="Q180" s="17">
        <f>SUM(Q181:Q313)</f>
        <v>18.028222530000008</v>
      </c>
      <c r="R180" s="17" t="s">
        <v>50</v>
      </c>
      <c r="S180" s="16">
        <f t="shared" si="23"/>
        <v>-5.9835605718643876</v>
      </c>
      <c r="T180" s="16">
        <f t="shared" si="22"/>
        <v>5.9835605718643876</v>
      </c>
      <c r="U180" s="18">
        <f t="shared" si="25"/>
        <v>18.177329841824118</v>
      </c>
      <c r="V180" s="48" t="s">
        <v>50</v>
      </c>
    </row>
    <row r="181" spans="1:22" ht="33" customHeight="1" x14ac:dyDescent="0.25">
      <c r="A181" s="40" t="s">
        <v>28</v>
      </c>
      <c r="B181" s="41" t="s">
        <v>496</v>
      </c>
      <c r="C181" s="63" t="s">
        <v>497</v>
      </c>
      <c r="D181" s="24">
        <v>0</v>
      </c>
      <c r="E181" s="24">
        <f>49132.43*1.2/1000000</f>
        <v>5.8958916E-2</v>
      </c>
      <c r="F181" s="25" t="s">
        <v>50</v>
      </c>
      <c r="G181" s="24">
        <v>0</v>
      </c>
      <c r="H181" s="24">
        <f t="shared" si="19"/>
        <v>0</v>
      </c>
      <c r="I181" s="24">
        <f t="shared" si="19"/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5">
        <v>0</v>
      </c>
      <c r="P181" s="24">
        <v>0</v>
      </c>
      <c r="Q181" s="25">
        <v>0</v>
      </c>
      <c r="R181" s="25" t="s">
        <v>50</v>
      </c>
      <c r="S181" s="24">
        <f t="shared" si="23"/>
        <v>0</v>
      </c>
      <c r="T181" s="24">
        <f t="shared" si="22"/>
        <v>0</v>
      </c>
      <c r="U181" s="26">
        <v>0</v>
      </c>
      <c r="V181" s="60" t="s">
        <v>50</v>
      </c>
    </row>
    <row r="182" spans="1:22" ht="32.25" customHeight="1" x14ac:dyDescent="0.25">
      <c r="A182" s="28" t="s">
        <v>28</v>
      </c>
      <c r="B182" s="35" t="s">
        <v>119</v>
      </c>
      <c r="C182" s="64" t="s">
        <v>120</v>
      </c>
      <c r="D182" s="24">
        <v>0.56711595330739295</v>
      </c>
      <c r="E182" s="24">
        <v>0</v>
      </c>
      <c r="F182" s="25" t="s">
        <v>50</v>
      </c>
      <c r="G182" s="24">
        <v>4.3724639999999999</v>
      </c>
      <c r="H182" s="24">
        <f t="shared" si="19"/>
        <v>4.3724639999999999</v>
      </c>
      <c r="I182" s="24">
        <f t="shared" si="19"/>
        <v>0.36356288999999997</v>
      </c>
      <c r="J182" s="24">
        <v>0</v>
      </c>
      <c r="K182" s="24">
        <v>0</v>
      </c>
      <c r="L182" s="24">
        <v>0</v>
      </c>
      <c r="M182" s="25">
        <v>0</v>
      </c>
      <c r="N182" s="24">
        <v>4.3724639999999999</v>
      </c>
      <c r="O182" s="25">
        <v>0</v>
      </c>
      <c r="P182" s="24">
        <v>0</v>
      </c>
      <c r="Q182" s="25">
        <v>0.36356288999999997</v>
      </c>
      <c r="R182" s="25" t="s">
        <v>50</v>
      </c>
      <c r="S182" s="24">
        <f t="shared" si="23"/>
        <v>4.00890111</v>
      </c>
      <c r="T182" s="24">
        <f t="shared" si="22"/>
        <v>-4.00890111</v>
      </c>
      <c r="U182" s="26">
        <f t="shared" si="25"/>
        <v>-91.685171335887503</v>
      </c>
      <c r="V182" s="59" t="s">
        <v>981</v>
      </c>
    </row>
    <row r="183" spans="1:22" ht="19.5" customHeight="1" x14ac:dyDescent="0.25">
      <c r="A183" s="28" t="s">
        <v>28</v>
      </c>
      <c r="B183" s="35" t="s">
        <v>121</v>
      </c>
      <c r="C183" s="64" t="s">
        <v>122</v>
      </c>
      <c r="D183" s="24">
        <v>0</v>
      </c>
      <c r="E183" s="24">
        <v>0</v>
      </c>
      <c r="F183" s="25" t="s">
        <v>50</v>
      </c>
      <c r="G183" s="24">
        <v>0.92838200000000004</v>
      </c>
      <c r="H183" s="24">
        <f t="shared" si="19"/>
        <v>0.92838200000000004</v>
      </c>
      <c r="I183" s="24">
        <f t="shared" si="19"/>
        <v>0.91187481000000004</v>
      </c>
      <c r="J183" s="24">
        <v>0</v>
      </c>
      <c r="K183" s="24">
        <v>0</v>
      </c>
      <c r="L183" s="24">
        <v>0</v>
      </c>
      <c r="M183" s="25">
        <v>0</v>
      </c>
      <c r="N183" s="24">
        <v>0.92838200000000004</v>
      </c>
      <c r="O183" s="25">
        <v>0.91187481000000004</v>
      </c>
      <c r="P183" s="24">
        <v>0</v>
      </c>
      <c r="Q183" s="25">
        <v>0</v>
      </c>
      <c r="R183" s="25" t="s">
        <v>50</v>
      </c>
      <c r="S183" s="24">
        <f t="shared" si="23"/>
        <v>1.6507190000000005E-2</v>
      </c>
      <c r="T183" s="24">
        <f t="shared" si="22"/>
        <v>-1.6507190000000005E-2</v>
      </c>
      <c r="U183" s="26">
        <f t="shared" si="25"/>
        <v>-1.7780601088775967</v>
      </c>
      <c r="V183" s="59" t="s">
        <v>50</v>
      </c>
    </row>
    <row r="184" spans="1:22" ht="46.5" customHeight="1" x14ac:dyDescent="0.25">
      <c r="A184" s="42" t="s">
        <v>28</v>
      </c>
      <c r="B184" s="35" t="s">
        <v>357</v>
      </c>
      <c r="C184" s="65" t="s">
        <v>358</v>
      </c>
      <c r="D184" s="24">
        <v>0</v>
      </c>
      <c r="E184" s="24">
        <v>0</v>
      </c>
      <c r="F184" s="25" t="s">
        <v>50</v>
      </c>
      <c r="G184" s="24">
        <v>0</v>
      </c>
      <c r="H184" s="24">
        <f t="shared" si="19"/>
        <v>0</v>
      </c>
      <c r="I184" s="24">
        <f t="shared" si="19"/>
        <v>4.3547729999999993E-2</v>
      </c>
      <c r="J184" s="24">
        <v>0</v>
      </c>
      <c r="K184" s="24">
        <v>4.3547729999999993E-2</v>
      </c>
      <c r="L184" s="24">
        <v>0</v>
      </c>
      <c r="M184" s="25">
        <v>0</v>
      </c>
      <c r="N184" s="24">
        <v>0</v>
      </c>
      <c r="O184" s="25">
        <v>0</v>
      </c>
      <c r="P184" s="24">
        <v>0</v>
      </c>
      <c r="Q184" s="25">
        <v>0</v>
      </c>
      <c r="R184" s="25" t="s">
        <v>50</v>
      </c>
      <c r="S184" s="24">
        <f t="shared" si="23"/>
        <v>-4.3547729999999993E-2</v>
      </c>
      <c r="T184" s="24">
        <f t="shared" si="22"/>
        <v>4.3547729999999993E-2</v>
      </c>
      <c r="U184" s="26">
        <v>100</v>
      </c>
      <c r="V184" s="60" t="s">
        <v>701</v>
      </c>
    </row>
    <row r="185" spans="1:22" ht="46.5" customHeight="1" x14ac:dyDescent="0.25">
      <c r="A185" s="42" t="s">
        <v>28</v>
      </c>
      <c r="B185" s="35" t="s">
        <v>359</v>
      </c>
      <c r="C185" s="65" t="s">
        <v>360</v>
      </c>
      <c r="D185" s="24">
        <v>0</v>
      </c>
      <c r="E185" s="24">
        <v>0</v>
      </c>
      <c r="F185" s="25" t="s">
        <v>50</v>
      </c>
      <c r="G185" s="24">
        <v>0</v>
      </c>
      <c r="H185" s="24">
        <f t="shared" si="19"/>
        <v>0</v>
      </c>
      <c r="I185" s="24">
        <f t="shared" si="19"/>
        <v>4.6098140000000003E-2</v>
      </c>
      <c r="J185" s="24">
        <v>0</v>
      </c>
      <c r="K185" s="24">
        <v>4.6098140000000003E-2</v>
      </c>
      <c r="L185" s="24">
        <v>0</v>
      </c>
      <c r="M185" s="25">
        <v>0</v>
      </c>
      <c r="N185" s="24">
        <v>0</v>
      </c>
      <c r="O185" s="25">
        <v>0</v>
      </c>
      <c r="P185" s="24">
        <v>0</v>
      </c>
      <c r="Q185" s="25">
        <v>0</v>
      </c>
      <c r="R185" s="25" t="s">
        <v>50</v>
      </c>
      <c r="S185" s="24">
        <f t="shared" si="23"/>
        <v>-4.6098140000000003E-2</v>
      </c>
      <c r="T185" s="24">
        <f t="shared" si="22"/>
        <v>4.6098140000000003E-2</v>
      </c>
      <c r="U185" s="26">
        <v>100</v>
      </c>
      <c r="V185" s="60" t="s">
        <v>701</v>
      </c>
    </row>
    <row r="186" spans="1:22" ht="46.5" customHeight="1" x14ac:dyDescent="0.25">
      <c r="A186" s="42" t="s">
        <v>28</v>
      </c>
      <c r="B186" s="35" t="s">
        <v>361</v>
      </c>
      <c r="C186" s="65" t="s">
        <v>362</v>
      </c>
      <c r="D186" s="24">
        <v>0</v>
      </c>
      <c r="E186" s="24">
        <v>0</v>
      </c>
      <c r="F186" s="25" t="s">
        <v>50</v>
      </c>
      <c r="G186" s="24">
        <v>0</v>
      </c>
      <c r="H186" s="24">
        <f t="shared" ref="H186:I258" si="27">J186+L186+N186+P186</f>
        <v>0</v>
      </c>
      <c r="I186" s="24">
        <f t="shared" si="27"/>
        <v>5.8646719999999999E-2</v>
      </c>
      <c r="J186" s="24">
        <v>0</v>
      </c>
      <c r="K186" s="24">
        <v>5.8646719999999999E-2</v>
      </c>
      <c r="L186" s="24">
        <v>0</v>
      </c>
      <c r="M186" s="25">
        <v>0</v>
      </c>
      <c r="N186" s="24">
        <v>0</v>
      </c>
      <c r="O186" s="25">
        <v>0</v>
      </c>
      <c r="P186" s="24">
        <v>0</v>
      </c>
      <c r="Q186" s="25">
        <v>0</v>
      </c>
      <c r="R186" s="25" t="s">
        <v>50</v>
      </c>
      <c r="S186" s="24">
        <f t="shared" si="23"/>
        <v>-5.8646719999999999E-2</v>
      </c>
      <c r="T186" s="24">
        <f t="shared" si="22"/>
        <v>5.8646719999999999E-2</v>
      </c>
      <c r="U186" s="26">
        <v>100</v>
      </c>
      <c r="V186" s="60" t="s">
        <v>702</v>
      </c>
    </row>
    <row r="187" spans="1:22" ht="46.5" customHeight="1" x14ac:dyDescent="0.25">
      <c r="A187" s="42" t="s">
        <v>28</v>
      </c>
      <c r="B187" s="35" t="s">
        <v>363</v>
      </c>
      <c r="C187" s="65" t="s">
        <v>364</v>
      </c>
      <c r="D187" s="24">
        <v>0</v>
      </c>
      <c r="E187" s="24">
        <v>0</v>
      </c>
      <c r="F187" s="25" t="s">
        <v>50</v>
      </c>
      <c r="G187" s="24">
        <v>0</v>
      </c>
      <c r="H187" s="24">
        <f t="shared" si="27"/>
        <v>0</v>
      </c>
      <c r="I187" s="24">
        <f t="shared" si="27"/>
        <v>8.3016569999999998E-2</v>
      </c>
      <c r="J187" s="24">
        <v>0</v>
      </c>
      <c r="K187" s="24">
        <v>4.5851179999999998E-2</v>
      </c>
      <c r="L187" s="24">
        <v>0</v>
      </c>
      <c r="M187" s="25">
        <f>37.16539/1000</f>
        <v>3.716539E-2</v>
      </c>
      <c r="N187" s="24">
        <v>0</v>
      </c>
      <c r="O187" s="25">
        <v>0</v>
      </c>
      <c r="P187" s="24">
        <v>0</v>
      </c>
      <c r="Q187" s="25">
        <v>0</v>
      </c>
      <c r="R187" s="25" t="s">
        <v>50</v>
      </c>
      <c r="S187" s="24">
        <f t="shared" si="23"/>
        <v>-8.3016569999999998E-2</v>
      </c>
      <c r="T187" s="24">
        <f t="shared" si="22"/>
        <v>8.3016569999999998E-2</v>
      </c>
      <c r="U187" s="26">
        <v>100</v>
      </c>
      <c r="V187" s="60" t="s">
        <v>702</v>
      </c>
    </row>
    <row r="188" spans="1:22" ht="46.5" customHeight="1" x14ac:dyDescent="0.25">
      <c r="A188" s="42" t="s">
        <v>28</v>
      </c>
      <c r="B188" s="35" t="s">
        <v>365</v>
      </c>
      <c r="C188" s="65" t="s">
        <v>366</v>
      </c>
      <c r="D188" s="24">
        <v>0</v>
      </c>
      <c r="E188" s="24">
        <v>0</v>
      </c>
      <c r="F188" s="25" t="s">
        <v>50</v>
      </c>
      <c r="G188" s="24">
        <v>0</v>
      </c>
      <c r="H188" s="24">
        <f t="shared" si="27"/>
        <v>0</v>
      </c>
      <c r="I188" s="24">
        <f t="shared" si="27"/>
        <v>6.1632609999999997E-2</v>
      </c>
      <c r="J188" s="24">
        <v>0</v>
      </c>
      <c r="K188" s="24">
        <v>6.1632609999999997E-2</v>
      </c>
      <c r="L188" s="24">
        <v>0</v>
      </c>
      <c r="M188" s="25">
        <v>0</v>
      </c>
      <c r="N188" s="24">
        <v>0</v>
      </c>
      <c r="O188" s="25">
        <v>0</v>
      </c>
      <c r="P188" s="24">
        <v>0</v>
      </c>
      <c r="Q188" s="25">
        <v>0</v>
      </c>
      <c r="R188" s="25" t="s">
        <v>50</v>
      </c>
      <c r="S188" s="24">
        <f t="shared" si="23"/>
        <v>-6.1632609999999997E-2</v>
      </c>
      <c r="T188" s="24">
        <f t="shared" si="22"/>
        <v>6.1632609999999997E-2</v>
      </c>
      <c r="U188" s="26">
        <v>100</v>
      </c>
      <c r="V188" s="60" t="s">
        <v>702</v>
      </c>
    </row>
    <row r="189" spans="1:22" ht="46.5" customHeight="1" x14ac:dyDescent="0.25">
      <c r="A189" s="42" t="s">
        <v>28</v>
      </c>
      <c r="B189" s="35" t="s">
        <v>367</v>
      </c>
      <c r="C189" s="65" t="s">
        <v>368</v>
      </c>
      <c r="D189" s="24">
        <v>0</v>
      </c>
      <c r="E189" s="24">
        <v>0</v>
      </c>
      <c r="F189" s="25" t="s">
        <v>50</v>
      </c>
      <c r="G189" s="24">
        <v>0</v>
      </c>
      <c r="H189" s="24">
        <f t="shared" si="27"/>
        <v>0</v>
      </c>
      <c r="I189" s="24">
        <f t="shared" si="27"/>
        <v>5.2747999999999996E-2</v>
      </c>
      <c r="J189" s="24">
        <v>0</v>
      </c>
      <c r="K189" s="24">
        <v>0</v>
      </c>
      <c r="L189" s="24">
        <v>0</v>
      </c>
      <c r="M189" s="25">
        <v>0</v>
      </c>
      <c r="N189" s="24">
        <v>0</v>
      </c>
      <c r="O189" s="25">
        <v>0</v>
      </c>
      <c r="P189" s="24">
        <v>0</v>
      </c>
      <c r="Q189" s="25">
        <v>5.2747999999999996E-2</v>
      </c>
      <c r="R189" s="25" t="s">
        <v>50</v>
      </c>
      <c r="S189" s="24">
        <f t="shared" si="23"/>
        <v>-5.2747999999999996E-2</v>
      </c>
      <c r="T189" s="24">
        <f t="shared" si="22"/>
        <v>5.2747999999999996E-2</v>
      </c>
      <c r="U189" s="26">
        <v>100</v>
      </c>
      <c r="V189" s="60" t="s">
        <v>702</v>
      </c>
    </row>
    <row r="190" spans="1:22" ht="46.5" customHeight="1" x14ac:dyDescent="0.25">
      <c r="A190" s="42" t="s">
        <v>28</v>
      </c>
      <c r="B190" s="35" t="s">
        <v>369</v>
      </c>
      <c r="C190" s="65" t="s">
        <v>370</v>
      </c>
      <c r="D190" s="24">
        <v>0</v>
      </c>
      <c r="E190" s="24">
        <v>0</v>
      </c>
      <c r="F190" s="25" t="s">
        <v>50</v>
      </c>
      <c r="G190" s="24">
        <v>0</v>
      </c>
      <c r="H190" s="24">
        <f t="shared" si="27"/>
        <v>0</v>
      </c>
      <c r="I190" s="24">
        <f t="shared" si="27"/>
        <v>5.8039760000000003E-2</v>
      </c>
      <c r="J190" s="24">
        <v>0</v>
      </c>
      <c r="K190" s="24">
        <v>5.8039760000000003E-2</v>
      </c>
      <c r="L190" s="24">
        <v>0</v>
      </c>
      <c r="M190" s="25">
        <v>0</v>
      </c>
      <c r="N190" s="24">
        <v>0</v>
      </c>
      <c r="O190" s="25">
        <v>0</v>
      </c>
      <c r="P190" s="24">
        <v>0</v>
      </c>
      <c r="Q190" s="25">
        <v>0</v>
      </c>
      <c r="R190" s="25" t="s">
        <v>50</v>
      </c>
      <c r="S190" s="24">
        <f t="shared" si="23"/>
        <v>-5.8039760000000003E-2</v>
      </c>
      <c r="T190" s="24">
        <f t="shared" si="22"/>
        <v>5.8039760000000003E-2</v>
      </c>
      <c r="U190" s="26">
        <v>100</v>
      </c>
      <c r="V190" s="60" t="s">
        <v>703</v>
      </c>
    </row>
    <row r="191" spans="1:22" ht="46.5" customHeight="1" x14ac:dyDescent="0.25">
      <c r="A191" s="42" t="s">
        <v>28</v>
      </c>
      <c r="B191" s="35" t="s">
        <v>371</v>
      </c>
      <c r="C191" s="65" t="s">
        <v>372</v>
      </c>
      <c r="D191" s="24">
        <v>0</v>
      </c>
      <c r="E191" s="24">
        <v>0</v>
      </c>
      <c r="F191" s="25" t="s">
        <v>50</v>
      </c>
      <c r="G191" s="24">
        <v>0</v>
      </c>
      <c r="H191" s="24">
        <f t="shared" si="27"/>
        <v>0</v>
      </c>
      <c r="I191" s="24">
        <f t="shared" si="27"/>
        <v>6.3006199999999998E-2</v>
      </c>
      <c r="J191" s="24">
        <v>0</v>
      </c>
      <c r="K191" s="24">
        <v>6.3006199999999998E-2</v>
      </c>
      <c r="L191" s="24">
        <v>0</v>
      </c>
      <c r="M191" s="25">
        <v>0</v>
      </c>
      <c r="N191" s="24">
        <v>0</v>
      </c>
      <c r="O191" s="25">
        <v>0</v>
      </c>
      <c r="P191" s="24">
        <v>0</v>
      </c>
      <c r="Q191" s="25">
        <v>0</v>
      </c>
      <c r="R191" s="25" t="s">
        <v>50</v>
      </c>
      <c r="S191" s="24">
        <f t="shared" si="23"/>
        <v>-6.3006199999999998E-2</v>
      </c>
      <c r="T191" s="24">
        <f t="shared" si="22"/>
        <v>6.3006199999999998E-2</v>
      </c>
      <c r="U191" s="26">
        <v>100</v>
      </c>
      <c r="V191" s="60" t="s">
        <v>704</v>
      </c>
    </row>
    <row r="192" spans="1:22" ht="46.5" customHeight="1" x14ac:dyDescent="0.25">
      <c r="A192" s="42" t="s">
        <v>28</v>
      </c>
      <c r="B192" s="35" t="s">
        <v>373</v>
      </c>
      <c r="C192" s="65" t="s">
        <v>374</v>
      </c>
      <c r="D192" s="24">
        <v>0</v>
      </c>
      <c r="E192" s="24">
        <v>0</v>
      </c>
      <c r="F192" s="25" t="s">
        <v>50</v>
      </c>
      <c r="G192" s="24">
        <v>0</v>
      </c>
      <c r="H192" s="24">
        <f t="shared" si="27"/>
        <v>0</v>
      </c>
      <c r="I192" s="24">
        <f t="shared" si="27"/>
        <v>2.8230139999999997E-2</v>
      </c>
      <c r="J192" s="24">
        <v>0</v>
      </c>
      <c r="K192" s="24">
        <v>2.8230139999999997E-2</v>
      </c>
      <c r="L192" s="24">
        <v>0</v>
      </c>
      <c r="M192" s="25">
        <v>0</v>
      </c>
      <c r="N192" s="24">
        <v>0</v>
      </c>
      <c r="O192" s="25">
        <v>0</v>
      </c>
      <c r="P192" s="24">
        <v>0</v>
      </c>
      <c r="Q192" s="25">
        <v>0</v>
      </c>
      <c r="R192" s="25" t="s">
        <v>50</v>
      </c>
      <c r="S192" s="24">
        <f t="shared" si="23"/>
        <v>-2.8230139999999997E-2</v>
      </c>
      <c r="T192" s="24">
        <f t="shared" si="22"/>
        <v>2.8230139999999997E-2</v>
      </c>
      <c r="U192" s="26">
        <v>100</v>
      </c>
      <c r="V192" s="60" t="s">
        <v>703</v>
      </c>
    </row>
    <row r="193" spans="1:22" ht="46.5" customHeight="1" x14ac:dyDescent="0.25">
      <c r="A193" s="42" t="s">
        <v>28</v>
      </c>
      <c r="B193" s="35" t="s">
        <v>375</v>
      </c>
      <c r="C193" s="65" t="s">
        <v>376</v>
      </c>
      <c r="D193" s="24">
        <v>0</v>
      </c>
      <c r="E193" s="24">
        <v>0</v>
      </c>
      <c r="F193" s="25" t="s">
        <v>50</v>
      </c>
      <c r="G193" s="24">
        <v>0</v>
      </c>
      <c r="H193" s="24">
        <f t="shared" si="27"/>
        <v>0</v>
      </c>
      <c r="I193" s="24">
        <f t="shared" si="27"/>
        <v>1.5737669999999999E-2</v>
      </c>
      <c r="J193" s="24">
        <v>0</v>
      </c>
      <c r="K193" s="24">
        <v>1.5737669999999999E-2</v>
      </c>
      <c r="L193" s="24">
        <v>0</v>
      </c>
      <c r="M193" s="25">
        <v>0</v>
      </c>
      <c r="N193" s="24">
        <v>0</v>
      </c>
      <c r="O193" s="25">
        <v>0</v>
      </c>
      <c r="P193" s="24">
        <v>0</v>
      </c>
      <c r="Q193" s="25">
        <v>0</v>
      </c>
      <c r="R193" s="25" t="s">
        <v>50</v>
      </c>
      <c r="S193" s="24">
        <f t="shared" si="23"/>
        <v>-1.5737669999999999E-2</v>
      </c>
      <c r="T193" s="24">
        <f t="shared" si="22"/>
        <v>1.5737669999999999E-2</v>
      </c>
      <c r="U193" s="26">
        <v>100</v>
      </c>
      <c r="V193" s="60" t="s">
        <v>703</v>
      </c>
    </row>
    <row r="194" spans="1:22" ht="46.5" customHeight="1" x14ac:dyDescent="0.25">
      <c r="A194" s="42" t="s">
        <v>28</v>
      </c>
      <c r="B194" s="35" t="s">
        <v>377</v>
      </c>
      <c r="C194" s="65" t="s">
        <v>378</v>
      </c>
      <c r="D194" s="24">
        <v>0</v>
      </c>
      <c r="E194" s="24">
        <v>0</v>
      </c>
      <c r="F194" s="25" t="s">
        <v>50</v>
      </c>
      <c r="G194" s="24">
        <v>0</v>
      </c>
      <c r="H194" s="24">
        <f t="shared" si="27"/>
        <v>0</v>
      </c>
      <c r="I194" s="24">
        <f t="shared" si="27"/>
        <v>8.7198059999999994E-2</v>
      </c>
      <c r="J194" s="24">
        <v>0</v>
      </c>
      <c r="K194" s="24">
        <v>1.426588E-2</v>
      </c>
      <c r="L194" s="24">
        <v>0</v>
      </c>
      <c r="M194" s="25">
        <f>72.93218/1000</f>
        <v>7.2932179999999999E-2</v>
      </c>
      <c r="N194" s="24">
        <v>0</v>
      </c>
      <c r="O194" s="25">
        <v>0</v>
      </c>
      <c r="P194" s="24">
        <v>0</v>
      </c>
      <c r="Q194" s="25">
        <v>0</v>
      </c>
      <c r="R194" s="25" t="s">
        <v>50</v>
      </c>
      <c r="S194" s="24">
        <f t="shared" si="23"/>
        <v>-8.7198059999999994E-2</v>
      </c>
      <c r="T194" s="24">
        <f t="shared" si="22"/>
        <v>8.7198059999999994E-2</v>
      </c>
      <c r="U194" s="26">
        <v>100</v>
      </c>
      <c r="V194" s="60" t="s">
        <v>705</v>
      </c>
    </row>
    <row r="195" spans="1:22" ht="46.5" customHeight="1" x14ac:dyDescent="0.25">
      <c r="A195" s="42" t="s">
        <v>28</v>
      </c>
      <c r="B195" s="35" t="s">
        <v>543</v>
      </c>
      <c r="C195" s="65" t="s">
        <v>544</v>
      </c>
      <c r="D195" s="24">
        <v>0</v>
      </c>
      <c r="E195" s="24">
        <v>0</v>
      </c>
      <c r="F195" s="25" t="s">
        <v>50</v>
      </c>
      <c r="G195" s="24">
        <v>0</v>
      </c>
      <c r="H195" s="24">
        <f t="shared" si="27"/>
        <v>0</v>
      </c>
      <c r="I195" s="24">
        <f t="shared" si="27"/>
        <v>5.896245E-2</v>
      </c>
      <c r="J195" s="24">
        <v>0</v>
      </c>
      <c r="K195" s="24">
        <v>0</v>
      </c>
      <c r="L195" s="24">
        <v>0</v>
      </c>
      <c r="M195" s="25">
        <f>58.96245/1000</f>
        <v>5.896245E-2</v>
      </c>
      <c r="N195" s="24">
        <v>0</v>
      </c>
      <c r="O195" s="25">
        <v>0</v>
      </c>
      <c r="P195" s="24">
        <v>0</v>
      </c>
      <c r="Q195" s="25">
        <v>0</v>
      </c>
      <c r="R195" s="25" t="s">
        <v>50</v>
      </c>
      <c r="S195" s="24">
        <f t="shared" si="23"/>
        <v>-5.896245E-2</v>
      </c>
      <c r="T195" s="24">
        <f t="shared" si="22"/>
        <v>5.896245E-2</v>
      </c>
      <c r="U195" s="26">
        <v>100</v>
      </c>
      <c r="V195" s="60" t="s">
        <v>706</v>
      </c>
    </row>
    <row r="196" spans="1:22" ht="38.25" customHeight="1" x14ac:dyDescent="0.25">
      <c r="A196" s="42" t="s">
        <v>28</v>
      </c>
      <c r="B196" s="35" t="s">
        <v>545</v>
      </c>
      <c r="C196" s="65" t="s">
        <v>546</v>
      </c>
      <c r="D196" s="24">
        <v>0</v>
      </c>
      <c r="E196" s="24">
        <v>0</v>
      </c>
      <c r="F196" s="25" t="s">
        <v>50</v>
      </c>
      <c r="G196" s="24">
        <v>0</v>
      </c>
      <c r="H196" s="24">
        <f t="shared" si="27"/>
        <v>0</v>
      </c>
      <c r="I196" s="24">
        <f t="shared" si="27"/>
        <v>4.1311219999999996E-2</v>
      </c>
      <c r="J196" s="24">
        <v>0</v>
      </c>
      <c r="K196" s="24">
        <v>0</v>
      </c>
      <c r="L196" s="24">
        <v>0</v>
      </c>
      <c r="M196" s="25">
        <f>41.31122/1000</f>
        <v>4.1311219999999996E-2</v>
      </c>
      <c r="N196" s="24">
        <v>0</v>
      </c>
      <c r="O196" s="25">
        <v>0</v>
      </c>
      <c r="P196" s="24">
        <v>0</v>
      </c>
      <c r="Q196" s="25">
        <v>0</v>
      </c>
      <c r="R196" s="25" t="s">
        <v>50</v>
      </c>
      <c r="S196" s="24">
        <f t="shared" si="23"/>
        <v>-4.1311219999999996E-2</v>
      </c>
      <c r="T196" s="24">
        <f t="shared" si="22"/>
        <v>4.1311219999999996E-2</v>
      </c>
      <c r="U196" s="26">
        <v>100</v>
      </c>
      <c r="V196" s="60" t="s">
        <v>707</v>
      </c>
    </row>
    <row r="197" spans="1:22" ht="38.25" customHeight="1" x14ac:dyDescent="0.25">
      <c r="A197" s="42" t="s">
        <v>28</v>
      </c>
      <c r="B197" s="35" t="s">
        <v>547</v>
      </c>
      <c r="C197" s="65" t="s">
        <v>548</v>
      </c>
      <c r="D197" s="24">
        <v>0</v>
      </c>
      <c r="E197" s="24">
        <v>0</v>
      </c>
      <c r="F197" s="25" t="s">
        <v>50</v>
      </c>
      <c r="G197" s="24">
        <v>0</v>
      </c>
      <c r="H197" s="24">
        <f t="shared" si="27"/>
        <v>0</v>
      </c>
      <c r="I197" s="24">
        <f t="shared" si="27"/>
        <v>1.9120460000000002E-2</v>
      </c>
      <c r="J197" s="24">
        <v>0</v>
      </c>
      <c r="K197" s="24">
        <v>0</v>
      </c>
      <c r="L197" s="24">
        <v>0</v>
      </c>
      <c r="M197" s="25">
        <f>19.12046/1000</f>
        <v>1.9120460000000002E-2</v>
      </c>
      <c r="N197" s="24">
        <v>0</v>
      </c>
      <c r="O197" s="25">
        <v>0</v>
      </c>
      <c r="P197" s="24">
        <v>0</v>
      </c>
      <c r="Q197" s="25">
        <v>0</v>
      </c>
      <c r="R197" s="25" t="s">
        <v>50</v>
      </c>
      <c r="S197" s="24">
        <f t="shared" si="23"/>
        <v>-1.9120460000000002E-2</v>
      </c>
      <c r="T197" s="24">
        <f t="shared" si="22"/>
        <v>1.9120460000000002E-2</v>
      </c>
      <c r="U197" s="26">
        <v>100</v>
      </c>
      <c r="V197" s="60" t="s">
        <v>707</v>
      </c>
    </row>
    <row r="198" spans="1:22" ht="38.25" customHeight="1" x14ac:dyDescent="0.25">
      <c r="A198" s="42" t="s">
        <v>28</v>
      </c>
      <c r="B198" s="35" t="s">
        <v>549</v>
      </c>
      <c r="C198" s="65" t="s">
        <v>550</v>
      </c>
      <c r="D198" s="24">
        <v>0</v>
      </c>
      <c r="E198" s="24">
        <v>0</v>
      </c>
      <c r="F198" s="25" t="s">
        <v>50</v>
      </c>
      <c r="G198" s="24">
        <v>0</v>
      </c>
      <c r="H198" s="24">
        <f t="shared" si="27"/>
        <v>0</v>
      </c>
      <c r="I198" s="24">
        <f t="shared" si="27"/>
        <v>2.584792E-2</v>
      </c>
      <c r="J198" s="24">
        <v>0</v>
      </c>
      <c r="K198" s="24">
        <v>0</v>
      </c>
      <c r="L198" s="24">
        <v>0</v>
      </c>
      <c r="M198" s="25">
        <f>25.84792/1000</f>
        <v>2.584792E-2</v>
      </c>
      <c r="N198" s="24">
        <v>0</v>
      </c>
      <c r="O198" s="25">
        <v>0</v>
      </c>
      <c r="P198" s="24">
        <v>0</v>
      </c>
      <c r="Q198" s="25">
        <v>0</v>
      </c>
      <c r="R198" s="25" t="s">
        <v>50</v>
      </c>
      <c r="S198" s="24">
        <f t="shared" si="23"/>
        <v>-2.584792E-2</v>
      </c>
      <c r="T198" s="24">
        <f t="shared" si="22"/>
        <v>2.584792E-2</v>
      </c>
      <c r="U198" s="26">
        <v>100</v>
      </c>
      <c r="V198" s="60" t="s">
        <v>708</v>
      </c>
    </row>
    <row r="199" spans="1:22" ht="38.25" customHeight="1" x14ac:dyDescent="0.25">
      <c r="A199" s="42" t="s">
        <v>28</v>
      </c>
      <c r="B199" s="35" t="s">
        <v>551</v>
      </c>
      <c r="C199" s="65" t="s">
        <v>552</v>
      </c>
      <c r="D199" s="24">
        <v>0</v>
      </c>
      <c r="E199" s="24">
        <v>0</v>
      </c>
      <c r="F199" s="25" t="s">
        <v>50</v>
      </c>
      <c r="G199" s="24">
        <v>0</v>
      </c>
      <c r="H199" s="24">
        <f t="shared" si="27"/>
        <v>0</v>
      </c>
      <c r="I199" s="24">
        <f t="shared" si="27"/>
        <v>0.11474817</v>
      </c>
      <c r="J199" s="24">
        <v>0</v>
      </c>
      <c r="K199" s="24">
        <v>0</v>
      </c>
      <c r="L199" s="24">
        <v>0</v>
      </c>
      <c r="M199" s="25">
        <f>114.74817/1000</f>
        <v>0.11474817</v>
      </c>
      <c r="N199" s="24">
        <v>0</v>
      </c>
      <c r="O199" s="25">
        <v>0</v>
      </c>
      <c r="P199" s="24">
        <v>0</v>
      </c>
      <c r="Q199" s="25">
        <v>0</v>
      </c>
      <c r="R199" s="25" t="s">
        <v>50</v>
      </c>
      <c r="S199" s="24">
        <f t="shared" si="23"/>
        <v>-0.11474817</v>
      </c>
      <c r="T199" s="24">
        <f t="shared" si="22"/>
        <v>0.11474817</v>
      </c>
      <c r="U199" s="26">
        <v>100</v>
      </c>
      <c r="V199" s="60" t="s">
        <v>707</v>
      </c>
    </row>
    <row r="200" spans="1:22" ht="38.25" customHeight="1" x14ac:dyDescent="0.25">
      <c r="A200" s="42" t="s">
        <v>28</v>
      </c>
      <c r="B200" s="35" t="s">
        <v>123</v>
      </c>
      <c r="C200" s="58" t="s">
        <v>124</v>
      </c>
      <c r="D200" s="24">
        <v>3.2713493965404565E-2</v>
      </c>
      <c r="E200" s="24">
        <v>0</v>
      </c>
      <c r="F200" s="25" t="s">
        <v>50</v>
      </c>
      <c r="G200" s="24">
        <v>0.25451098305084757</v>
      </c>
      <c r="H200" s="24">
        <f t="shared" si="27"/>
        <v>0.25451098305084757</v>
      </c>
      <c r="I200" s="24">
        <f t="shared" si="27"/>
        <v>0.17882941000000002</v>
      </c>
      <c r="J200" s="24">
        <v>0</v>
      </c>
      <c r="K200" s="24">
        <v>0</v>
      </c>
      <c r="L200" s="24">
        <v>0</v>
      </c>
      <c r="M200" s="25">
        <v>0</v>
      </c>
      <c r="N200" s="24">
        <v>0.25451098305084757</v>
      </c>
      <c r="O200" s="25">
        <v>0.17882941000000002</v>
      </c>
      <c r="P200" s="24">
        <v>0</v>
      </c>
      <c r="Q200" s="25">
        <v>0</v>
      </c>
      <c r="R200" s="25" t="s">
        <v>50</v>
      </c>
      <c r="S200" s="24">
        <f t="shared" si="23"/>
        <v>7.568157305084755E-2</v>
      </c>
      <c r="T200" s="24">
        <f t="shared" si="22"/>
        <v>-7.568157305084755E-2</v>
      </c>
      <c r="U200" s="26">
        <f t="shared" si="25"/>
        <v>-29.736073525647214</v>
      </c>
      <c r="V200" s="60" t="s">
        <v>988</v>
      </c>
    </row>
    <row r="201" spans="1:22" ht="38.25" customHeight="1" x14ac:dyDescent="0.25">
      <c r="A201" s="42" t="s">
        <v>28</v>
      </c>
      <c r="B201" s="35" t="s">
        <v>125</v>
      </c>
      <c r="C201" s="58" t="s">
        <v>126</v>
      </c>
      <c r="D201" s="24">
        <v>2.4535120474053429E-2</v>
      </c>
      <c r="E201" s="24">
        <v>0</v>
      </c>
      <c r="F201" s="25" t="s">
        <v>50</v>
      </c>
      <c r="G201" s="24">
        <v>0.19088323728813569</v>
      </c>
      <c r="H201" s="24">
        <f t="shared" si="27"/>
        <v>0.19088323728813569</v>
      </c>
      <c r="I201" s="24">
        <f t="shared" si="27"/>
        <v>0.15416858</v>
      </c>
      <c r="J201" s="24">
        <v>0</v>
      </c>
      <c r="K201" s="24">
        <v>0</v>
      </c>
      <c r="L201" s="24">
        <v>0</v>
      </c>
      <c r="M201" s="25">
        <v>0</v>
      </c>
      <c r="N201" s="24">
        <v>0.19088323728813569</v>
      </c>
      <c r="O201" s="25">
        <v>0.15416858</v>
      </c>
      <c r="P201" s="24">
        <v>0</v>
      </c>
      <c r="Q201" s="25">
        <v>0</v>
      </c>
      <c r="R201" s="25" t="s">
        <v>50</v>
      </c>
      <c r="S201" s="24">
        <f t="shared" si="23"/>
        <v>3.6714657288135694E-2</v>
      </c>
      <c r="T201" s="24">
        <f t="shared" si="22"/>
        <v>-3.6714657288135694E-2</v>
      </c>
      <c r="U201" s="26">
        <f t="shared" si="25"/>
        <v>-19.234091903374107</v>
      </c>
      <c r="V201" s="60" t="s">
        <v>988</v>
      </c>
    </row>
    <row r="202" spans="1:22" ht="38.25" customHeight="1" x14ac:dyDescent="0.25">
      <c r="A202" s="42" t="s">
        <v>28</v>
      </c>
      <c r="B202" s="35" t="s">
        <v>127</v>
      </c>
      <c r="C202" s="58" t="s">
        <v>128</v>
      </c>
      <c r="D202" s="24">
        <v>2.4535120474053429E-2</v>
      </c>
      <c r="E202" s="24">
        <v>0</v>
      </c>
      <c r="F202" s="25" t="s">
        <v>50</v>
      </c>
      <c r="G202" s="24">
        <v>0.19088323728813569</v>
      </c>
      <c r="H202" s="24">
        <f t="shared" si="27"/>
        <v>0.19088323728813569</v>
      </c>
      <c r="I202" s="24">
        <f t="shared" si="27"/>
        <v>0.14446676</v>
      </c>
      <c r="J202" s="24">
        <v>0</v>
      </c>
      <c r="K202" s="24">
        <v>0</v>
      </c>
      <c r="L202" s="24">
        <v>0</v>
      </c>
      <c r="M202" s="25">
        <v>0</v>
      </c>
      <c r="N202" s="24">
        <v>0.19088323728813569</v>
      </c>
      <c r="O202" s="25">
        <v>0.14446676</v>
      </c>
      <c r="P202" s="24">
        <v>0</v>
      </c>
      <c r="Q202" s="25">
        <v>0</v>
      </c>
      <c r="R202" s="25" t="s">
        <v>50</v>
      </c>
      <c r="S202" s="24">
        <f t="shared" si="23"/>
        <v>4.6416477288135694E-2</v>
      </c>
      <c r="T202" s="24">
        <f t="shared" ref="T202:T265" si="28">(K202+M202+O202+Q202)-(J202+L202+N202+P202)</f>
        <v>-4.6416477288135694E-2</v>
      </c>
      <c r="U202" s="26">
        <f t="shared" ref="U202:U260" si="29">(K202+M202+O202+Q202)/(J202+L202+N202+P202)*100-100</f>
        <v>-24.3166859214938</v>
      </c>
      <c r="V202" s="60" t="s">
        <v>988</v>
      </c>
    </row>
    <row r="203" spans="1:22" ht="38.25" customHeight="1" x14ac:dyDescent="0.25">
      <c r="A203" s="42" t="s">
        <v>28</v>
      </c>
      <c r="B203" s="35" t="s">
        <v>129</v>
      </c>
      <c r="C203" s="58" t="s">
        <v>130</v>
      </c>
      <c r="D203" s="24">
        <v>2.4535120474053429E-2</v>
      </c>
      <c r="E203" s="24">
        <v>0</v>
      </c>
      <c r="F203" s="25" t="s">
        <v>50</v>
      </c>
      <c r="G203" s="24">
        <v>0.19088323728813569</v>
      </c>
      <c r="H203" s="24">
        <f t="shared" si="27"/>
        <v>0.19088323728813569</v>
      </c>
      <c r="I203" s="24">
        <f t="shared" si="27"/>
        <v>0.13954817</v>
      </c>
      <c r="J203" s="24">
        <v>0</v>
      </c>
      <c r="K203" s="24">
        <v>0</v>
      </c>
      <c r="L203" s="24">
        <v>0</v>
      </c>
      <c r="M203" s="25">
        <v>0</v>
      </c>
      <c r="N203" s="24">
        <v>0.19088323728813569</v>
      </c>
      <c r="O203" s="25">
        <v>0.13954817</v>
      </c>
      <c r="P203" s="24">
        <v>0</v>
      </c>
      <c r="Q203" s="25">
        <v>0</v>
      </c>
      <c r="R203" s="25" t="s">
        <v>50</v>
      </c>
      <c r="S203" s="24">
        <f t="shared" si="23"/>
        <v>5.1335067288135694E-2</v>
      </c>
      <c r="T203" s="24">
        <f t="shared" si="28"/>
        <v>-5.1335067288135694E-2</v>
      </c>
      <c r="U203" s="26">
        <f t="shared" si="29"/>
        <v>-26.893439160739973</v>
      </c>
      <c r="V203" s="60" t="s">
        <v>988</v>
      </c>
    </row>
    <row r="204" spans="1:22" ht="38.25" customHeight="1" x14ac:dyDescent="0.25">
      <c r="A204" s="42" t="s">
        <v>28</v>
      </c>
      <c r="B204" s="35" t="s">
        <v>131</v>
      </c>
      <c r="C204" s="58" t="s">
        <v>132</v>
      </c>
      <c r="D204" s="24">
        <v>3.2713493965404565E-2</v>
      </c>
      <c r="E204" s="24">
        <v>0</v>
      </c>
      <c r="F204" s="25" t="s">
        <v>50</v>
      </c>
      <c r="G204" s="24">
        <v>0.25451098305084757</v>
      </c>
      <c r="H204" s="24">
        <f t="shared" si="27"/>
        <v>0.25451098305084757</v>
      </c>
      <c r="I204" s="24">
        <f t="shared" si="27"/>
        <v>0.17970696</v>
      </c>
      <c r="J204" s="24">
        <v>0</v>
      </c>
      <c r="K204" s="24">
        <v>0</v>
      </c>
      <c r="L204" s="24">
        <v>0</v>
      </c>
      <c r="M204" s="25">
        <v>0</v>
      </c>
      <c r="N204" s="24">
        <v>0.25451098305084757</v>
      </c>
      <c r="O204" s="25">
        <v>0.17970696</v>
      </c>
      <c r="P204" s="24">
        <v>0</v>
      </c>
      <c r="Q204" s="25">
        <v>0</v>
      </c>
      <c r="R204" s="25" t="s">
        <v>50</v>
      </c>
      <c r="S204" s="24">
        <f t="shared" si="23"/>
        <v>7.4804023050847573E-2</v>
      </c>
      <c r="T204" s="24">
        <f t="shared" si="28"/>
        <v>-7.4804023050847573E-2</v>
      </c>
      <c r="U204" s="26">
        <f t="shared" si="29"/>
        <v>-29.391275046037137</v>
      </c>
      <c r="V204" s="60" t="s">
        <v>988</v>
      </c>
    </row>
    <row r="205" spans="1:22" ht="38.25" customHeight="1" x14ac:dyDescent="0.25">
      <c r="A205" s="42" t="s">
        <v>28</v>
      </c>
      <c r="B205" s="35" t="s">
        <v>133</v>
      </c>
      <c r="C205" s="58" t="s">
        <v>134</v>
      </c>
      <c r="D205" s="24">
        <v>2.4535120474053429E-2</v>
      </c>
      <c r="E205" s="24">
        <v>0</v>
      </c>
      <c r="F205" s="25" t="s">
        <v>50</v>
      </c>
      <c r="G205" s="24">
        <v>0.19088323728813569</v>
      </c>
      <c r="H205" s="24">
        <f t="shared" si="27"/>
        <v>0.19088323728813569</v>
      </c>
      <c r="I205" s="24">
        <f t="shared" si="27"/>
        <v>0.15218722999999998</v>
      </c>
      <c r="J205" s="24">
        <v>0</v>
      </c>
      <c r="K205" s="24">
        <v>0</v>
      </c>
      <c r="L205" s="24">
        <v>0</v>
      </c>
      <c r="M205" s="25">
        <v>0</v>
      </c>
      <c r="N205" s="24">
        <v>0.19088323728813569</v>
      </c>
      <c r="O205" s="25">
        <v>0.15218722999999998</v>
      </c>
      <c r="P205" s="24">
        <v>0</v>
      </c>
      <c r="Q205" s="25">
        <v>0</v>
      </c>
      <c r="R205" s="25" t="s">
        <v>50</v>
      </c>
      <c r="S205" s="24">
        <f t="shared" si="23"/>
        <v>3.8696007288135714E-2</v>
      </c>
      <c r="T205" s="24">
        <f t="shared" si="28"/>
        <v>-3.8696007288135714E-2</v>
      </c>
      <c r="U205" s="26">
        <f t="shared" si="29"/>
        <v>-20.272082471927391</v>
      </c>
      <c r="V205" s="60" t="s">
        <v>988</v>
      </c>
    </row>
    <row r="206" spans="1:22" ht="39.75" customHeight="1" x14ac:dyDescent="0.25">
      <c r="A206" s="42" t="s">
        <v>28</v>
      </c>
      <c r="B206" s="27" t="s">
        <v>135</v>
      </c>
      <c r="C206" s="53" t="s">
        <v>136</v>
      </c>
      <c r="D206" s="24">
        <v>1.3384710905842865E-2</v>
      </c>
      <c r="E206" s="24">
        <v>0</v>
      </c>
      <c r="F206" s="25" t="s">
        <v>50</v>
      </c>
      <c r="G206" s="24">
        <v>0.1041330508474575</v>
      </c>
      <c r="H206" s="24">
        <f t="shared" si="27"/>
        <v>0.1041330508474575</v>
      </c>
      <c r="I206" s="24">
        <f t="shared" si="27"/>
        <v>0.13700403999999999</v>
      </c>
      <c r="J206" s="24">
        <v>0</v>
      </c>
      <c r="K206" s="24">
        <v>0</v>
      </c>
      <c r="L206" s="24">
        <v>0</v>
      </c>
      <c r="M206" s="25">
        <v>0</v>
      </c>
      <c r="N206" s="24">
        <v>0.1041330508474575</v>
      </c>
      <c r="O206" s="25">
        <v>0.13700403999999999</v>
      </c>
      <c r="P206" s="24">
        <v>0</v>
      </c>
      <c r="Q206" s="25">
        <v>0</v>
      </c>
      <c r="R206" s="25" t="s">
        <v>50</v>
      </c>
      <c r="S206" s="24">
        <f t="shared" si="23"/>
        <v>-3.2870989152542496E-2</v>
      </c>
      <c r="T206" s="24">
        <f t="shared" si="28"/>
        <v>3.2870989152542496E-2</v>
      </c>
      <c r="U206" s="26">
        <f t="shared" si="29"/>
        <v>31.566336417718674</v>
      </c>
      <c r="V206" s="60" t="s">
        <v>989</v>
      </c>
    </row>
    <row r="207" spans="1:22" ht="39.75" customHeight="1" x14ac:dyDescent="0.25">
      <c r="A207" s="42" t="s">
        <v>28</v>
      </c>
      <c r="B207" s="35" t="s">
        <v>137</v>
      </c>
      <c r="C207" s="58" t="s">
        <v>138</v>
      </c>
      <c r="D207" s="24">
        <v>4.049431205611953E-2</v>
      </c>
      <c r="E207" s="24">
        <v>0</v>
      </c>
      <c r="F207" s="25" t="s">
        <v>50</v>
      </c>
      <c r="G207" s="24">
        <v>0.31504574779660999</v>
      </c>
      <c r="H207" s="24">
        <f t="shared" si="27"/>
        <v>0.31504574779660999</v>
      </c>
      <c r="I207" s="24">
        <f t="shared" si="27"/>
        <v>0.22509220999999999</v>
      </c>
      <c r="J207" s="24">
        <v>0</v>
      </c>
      <c r="K207" s="24">
        <v>0</v>
      </c>
      <c r="L207" s="24">
        <v>0</v>
      </c>
      <c r="M207" s="25">
        <v>0</v>
      </c>
      <c r="N207" s="24">
        <v>0.31504574779660999</v>
      </c>
      <c r="O207" s="25">
        <v>0.22509220999999999</v>
      </c>
      <c r="P207" s="24">
        <v>0</v>
      </c>
      <c r="Q207" s="25">
        <v>0</v>
      </c>
      <c r="R207" s="25" t="s">
        <v>50</v>
      </c>
      <c r="S207" s="24">
        <f t="shared" ref="S207:S270" si="30">G207-I207</f>
        <v>8.995353779661E-2</v>
      </c>
      <c r="T207" s="24">
        <f t="shared" si="28"/>
        <v>-8.995353779661E-2</v>
      </c>
      <c r="U207" s="26">
        <f t="shared" si="29"/>
        <v>-28.552531949957626</v>
      </c>
      <c r="V207" s="60" t="s">
        <v>988</v>
      </c>
    </row>
    <row r="208" spans="1:22" ht="39.75" customHeight="1" x14ac:dyDescent="0.25">
      <c r="A208" s="42" t="s">
        <v>28</v>
      </c>
      <c r="B208" s="35" t="s">
        <v>139</v>
      </c>
      <c r="C208" s="58" t="s">
        <v>140</v>
      </c>
      <c r="D208" s="24">
        <v>1.4800770423946664E-2</v>
      </c>
      <c r="E208" s="24">
        <v>0</v>
      </c>
      <c r="F208" s="25" t="s">
        <v>50</v>
      </c>
      <c r="G208" s="24">
        <v>0.11514999389830502</v>
      </c>
      <c r="H208" s="24">
        <f t="shared" si="27"/>
        <v>0.11514999389830502</v>
      </c>
      <c r="I208" s="24">
        <f t="shared" si="27"/>
        <v>0.13291152000000001</v>
      </c>
      <c r="J208" s="24">
        <v>0</v>
      </c>
      <c r="K208" s="24">
        <v>0</v>
      </c>
      <c r="L208" s="24">
        <v>0</v>
      </c>
      <c r="M208" s="25">
        <v>0</v>
      </c>
      <c r="N208" s="24">
        <v>0.11514999389830502</v>
      </c>
      <c r="O208" s="25">
        <v>0.13291152000000001</v>
      </c>
      <c r="P208" s="24">
        <v>0</v>
      </c>
      <c r="Q208" s="25">
        <v>0</v>
      </c>
      <c r="R208" s="25" t="s">
        <v>50</v>
      </c>
      <c r="S208" s="24">
        <f t="shared" si="30"/>
        <v>-1.7761526101694985E-2</v>
      </c>
      <c r="T208" s="24">
        <f t="shared" si="28"/>
        <v>1.7761526101694985E-2</v>
      </c>
      <c r="U208" s="26">
        <f t="shared" si="29"/>
        <v>15.42468696731423</v>
      </c>
      <c r="V208" s="60" t="s">
        <v>989</v>
      </c>
    </row>
    <row r="209" spans="1:22" ht="39.75" customHeight="1" x14ac:dyDescent="0.25">
      <c r="A209" s="42" t="s">
        <v>28</v>
      </c>
      <c r="B209" s="35" t="s">
        <v>141</v>
      </c>
      <c r="C209" s="58" t="s">
        <v>142</v>
      </c>
      <c r="D209" s="24">
        <v>1.5563265282558485E-2</v>
      </c>
      <c r="E209" s="24">
        <v>0</v>
      </c>
      <c r="F209" s="25" t="s">
        <v>50</v>
      </c>
      <c r="G209" s="24">
        <v>0.12108220389830503</v>
      </c>
      <c r="H209" s="24">
        <f t="shared" si="27"/>
        <v>0.12108220389830503</v>
      </c>
      <c r="I209" s="24">
        <f t="shared" si="27"/>
        <v>0.10832872000000002</v>
      </c>
      <c r="J209" s="24">
        <v>0</v>
      </c>
      <c r="K209" s="24">
        <v>0</v>
      </c>
      <c r="L209" s="24">
        <v>0</v>
      </c>
      <c r="M209" s="25">
        <v>0</v>
      </c>
      <c r="N209" s="24">
        <v>0.12108220389830503</v>
      </c>
      <c r="O209" s="25">
        <v>0.10832872000000002</v>
      </c>
      <c r="P209" s="24">
        <v>0</v>
      </c>
      <c r="Q209" s="25">
        <v>0</v>
      </c>
      <c r="R209" s="25" t="s">
        <v>50</v>
      </c>
      <c r="S209" s="24">
        <f t="shared" si="30"/>
        <v>1.275348389830501E-2</v>
      </c>
      <c r="T209" s="24">
        <f t="shared" si="28"/>
        <v>-1.275348389830501E-2</v>
      </c>
      <c r="U209" s="26">
        <f t="shared" si="29"/>
        <v>-10.532913580773979</v>
      </c>
      <c r="V209" s="44" t="s">
        <v>50</v>
      </c>
    </row>
    <row r="210" spans="1:22" ht="39.75" customHeight="1" x14ac:dyDescent="0.25">
      <c r="A210" s="42" t="s">
        <v>28</v>
      </c>
      <c r="B210" s="35" t="s">
        <v>143</v>
      </c>
      <c r="C210" s="58" t="s">
        <v>144</v>
      </c>
      <c r="D210" s="24">
        <v>3.7167551522809442E-2</v>
      </c>
      <c r="E210" s="24">
        <v>0</v>
      </c>
      <c r="F210" s="25" t="s">
        <v>50</v>
      </c>
      <c r="G210" s="24">
        <v>0.28916355084745748</v>
      </c>
      <c r="H210" s="24">
        <f t="shared" si="27"/>
        <v>0.28916355084745748</v>
      </c>
      <c r="I210" s="24">
        <f t="shared" si="27"/>
        <v>0.26969995000000002</v>
      </c>
      <c r="J210" s="24">
        <v>0</v>
      </c>
      <c r="K210" s="24">
        <v>0</v>
      </c>
      <c r="L210" s="24">
        <v>0</v>
      </c>
      <c r="M210" s="25">
        <v>0</v>
      </c>
      <c r="N210" s="24">
        <v>0.28916355084745748</v>
      </c>
      <c r="O210" s="25">
        <v>0.26969995000000002</v>
      </c>
      <c r="P210" s="24">
        <v>0</v>
      </c>
      <c r="Q210" s="25">
        <v>0</v>
      </c>
      <c r="R210" s="25" t="s">
        <v>50</v>
      </c>
      <c r="S210" s="24">
        <f t="shared" si="30"/>
        <v>1.9463600847457463E-2</v>
      </c>
      <c r="T210" s="24">
        <f t="shared" si="28"/>
        <v>-1.9463600847457463E-2</v>
      </c>
      <c r="U210" s="26">
        <f t="shared" si="29"/>
        <v>-6.7310007746187495</v>
      </c>
      <c r="V210" s="44" t="s">
        <v>50</v>
      </c>
    </row>
    <row r="211" spans="1:22" ht="39.75" customHeight="1" x14ac:dyDescent="0.25">
      <c r="A211" s="42" t="s">
        <v>28</v>
      </c>
      <c r="B211" s="35" t="s">
        <v>145</v>
      </c>
      <c r="C211" s="58" t="s">
        <v>146</v>
      </c>
      <c r="D211" s="24">
        <v>5.8776298200514136E-3</v>
      </c>
      <c r="E211" s="24">
        <v>0</v>
      </c>
      <c r="F211" s="25" t="s">
        <v>50</v>
      </c>
      <c r="G211" s="24">
        <v>4.5727959999999998E-2</v>
      </c>
      <c r="H211" s="24">
        <f t="shared" si="27"/>
        <v>4.5727959999999998E-2</v>
      </c>
      <c r="I211" s="24">
        <f t="shared" si="27"/>
        <v>6.0496640000000004E-2</v>
      </c>
      <c r="J211" s="24">
        <v>0</v>
      </c>
      <c r="K211" s="24">
        <v>0</v>
      </c>
      <c r="L211" s="24">
        <v>0</v>
      </c>
      <c r="M211" s="25">
        <v>0</v>
      </c>
      <c r="N211" s="24">
        <v>4.5727959999999998E-2</v>
      </c>
      <c r="O211" s="25">
        <v>6.0496640000000004E-2</v>
      </c>
      <c r="P211" s="24">
        <v>0</v>
      </c>
      <c r="Q211" s="25">
        <v>0</v>
      </c>
      <c r="R211" s="25" t="s">
        <v>50</v>
      </c>
      <c r="S211" s="24">
        <f t="shared" si="30"/>
        <v>-1.4768680000000006E-2</v>
      </c>
      <c r="T211" s="24">
        <f t="shared" si="28"/>
        <v>1.4768680000000006E-2</v>
      </c>
      <c r="U211" s="26">
        <f t="shared" si="29"/>
        <v>32.296826711709883</v>
      </c>
      <c r="V211" s="60" t="s">
        <v>989</v>
      </c>
    </row>
    <row r="212" spans="1:22" ht="39.75" customHeight="1" x14ac:dyDescent="0.25">
      <c r="A212" s="42" t="s">
        <v>28</v>
      </c>
      <c r="B212" s="35" t="s">
        <v>147</v>
      </c>
      <c r="C212" s="58" t="s">
        <v>148</v>
      </c>
      <c r="D212" s="24">
        <v>1.4909698444512207E-2</v>
      </c>
      <c r="E212" s="24">
        <v>0</v>
      </c>
      <c r="F212" s="25" t="s">
        <v>50</v>
      </c>
      <c r="G212" s="24">
        <v>0.11599745389830501</v>
      </c>
      <c r="H212" s="24">
        <f t="shared" si="27"/>
        <v>0.11599745389830501</v>
      </c>
      <c r="I212" s="24">
        <f t="shared" si="27"/>
        <v>0.11477983999999999</v>
      </c>
      <c r="J212" s="24">
        <v>0</v>
      </c>
      <c r="K212" s="24">
        <v>0</v>
      </c>
      <c r="L212" s="24">
        <v>0</v>
      </c>
      <c r="M212" s="25">
        <v>0</v>
      </c>
      <c r="N212" s="24">
        <v>0.11599745389830501</v>
      </c>
      <c r="O212" s="25">
        <v>0.11477983999999999</v>
      </c>
      <c r="P212" s="24">
        <v>0</v>
      </c>
      <c r="Q212" s="25">
        <v>0</v>
      </c>
      <c r="R212" s="25" t="s">
        <v>50</v>
      </c>
      <c r="S212" s="24">
        <f t="shared" si="30"/>
        <v>1.21761389830502E-3</v>
      </c>
      <c r="T212" s="24">
        <f t="shared" si="28"/>
        <v>-1.21761389830502E-3</v>
      </c>
      <c r="U212" s="26">
        <f t="shared" si="29"/>
        <v>-1.0496901935213998</v>
      </c>
      <c r="V212" s="44" t="s">
        <v>50</v>
      </c>
    </row>
    <row r="213" spans="1:22" ht="39" customHeight="1" x14ac:dyDescent="0.25">
      <c r="A213" s="42" t="s">
        <v>28</v>
      </c>
      <c r="B213" s="35" t="s">
        <v>149</v>
      </c>
      <c r="C213" s="58" t="s">
        <v>150</v>
      </c>
      <c r="D213" s="24">
        <v>2.0787328656703404E-2</v>
      </c>
      <c r="E213" s="24">
        <v>0</v>
      </c>
      <c r="F213" s="25" t="s">
        <v>50</v>
      </c>
      <c r="G213" s="24">
        <v>0.16172541694915246</v>
      </c>
      <c r="H213" s="24">
        <f t="shared" si="27"/>
        <v>0.16172541694915246</v>
      </c>
      <c r="I213" s="24">
        <f t="shared" si="27"/>
        <v>0.16344110000000001</v>
      </c>
      <c r="J213" s="24">
        <v>0</v>
      </c>
      <c r="K213" s="24">
        <v>0</v>
      </c>
      <c r="L213" s="24">
        <v>0</v>
      </c>
      <c r="M213" s="25">
        <v>0</v>
      </c>
      <c r="N213" s="24">
        <v>0.16172541694915246</v>
      </c>
      <c r="O213" s="25">
        <v>0.16344110000000001</v>
      </c>
      <c r="P213" s="24">
        <v>0</v>
      </c>
      <c r="Q213" s="25">
        <v>0</v>
      </c>
      <c r="R213" s="25" t="s">
        <v>50</v>
      </c>
      <c r="S213" s="24">
        <f t="shared" si="30"/>
        <v>-1.715683050847544E-3</v>
      </c>
      <c r="T213" s="24">
        <f t="shared" si="28"/>
        <v>1.715683050847544E-3</v>
      </c>
      <c r="U213" s="26">
        <f t="shared" si="29"/>
        <v>1.0608617267544105</v>
      </c>
      <c r="V213" s="44" t="s">
        <v>50</v>
      </c>
    </row>
    <row r="214" spans="1:22" ht="39" customHeight="1" x14ac:dyDescent="0.25">
      <c r="A214" s="42" t="s">
        <v>28</v>
      </c>
      <c r="B214" s="35" t="s">
        <v>151</v>
      </c>
      <c r="C214" s="58" t="s">
        <v>152</v>
      </c>
      <c r="D214" s="24">
        <v>0.12200776218901153</v>
      </c>
      <c r="E214" s="24">
        <v>0</v>
      </c>
      <c r="F214" s="25" t="s">
        <v>50</v>
      </c>
      <c r="G214" s="24">
        <v>0.94922038983051005</v>
      </c>
      <c r="H214" s="24">
        <f t="shared" si="27"/>
        <v>0.94922038983051005</v>
      </c>
      <c r="I214" s="24">
        <f t="shared" si="27"/>
        <v>0.85804307000000002</v>
      </c>
      <c r="J214" s="24">
        <v>0</v>
      </c>
      <c r="K214" s="24">
        <v>0</v>
      </c>
      <c r="L214" s="24">
        <v>0.94922038983051005</v>
      </c>
      <c r="M214" s="25">
        <v>0</v>
      </c>
      <c r="N214" s="24">
        <v>0</v>
      </c>
      <c r="O214" s="25">
        <v>0</v>
      </c>
      <c r="P214" s="24">
        <v>0</v>
      </c>
      <c r="Q214" s="25">
        <v>0.85804307000000002</v>
      </c>
      <c r="R214" s="25" t="s">
        <v>50</v>
      </c>
      <c r="S214" s="24">
        <f t="shared" si="30"/>
        <v>9.1177319830510029E-2</v>
      </c>
      <c r="T214" s="24">
        <f t="shared" si="28"/>
        <v>-9.1177319830510029E-2</v>
      </c>
      <c r="U214" s="26">
        <f t="shared" si="29"/>
        <v>-9.6054952893279477</v>
      </c>
      <c r="V214" s="44" t="s">
        <v>50</v>
      </c>
    </row>
    <row r="215" spans="1:22" ht="39" customHeight="1" x14ac:dyDescent="0.25">
      <c r="A215" s="42" t="s">
        <v>28</v>
      </c>
      <c r="B215" s="35" t="s">
        <v>153</v>
      </c>
      <c r="C215" s="58" t="s">
        <v>154</v>
      </c>
      <c r="D215" s="24">
        <v>0.48803104875604614</v>
      </c>
      <c r="E215" s="24">
        <v>0</v>
      </c>
      <c r="F215" s="25" t="s">
        <v>50</v>
      </c>
      <c r="G215" s="24">
        <v>3.7968815593220402</v>
      </c>
      <c r="H215" s="24">
        <f t="shared" si="27"/>
        <v>3.7968815593220402</v>
      </c>
      <c r="I215" s="24">
        <f t="shared" si="27"/>
        <v>3.42829082</v>
      </c>
      <c r="J215" s="24">
        <v>0</v>
      </c>
      <c r="K215" s="24">
        <v>0</v>
      </c>
      <c r="L215" s="24">
        <v>3.7968815593220402</v>
      </c>
      <c r="M215" s="25">
        <v>0</v>
      </c>
      <c r="N215" s="24">
        <v>0</v>
      </c>
      <c r="O215" s="25">
        <v>0</v>
      </c>
      <c r="P215" s="24">
        <v>0</v>
      </c>
      <c r="Q215" s="25">
        <v>3.42829082</v>
      </c>
      <c r="R215" s="25" t="s">
        <v>50</v>
      </c>
      <c r="S215" s="24">
        <f t="shared" si="30"/>
        <v>0.36859073932204023</v>
      </c>
      <c r="T215" s="24">
        <f t="shared" si="28"/>
        <v>-0.36859073932204023</v>
      </c>
      <c r="U215" s="26">
        <f t="shared" si="29"/>
        <v>-9.7077228658102968</v>
      </c>
      <c r="V215" s="44" t="s">
        <v>50</v>
      </c>
    </row>
    <row r="216" spans="1:22" ht="39" customHeight="1" x14ac:dyDescent="0.25">
      <c r="A216" s="42" t="s">
        <v>28</v>
      </c>
      <c r="B216" s="35" t="s">
        <v>155</v>
      </c>
      <c r="C216" s="58" t="s">
        <v>156</v>
      </c>
      <c r="D216" s="24">
        <v>0.40669254063003851</v>
      </c>
      <c r="E216" s="24">
        <v>0</v>
      </c>
      <c r="F216" s="25" t="s">
        <v>50</v>
      </c>
      <c r="G216" s="24">
        <v>3.1640679661016997</v>
      </c>
      <c r="H216" s="24">
        <f t="shared" si="27"/>
        <v>3.1640679661016997</v>
      </c>
      <c r="I216" s="24">
        <f t="shared" si="27"/>
        <v>2.6558154700000003</v>
      </c>
      <c r="J216" s="24">
        <v>0</v>
      </c>
      <c r="K216" s="24">
        <v>0</v>
      </c>
      <c r="L216" s="24">
        <v>0</v>
      </c>
      <c r="M216" s="25">
        <v>0</v>
      </c>
      <c r="N216" s="24">
        <v>3.1640679661016997</v>
      </c>
      <c r="O216" s="25">
        <v>0</v>
      </c>
      <c r="P216" s="24">
        <v>0</v>
      </c>
      <c r="Q216" s="25">
        <v>2.6558154700000003</v>
      </c>
      <c r="R216" s="25" t="s">
        <v>50</v>
      </c>
      <c r="S216" s="24">
        <f t="shared" si="30"/>
        <v>0.50825249610169942</v>
      </c>
      <c r="T216" s="24">
        <f t="shared" si="28"/>
        <v>-0.50825249610169942</v>
      </c>
      <c r="U216" s="26">
        <f t="shared" si="29"/>
        <v>-16.063261015467177</v>
      </c>
      <c r="V216" s="60" t="s">
        <v>988</v>
      </c>
    </row>
    <row r="217" spans="1:22" ht="39" customHeight="1" x14ac:dyDescent="0.25">
      <c r="A217" s="42" t="s">
        <v>28</v>
      </c>
      <c r="B217" s="35" t="s">
        <v>157</v>
      </c>
      <c r="C217" s="58" t="s">
        <v>158</v>
      </c>
      <c r="D217" s="24">
        <v>0.40669254063003851</v>
      </c>
      <c r="E217" s="24">
        <v>0</v>
      </c>
      <c r="F217" s="25" t="s">
        <v>50</v>
      </c>
      <c r="G217" s="24">
        <v>3.1640679661016997</v>
      </c>
      <c r="H217" s="24">
        <f t="shared" si="27"/>
        <v>3.1640679661016997</v>
      </c>
      <c r="I217" s="24">
        <f t="shared" si="27"/>
        <v>2.79127736</v>
      </c>
      <c r="J217" s="24">
        <v>0</v>
      </c>
      <c r="K217" s="24">
        <v>0</v>
      </c>
      <c r="L217" s="24">
        <v>0</v>
      </c>
      <c r="M217" s="25">
        <v>0</v>
      </c>
      <c r="N217" s="24">
        <v>3.1640679661016997</v>
      </c>
      <c r="O217" s="25">
        <v>0</v>
      </c>
      <c r="P217" s="24">
        <v>0</v>
      </c>
      <c r="Q217" s="25">
        <v>2.79127736</v>
      </c>
      <c r="R217" s="25" t="s">
        <v>50</v>
      </c>
      <c r="S217" s="24">
        <f t="shared" si="30"/>
        <v>0.37279060610169967</v>
      </c>
      <c r="T217" s="24">
        <f t="shared" si="28"/>
        <v>-0.37279060610169967</v>
      </c>
      <c r="U217" s="26">
        <f t="shared" si="29"/>
        <v>-11.782003739982798</v>
      </c>
      <c r="V217" s="44" t="s">
        <v>50</v>
      </c>
    </row>
    <row r="218" spans="1:22" ht="39" customHeight="1" x14ac:dyDescent="0.25">
      <c r="A218" s="42" t="s">
        <v>28</v>
      </c>
      <c r="B218" s="35" t="s">
        <v>159</v>
      </c>
      <c r="C218" s="58" t="s">
        <v>160</v>
      </c>
      <c r="D218" s="24">
        <v>0.20334627031501926</v>
      </c>
      <c r="E218" s="24">
        <v>0</v>
      </c>
      <c r="F218" s="25" t="s">
        <v>50</v>
      </c>
      <c r="G218" s="24">
        <v>1.5820339830508499</v>
      </c>
      <c r="H218" s="24">
        <f t="shared" si="27"/>
        <v>1.5820339830508499</v>
      </c>
      <c r="I218" s="24">
        <f t="shared" si="27"/>
        <v>1.2712137200000002</v>
      </c>
      <c r="J218" s="24">
        <v>0</v>
      </c>
      <c r="K218" s="24">
        <v>0</v>
      </c>
      <c r="L218" s="24">
        <v>0</v>
      </c>
      <c r="M218" s="25">
        <v>0</v>
      </c>
      <c r="N218" s="24">
        <v>1.5820339830508499</v>
      </c>
      <c r="O218" s="25">
        <v>0</v>
      </c>
      <c r="P218" s="24">
        <v>0</v>
      </c>
      <c r="Q218" s="25">
        <v>1.2712137200000002</v>
      </c>
      <c r="R218" s="25" t="s">
        <v>50</v>
      </c>
      <c r="S218" s="24">
        <f t="shared" si="30"/>
        <v>0.31082026305084964</v>
      </c>
      <c r="T218" s="24">
        <f t="shared" si="28"/>
        <v>-0.31082026305084964</v>
      </c>
      <c r="U218" s="26">
        <f t="shared" si="29"/>
        <v>-19.646876513452199</v>
      </c>
      <c r="V218" s="60" t="s">
        <v>988</v>
      </c>
    </row>
    <row r="219" spans="1:22" ht="39" customHeight="1" x14ac:dyDescent="0.25">
      <c r="A219" s="42" t="s">
        <v>28</v>
      </c>
      <c r="B219" s="35" t="s">
        <v>161</v>
      </c>
      <c r="C219" s="58" t="s">
        <v>162</v>
      </c>
      <c r="D219" s="24">
        <v>4.0669254063003847E-2</v>
      </c>
      <c r="E219" s="24">
        <v>0</v>
      </c>
      <c r="F219" s="25" t="s">
        <v>50</v>
      </c>
      <c r="G219" s="24">
        <v>0.31640679661016996</v>
      </c>
      <c r="H219" s="24">
        <f t="shared" si="27"/>
        <v>0.31640679661016996</v>
      </c>
      <c r="I219" s="24">
        <f t="shared" si="27"/>
        <v>0.27917849</v>
      </c>
      <c r="J219" s="24">
        <v>0</v>
      </c>
      <c r="K219" s="24">
        <v>0</v>
      </c>
      <c r="L219" s="24">
        <v>0</v>
      </c>
      <c r="M219" s="25">
        <v>0</v>
      </c>
      <c r="N219" s="24">
        <v>0.31640679661016996</v>
      </c>
      <c r="O219" s="25">
        <v>0</v>
      </c>
      <c r="P219" s="24">
        <v>0</v>
      </c>
      <c r="Q219" s="25">
        <v>0.27917849</v>
      </c>
      <c r="R219" s="25" t="s">
        <v>50</v>
      </c>
      <c r="S219" s="24">
        <f t="shared" si="30"/>
        <v>3.7228306610169959E-2</v>
      </c>
      <c r="T219" s="24">
        <f t="shared" si="28"/>
        <v>-3.7228306610169959E-2</v>
      </c>
      <c r="U219" s="26">
        <f t="shared" si="29"/>
        <v>-11.765962997323726</v>
      </c>
      <c r="V219" s="44" t="s">
        <v>50</v>
      </c>
    </row>
    <row r="220" spans="1:22" ht="39" customHeight="1" x14ac:dyDescent="0.25">
      <c r="A220" s="42" t="s">
        <v>28</v>
      </c>
      <c r="B220" s="35" t="s">
        <v>379</v>
      </c>
      <c r="C220" s="65" t="s">
        <v>380</v>
      </c>
      <c r="D220" s="24">
        <v>0</v>
      </c>
      <c r="E220" s="24">
        <v>0</v>
      </c>
      <c r="F220" s="25" t="s">
        <v>50</v>
      </c>
      <c r="G220" s="24">
        <v>0</v>
      </c>
      <c r="H220" s="24">
        <f t="shared" si="27"/>
        <v>0</v>
      </c>
      <c r="I220" s="24">
        <f t="shared" si="27"/>
        <v>3.49842846</v>
      </c>
      <c r="J220" s="24">
        <v>0</v>
      </c>
      <c r="K220" s="24">
        <v>3.49842846</v>
      </c>
      <c r="L220" s="24">
        <v>0</v>
      </c>
      <c r="M220" s="25">
        <v>0</v>
      </c>
      <c r="N220" s="24">
        <v>0</v>
      </c>
      <c r="O220" s="25">
        <v>0</v>
      </c>
      <c r="P220" s="24">
        <v>0</v>
      </c>
      <c r="Q220" s="25">
        <v>0</v>
      </c>
      <c r="R220" s="25" t="s">
        <v>50</v>
      </c>
      <c r="S220" s="24">
        <f t="shared" si="30"/>
        <v>-3.49842846</v>
      </c>
      <c r="T220" s="24">
        <f t="shared" si="28"/>
        <v>3.49842846</v>
      </c>
      <c r="U220" s="26">
        <v>100</v>
      </c>
      <c r="V220" s="98" t="s">
        <v>982</v>
      </c>
    </row>
    <row r="221" spans="1:22" ht="39" customHeight="1" x14ac:dyDescent="0.25">
      <c r="A221" s="42" t="s">
        <v>28</v>
      </c>
      <c r="B221" s="35" t="s">
        <v>381</v>
      </c>
      <c r="C221" s="65" t="s">
        <v>382</v>
      </c>
      <c r="D221" s="24">
        <v>0</v>
      </c>
      <c r="E221" s="24">
        <v>0</v>
      </c>
      <c r="F221" s="25" t="s">
        <v>50</v>
      </c>
      <c r="G221" s="24">
        <v>0</v>
      </c>
      <c r="H221" s="24">
        <f t="shared" si="27"/>
        <v>0</v>
      </c>
      <c r="I221" s="24">
        <f t="shared" si="27"/>
        <v>2.7902363599999997</v>
      </c>
      <c r="J221" s="24">
        <v>0</v>
      </c>
      <c r="K221" s="24">
        <v>2.7902363599999997</v>
      </c>
      <c r="L221" s="24">
        <v>0</v>
      </c>
      <c r="M221" s="25">
        <v>0</v>
      </c>
      <c r="N221" s="24">
        <v>0</v>
      </c>
      <c r="O221" s="25">
        <v>0</v>
      </c>
      <c r="P221" s="24">
        <v>0</v>
      </c>
      <c r="Q221" s="25">
        <v>0</v>
      </c>
      <c r="R221" s="25" t="s">
        <v>50</v>
      </c>
      <c r="S221" s="24">
        <f t="shared" si="30"/>
        <v>-2.7902363599999997</v>
      </c>
      <c r="T221" s="24">
        <f t="shared" si="28"/>
        <v>2.7902363599999997</v>
      </c>
      <c r="U221" s="26">
        <v>100</v>
      </c>
      <c r="V221" s="99"/>
    </row>
    <row r="222" spans="1:22" ht="39" customHeight="1" x14ac:dyDescent="0.25">
      <c r="A222" s="42" t="s">
        <v>28</v>
      </c>
      <c r="B222" s="35" t="s">
        <v>383</v>
      </c>
      <c r="C222" s="65" t="s">
        <v>384</v>
      </c>
      <c r="D222" s="24">
        <v>0</v>
      </c>
      <c r="E222" s="24">
        <v>0</v>
      </c>
      <c r="F222" s="25" t="s">
        <v>50</v>
      </c>
      <c r="G222" s="24">
        <v>0</v>
      </c>
      <c r="H222" s="24">
        <f t="shared" si="27"/>
        <v>0</v>
      </c>
      <c r="I222" s="24">
        <f t="shared" si="27"/>
        <v>3.3363009500000005</v>
      </c>
      <c r="J222" s="24">
        <v>0</v>
      </c>
      <c r="K222" s="24">
        <v>3.3363009500000005</v>
      </c>
      <c r="L222" s="24">
        <v>0</v>
      </c>
      <c r="M222" s="25">
        <v>0</v>
      </c>
      <c r="N222" s="24">
        <v>0</v>
      </c>
      <c r="O222" s="25">
        <v>0</v>
      </c>
      <c r="P222" s="24">
        <v>0</v>
      </c>
      <c r="Q222" s="25">
        <v>0</v>
      </c>
      <c r="R222" s="25" t="s">
        <v>50</v>
      </c>
      <c r="S222" s="24">
        <f t="shared" si="30"/>
        <v>-3.3363009500000005</v>
      </c>
      <c r="T222" s="24">
        <f t="shared" si="28"/>
        <v>3.3363009500000005</v>
      </c>
      <c r="U222" s="26">
        <v>100</v>
      </c>
      <c r="V222" s="99"/>
    </row>
    <row r="223" spans="1:22" ht="39" customHeight="1" x14ac:dyDescent="0.25">
      <c r="A223" s="42" t="s">
        <v>28</v>
      </c>
      <c r="B223" s="35" t="s">
        <v>385</v>
      </c>
      <c r="C223" s="65" t="s">
        <v>386</v>
      </c>
      <c r="D223" s="24">
        <v>0</v>
      </c>
      <c r="E223" s="24">
        <v>0</v>
      </c>
      <c r="F223" s="25" t="s">
        <v>50</v>
      </c>
      <c r="G223" s="24">
        <v>0</v>
      </c>
      <c r="H223" s="24">
        <f t="shared" si="27"/>
        <v>0</v>
      </c>
      <c r="I223" s="24">
        <f t="shared" si="27"/>
        <v>2.7961439599999998</v>
      </c>
      <c r="J223" s="24">
        <v>0</v>
      </c>
      <c r="K223" s="24">
        <v>2.7961439599999998</v>
      </c>
      <c r="L223" s="24">
        <v>0</v>
      </c>
      <c r="M223" s="25">
        <v>0</v>
      </c>
      <c r="N223" s="24">
        <v>0</v>
      </c>
      <c r="O223" s="25">
        <v>0</v>
      </c>
      <c r="P223" s="24">
        <v>0</v>
      </c>
      <c r="Q223" s="25">
        <v>0</v>
      </c>
      <c r="R223" s="25" t="s">
        <v>50</v>
      </c>
      <c r="S223" s="24">
        <f t="shared" si="30"/>
        <v>-2.7961439599999998</v>
      </c>
      <c r="T223" s="24">
        <f t="shared" si="28"/>
        <v>2.7961439599999998</v>
      </c>
      <c r="U223" s="26">
        <v>100</v>
      </c>
      <c r="V223" s="100"/>
    </row>
    <row r="224" spans="1:22" ht="38.25" x14ac:dyDescent="0.25">
      <c r="A224" s="42" t="s">
        <v>28</v>
      </c>
      <c r="B224" s="35" t="s">
        <v>553</v>
      </c>
      <c r="C224" s="65" t="s">
        <v>554</v>
      </c>
      <c r="D224" s="24">
        <v>0</v>
      </c>
      <c r="E224" s="24">
        <v>0</v>
      </c>
      <c r="F224" s="25" t="s">
        <v>50</v>
      </c>
      <c r="G224" s="24">
        <v>0</v>
      </c>
      <c r="H224" s="24">
        <f t="shared" si="27"/>
        <v>0</v>
      </c>
      <c r="I224" s="24">
        <f t="shared" si="27"/>
        <v>4.983514E-2</v>
      </c>
      <c r="J224" s="24">
        <v>0</v>
      </c>
      <c r="K224" s="24">
        <v>0</v>
      </c>
      <c r="L224" s="24">
        <v>0</v>
      </c>
      <c r="M224" s="25">
        <f>49.83514/1000</f>
        <v>4.983514E-2</v>
      </c>
      <c r="N224" s="24">
        <v>0</v>
      </c>
      <c r="O224" s="25">
        <v>0</v>
      </c>
      <c r="P224" s="24">
        <v>0</v>
      </c>
      <c r="Q224" s="25">
        <v>0</v>
      </c>
      <c r="R224" s="25" t="s">
        <v>50</v>
      </c>
      <c r="S224" s="24">
        <f t="shared" si="30"/>
        <v>-4.983514E-2</v>
      </c>
      <c r="T224" s="24">
        <f t="shared" si="28"/>
        <v>4.983514E-2</v>
      </c>
      <c r="U224" s="26">
        <v>100</v>
      </c>
      <c r="V224" s="60" t="s">
        <v>709</v>
      </c>
    </row>
    <row r="225" spans="1:22" x14ac:dyDescent="0.25">
      <c r="A225" s="42" t="s">
        <v>28</v>
      </c>
      <c r="B225" s="27" t="s">
        <v>163</v>
      </c>
      <c r="C225" s="53" t="s">
        <v>164</v>
      </c>
      <c r="D225" s="24">
        <v>3.8779456232843963E-2</v>
      </c>
      <c r="E225" s="24">
        <v>0</v>
      </c>
      <c r="F225" s="25" t="s">
        <v>50</v>
      </c>
      <c r="G225" s="24">
        <v>0.30170416949152606</v>
      </c>
      <c r="H225" s="24">
        <f t="shared" si="27"/>
        <v>0.30170416949152606</v>
      </c>
      <c r="I225" s="24">
        <f t="shared" si="27"/>
        <v>0.32866076</v>
      </c>
      <c r="J225" s="24">
        <v>0</v>
      </c>
      <c r="K225" s="24">
        <v>0</v>
      </c>
      <c r="L225" s="24">
        <v>0.30170416949152606</v>
      </c>
      <c r="M225" s="25">
        <v>0</v>
      </c>
      <c r="N225" s="24">
        <v>0</v>
      </c>
      <c r="O225" s="25">
        <v>0</v>
      </c>
      <c r="P225" s="24">
        <v>0</v>
      </c>
      <c r="Q225" s="25">
        <v>0.32866076</v>
      </c>
      <c r="R225" s="25" t="s">
        <v>50</v>
      </c>
      <c r="S225" s="24">
        <f t="shared" si="30"/>
        <v>-2.6956590508473932E-2</v>
      </c>
      <c r="T225" s="24">
        <f t="shared" si="28"/>
        <v>2.6956590508473932E-2</v>
      </c>
      <c r="U225" s="26">
        <f t="shared" si="29"/>
        <v>8.9347755962090076</v>
      </c>
      <c r="V225" s="44" t="s">
        <v>50</v>
      </c>
    </row>
    <row r="226" spans="1:22" x14ac:dyDescent="0.25">
      <c r="A226" s="42" t="s">
        <v>28</v>
      </c>
      <c r="B226" s="27" t="s">
        <v>165</v>
      </c>
      <c r="C226" s="53" t="s">
        <v>166</v>
      </c>
      <c r="D226" s="24">
        <v>3.8779456232843963E-2</v>
      </c>
      <c r="E226" s="24">
        <v>0</v>
      </c>
      <c r="F226" s="25" t="s">
        <v>50</v>
      </c>
      <c r="G226" s="24">
        <v>0.30170416949152606</v>
      </c>
      <c r="H226" s="24">
        <f t="shared" si="27"/>
        <v>0.30170416949152606</v>
      </c>
      <c r="I226" s="24">
        <f t="shared" si="27"/>
        <v>0.32823268</v>
      </c>
      <c r="J226" s="24">
        <v>0</v>
      </c>
      <c r="K226" s="24">
        <v>0</v>
      </c>
      <c r="L226" s="24">
        <v>0.30170416949152606</v>
      </c>
      <c r="M226" s="25">
        <v>0</v>
      </c>
      <c r="N226" s="24">
        <v>0</v>
      </c>
      <c r="O226" s="25">
        <v>0</v>
      </c>
      <c r="P226" s="24">
        <v>0</v>
      </c>
      <c r="Q226" s="25">
        <v>0.32823268</v>
      </c>
      <c r="R226" s="25" t="s">
        <v>50</v>
      </c>
      <c r="S226" s="24">
        <f t="shared" si="30"/>
        <v>-2.6528510508473935E-2</v>
      </c>
      <c r="T226" s="24">
        <f t="shared" si="28"/>
        <v>2.6528510508473935E-2</v>
      </c>
      <c r="U226" s="26">
        <f t="shared" si="29"/>
        <v>8.7928882630901199</v>
      </c>
      <c r="V226" s="44" t="s">
        <v>50</v>
      </c>
    </row>
    <row r="227" spans="1:22" x14ac:dyDescent="0.25">
      <c r="A227" s="42" t="s">
        <v>28</v>
      </c>
      <c r="B227" s="27" t="s">
        <v>167</v>
      </c>
      <c r="C227" s="53" t="s">
        <v>168</v>
      </c>
      <c r="D227" s="24">
        <v>3.8779456232843963E-2</v>
      </c>
      <c r="E227" s="24">
        <v>0</v>
      </c>
      <c r="F227" s="25" t="s">
        <v>50</v>
      </c>
      <c r="G227" s="24">
        <v>0.30170416949152606</v>
      </c>
      <c r="H227" s="24">
        <f t="shared" si="27"/>
        <v>0.30170416949152606</v>
      </c>
      <c r="I227" s="24">
        <f t="shared" si="27"/>
        <v>0.32471220000000001</v>
      </c>
      <c r="J227" s="24">
        <v>0</v>
      </c>
      <c r="K227" s="24">
        <v>0</v>
      </c>
      <c r="L227" s="24">
        <v>0</v>
      </c>
      <c r="M227" s="25">
        <v>0</v>
      </c>
      <c r="N227" s="24">
        <v>0.30170416949152606</v>
      </c>
      <c r="O227" s="25">
        <v>0.32471220000000001</v>
      </c>
      <c r="P227" s="24">
        <v>0</v>
      </c>
      <c r="Q227" s="25">
        <v>0</v>
      </c>
      <c r="R227" s="25" t="s">
        <v>50</v>
      </c>
      <c r="S227" s="24">
        <f t="shared" si="30"/>
        <v>-2.3008030508473942E-2</v>
      </c>
      <c r="T227" s="24">
        <f t="shared" si="28"/>
        <v>2.3008030508473942E-2</v>
      </c>
      <c r="U227" s="26">
        <f t="shared" si="29"/>
        <v>7.6260233815297624</v>
      </c>
      <c r="V227" s="44" t="s">
        <v>50</v>
      </c>
    </row>
    <row r="228" spans="1:22" x14ac:dyDescent="0.25">
      <c r="A228" s="42" t="s">
        <v>28</v>
      </c>
      <c r="B228" s="27" t="s">
        <v>169</v>
      </c>
      <c r="C228" s="53" t="s">
        <v>170</v>
      </c>
      <c r="D228" s="24">
        <v>3.8779456232843963E-2</v>
      </c>
      <c r="E228" s="24">
        <v>0</v>
      </c>
      <c r="F228" s="25" t="s">
        <v>50</v>
      </c>
      <c r="G228" s="24">
        <v>0.30170416949152606</v>
      </c>
      <c r="H228" s="24">
        <f t="shared" si="27"/>
        <v>0.30170416949152606</v>
      </c>
      <c r="I228" s="24">
        <f t="shared" si="27"/>
        <v>0.32687486999999998</v>
      </c>
      <c r="J228" s="24">
        <v>0</v>
      </c>
      <c r="K228" s="24">
        <v>0</v>
      </c>
      <c r="L228" s="24">
        <v>0</v>
      </c>
      <c r="M228" s="25">
        <v>0</v>
      </c>
      <c r="N228" s="24">
        <v>0.30170416949152606</v>
      </c>
      <c r="O228" s="25">
        <v>0.32687486999999998</v>
      </c>
      <c r="P228" s="24">
        <v>0</v>
      </c>
      <c r="Q228" s="25">
        <v>0</v>
      </c>
      <c r="R228" s="25" t="s">
        <v>50</v>
      </c>
      <c r="S228" s="24">
        <f t="shared" si="30"/>
        <v>-2.517070050847392E-2</v>
      </c>
      <c r="T228" s="24">
        <f t="shared" si="28"/>
        <v>2.517070050847392E-2</v>
      </c>
      <c r="U228" s="26">
        <f t="shared" si="29"/>
        <v>8.3428414499193195</v>
      </c>
      <c r="V228" s="44" t="s">
        <v>50</v>
      </c>
    </row>
    <row r="229" spans="1:22" ht="27" customHeight="1" x14ac:dyDescent="0.25">
      <c r="A229" s="42" t="s">
        <v>28</v>
      </c>
      <c r="B229" s="27" t="s">
        <v>171</v>
      </c>
      <c r="C229" s="53" t="s">
        <v>172</v>
      </c>
      <c r="D229" s="24">
        <v>3.8779456232843963E-2</v>
      </c>
      <c r="E229" s="24">
        <v>0</v>
      </c>
      <c r="F229" s="25" t="s">
        <v>50</v>
      </c>
      <c r="G229" s="24">
        <v>0.30170416949152606</v>
      </c>
      <c r="H229" s="24">
        <f t="shared" si="27"/>
        <v>0.30170416949152606</v>
      </c>
      <c r="I229" s="24">
        <f t="shared" si="27"/>
        <v>0.31590541999999999</v>
      </c>
      <c r="J229" s="24">
        <v>0</v>
      </c>
      <c r="K229" s="24">
        <v>0</v>
      </c>
      <c r="L229" s="24">
        <v>0</v>
      </c>
      <c r="M229" s="25">
        <v>0</v>
      </c>
      <c r="N229" s="24">
        <v>0.30170416949152606</v>
      </c>
      <c r="O229" s="25">
        <v>0</v>
      </c>
      <c r="P229" s="24">
        <v>0</v>
      </c>
      <c r="Q229" s="25">
        <v>0.31590541999999999</v>
      </c>
      <c r="R229" s="25" t="s">
        <v>50</v>
      </c>
      <c r="S229" s="24">
        <f t="shared" si="30"/>
        <v>-1.4201250508473928E-2</v>
      </c>
      <c r="T229" s="24">
        <f t="shared" si="28"/>
        <v>1.4201250508473928E-2</v>
      </c>
      <c r="U229" s="26">
        <f t="shared" si="29"/>
        <v>4.7070116837986831</v>
      </c>
      <c r="V229" s="44" t="s">
        <v>50</v>
      </c>
    </row>
    <row r="230" spans="1:22" ht="34.5" customHeight="1" x14ac:dyDescent="0.25">
      <c r="A230" s="42" t="s">
        <v>28</v>
      </c>
      <c r="B230" s="27" t="s">
        <v>173</v>
      </c>
      <c r="C230" s="53" t="s">
        <v>174</v>
      </c>
      <c r="D230" s="24">
        <v>3.8779456232843963E-2</v>
      </c>
      <c r="E230" s="24">
        <v>0</v>
      </c>
      <c r="F230" s="25" t="s">
        <v>50</v>
      </c>
      <c r="G230" s="24">
        <v>0.30170416949152606</v>
      </c>
      <c r="H230" s="24">
        <f t="shared" si="27"/>
        <v>0.30170416949152606</v>
      </c>
      <c r="I230" s="24">
        <f t="shared" si="27"/>
        <v>0.24279983999999999</v>
      </c>
      <c r="J230" s="24">
        <v>0</v>
      </c>
      <c r="K230" s="24">
        <v>0</v>
      </c>
      <c r="L230" s="24">
        <v>0</v>
      </c>
      <c r="M230" s="25">
        <v>0</v>
      </c>
      <c r="N230" s="24">
        <v>0.30170416949152606</v>
      </c>
      <c r="O230" s="25">
        <v>0</v>
      </c>
      <c r="P230" s="24">
        <v>0</v>
      </c>
      <c r="Q230" s="25">
        <v>0.24279983999999999</v>
      </c>
      <c r="R230" s="25" t="s">
        <v>50</v>
      </c>
      <c r="S230" s="24">
        <f t="shared" si="30"/>
        <v>5.8904329491526075E-2</v>
      </c>
      <c r="T230" s="24">
        <f t="shared" si="28"/>
        <v>-5.8904329491526075E-2</v>
      </c>
      <c r="U230" s="26">
        <f t="shared" si="29"/>
        <v>-19.523869885789068</v>
      </c>
      <c r="V230" s="60" t="s">
        <v>988</v>
      </c>
    </row>
    <row r="231" spans="1:22" x14ac:dyDescent="0.25">
      <c r="A231" s="42" t="s">
        <v>28</v>
      </c>
      <c r="B231" s="27" t="s">
        <v>175</v>
      </c>
      <c r="C231" s="53" t="s">
        <v>176</v>
      </c>
      <c r="D231" s="24">
        <v>9.6948640582109891E-2</v>
      </c>
      <c r="E231" s="24">
        <v>0</v>
      </c>
      <c r="F231" s="25" t="s">
        <v>50</v>
      </c>
      <c r="G231" s="24">
        <v>0.75426042372881497</v>
      </c>
      <c r="H231" s="24">
        <f t="shared" si="27"/>
        <v>0.75426042372881497</v>
      </c>
      <c r="I231" s="24">
        <f t="shared" si="27"/>
        <v>0.69525491999999989</v>
      </c>
      <c r="J231" s="24">
        <v>0</v>
      </c>
      <c r="K231" s="24">
        <v>0</v>
      </c>
      <c r="L231" s="24">
        <v>0</v>
      </c>
      <c r="M231" s="25">
        <v>0</v>
      </c>
      <c r="N231" s="24">
        <v>0.75426042372881497</v>
      </c>
      <c r="O231" s="25">
        <v>0</v>
      </c>
      <c r="P231" s="24">
        <v>0</v>
      </c>
      <c r="Q231" s="25">
        <v>0.69525491999999989</v>
      </c>
      <c r="R231" s="25" t="s">
        <v>50</v>
      </c>
      <c r="S231" s="24">
        <f t="shared" si="30"/>
        <v>5.9005503728815079E-2</v>
      </c>
      <c r="T231" s="24">
        <f t="shared" si="28"/>
        <v>-5.9005503728815079E-2</v>
      </c>
      <c r="U231" s="26">
        <f t="shared" si="29"/>
        <v>-7.8229616552213344</v>
      </c>
      <c r="V231" s="44" t="s">
        <v>50</v>
      </c>
    </row>
    <row r="232" spans="1:22" x14ac:dyDescent="0.25">
      <c r="A232" s="42" t="s">
        <v>28</v>
      </c>
      <c r="B232" s="27" t="s">
        <v>177</v>
      </c>
      <c r="C232" s="53" t="s">
        <v>178</v>
      </c>
      <c r="D232" s="24">
        <v>3.8779456232843963E-2</v>
      </c>
      <c r="E232" s="24">
        <v>0</v>
      </c>
      <c r="F232" s="25" t="s">
        <v>50</v>
      </c>
      <c r="G232" s="24">
        <v>0.30170416949152606</v>
      </c>
      <c r="H232" s="24">
        <f t="shared" si="27"/>
        <v>0.30170416949152606</v>
      </c>
      <c r="I232" s="24">
        <f t="shared" si="27"/>
        <v>0.31520444999999997</v>
      </c>
      <c r="J232" s="24">
        <v>0</v>
      </c>
      <c r="K232" s="24">
        <v>0</v>
      </c>
      <c r="L232" s="24">
        <v>0</v>
      </c>
      <c r="M232" s="25">
        <v>0</v>
      </c>
      <c r="N232" s="24">
        <v>0.30170416949152606</v>
      </c>
      <c r="O232" s="25">
        <v>0</v>
      </c>
      <c r="P232" s="24">
        <v>0</v>
      </c>
      <c r="Q232" s="25">
        <v>0.31520444999999997</v>
      </c>
      <c r="R232" s="25" t="s">
        <v>50</v>
      </c>
      <c r="S232" s="24">
        <f t="shared" si="30"/>
        <v>-1.3500280508473905E-2</v>
      </c>
      <c r="T232" s="24">
        <f t="shared" si="28"/>
        <v>1.3500280508473905E-2</v>
      </c>
      <c r="U232" s="26">
        <f t="shared" si="29"/>
        <v>4.4746748217720835</v>
      </c>
      <c r="V232" s="44" t="s">
        <v>50</v>
      </c>
    </row>
    <row r="233" spans="1:22" ht="45" customHeight="1" x14ac:dyDescent="0.25">
      <c r="A233" s="42" t="s">
        <v>28</v>
      </c>
      <c r="B233" s="27" t="s">
        <v>179</v>
      </c>
      <c r="C233" s="53" t="s">
        <v>180</v>
      </c>
      <c r="D233" s="24">
        <v>0.35352442159383035</v>
      </c>
      <c r="E233" s="24">
        <v>0</v>
      </c>
      <c r="F233" s="25" t="s">
        <v>50</v>
      </c>
      <c r="G233" s="24">
        <v>2.7504200000000001</v>
      </c>
      <c r="H233" s="24">
        <f t="shared" si="27"/>
        <v>2.7504200000000001</v>
      </c>
      <c r="I233" s="24">
        <f t="shared" si="27"/>
        <v>0</v>
      </c>
      <c r="J233" s="24">
        <v>0.27504200000000001</v>
      </c>
      <c r="K233" s="24">
        <v>0</v>
      </c>
      <c r="L233" s="24">
        <v>0.82512600000000003</v>
      </c>
      <c r="M233" s="25">
        <v>0</v>
      </c>
      <c r="N233" s="24">
        <v>0.82512600000000003</v>
      </c>
      <c r="O233" s="25">
        <v>0</v>
      </c>
      <c r="P233" s="24">
        <v>0.82512600000000003</v>
      </c>
      <c r="Q233" s="25">
        <v>0</v>
      </c>
      <c r="R233" s="25" t="s">
        <v>50</v>
      </c>
      <c r="S233" s="24">
        <f t="shared" si="30"/>
        <v>2.7504200000000001</v>
      </c>
      <c r="T233" s="24">
        <f t="shared" si="28"/>
        <v>-2.7504200000000001</v>
      </c>
      <c r="U233" s="26">
        <f t="shared" si="29"/>
        <v>-100</v>
      </c>
      <c r="V233" s="103" t="s">
        <v>730</v>
      </c>
    </row>
    <row r="234" spans="1:22" ht="26.25" x14ac:dyDescent="0.25">
      <c r="A234" s="28" t="s">
        <v>28</v>
      </c>
      <c r="B234" s="35" t="s">
        <v>387</v>
      </c>
      <c r="C234" s="52" t="s">
        <v>182</v>
      </c>
      <c r="D234" s="24">
        <v>0</v>
      </c>
      <c r="E234" s="24">
        <v>0</v>
      </c>
      <c r="F234" s="25" t="s">
        <v>50</v>
      </c>
      <c r="G234" s="24">
        <v>0</v>
      </c>
      <c r="H234" s="24">
        <f t="shared" si="27"/>
        <v>0</v>
      </c>
      <c r="I234" s="24">
        <f t="shared" si="27"/>
        <v>0.22664614</v>
      </c>
      <c r="J234" s="24">
        <v>0</v>
      </c>
      <c r="K234" s="24">
        <f>226.64614/1000</f>
        <v>0.22664614</v>
      </c>
      <c r="L234" s="24">
        <v>0</v>
      </c>
      <c r="M234" s="25">
        <v>0</v>
      </c>
      <c r="N234" s="24">
        <v>0</v>
      </c>
      <c r="O234" s="25">
        <v>0</v>
      </c>
      <c r="P234" s="24">
        <v>0</v>
      </c>
      <c r="Q234" s="25">
        <v>0</v>
      </c>
      <c r="R234" s="25" t="s">
        <v>50</v>
      </c>
      <c r="S234" s="24">
        <f t="shared" si="30"/>
        <v>-0.22664614</v>
      </c>
      <c r="T234" s="24">
        <f t="shared" si="28"/>
        <v>0.22664614</v>
      </c>
      <c r="U234" s="26">
        <v>100</v>
      </c>
      <c r="V234" s="104"/>
    </row>
    <row r="235" spans="1:22" ht="26.25" x14ac:dyDescent="0.25">
      <c r="A235" s="28" t="s">
        <v>28</v>
      </c>
      <c r="B235" s="35" t="s">
        <v>555</v>
      </c>
      <c r="C235" s="52" t="s">
        <v>556</v>
      </c>
      <c r="D235" s="24">
        <v>0</v>
      </c>
      <c r="E235" s="24">
        <v>0</v>
      </c>
      <c r="F235" s="25" t="s">
        <v>50</v>
      </c>
      <c r="G235" s="24">
        <v>0</v>
      </c>
      <c r="H235" s="24">
        <f t="shared" si="27"/>
        <v>0</v>
      </c>
      <c r="I235" s="24">
        <f t="shared" si="27"/>
        <v>0.21229489000000001</v>
      </c>
      <c r="J235" s="24">
        <v>0</v>
      </c>
      <c r="K235" s="24">
        <v>0</v>
      </c>
      <c r="L235" s="24">
        <v>0</v>
      </c>
      <c r="M235" s="25">
        <f>212.29489/1000</f>
        <v>0.21229489000000001</v>
      </c>
      <c r="N235" s="24">
        <v>0</v>
      </c>
      <c r="O235" s="25">
        <v>0</v>
      </c>
      <c r="P235" s="24">
        <v>0</v>
      </c>
      <c r="Q235" s="25">
        <v>0</v>
      </c>
      <c r="R235" s="25" t="s">
        <v>50</v>
      </c>
      <c r="S235" s="24">
        <f t="shared" si="30"/>
        <v>-0.21229489000000001</v>
      </c>
      <c r="T235" s="24">
        <f t="shared" si="28"/>
        <v>0.21229489000000001</v>
      </c>
      <c r="U235" s="26">
        <v>100</v>
      </c>
      <c r="V235" s="104"/>
    </row>
    <row r="236" spans="1:22" ht="26.25" x14ac:dyDescent="0.25">
      <c r="A236" s="28" t="s">
        <v>28</v>
      </c>
      <c r="B236" s="35" t="s">
        <v>557</v>
      </c>
      <c r="C236" s="52" t="s">
        <v>560</v>
      </c>
      <c r="D236" s="24">
        <v>0</v>
      </c>
      <c r="E236" s="24">
        <v>0</v>
      </c>
      <c r="F236" s="25" t="s">
        <v>50</v>
      </c>
      <c r="G236" s="24">
        <v>0</v>
      </c>
      <c r="H236" s="24">
        <f t="shared" si="27"/>
        <v>0</v>
      </c>
      <c r="I236" s="24">
        <f t="shared" si="27"/>
        <v>0.21394033999999998</v>
      </c>
      <c r="J236" s="24">
        <v>0</v>
      </c>
      <c r="K236" s="24">
        <v>0</v>
      </c>
      <c r="L236" s="24">
        <v>0</v>
      </c>
      <c r="M236" s="25">
        <f>213.94034/1000</f>
        <v>0.21394033999999998</v>
      </c>
      <c r="N236" s="24">
        <v>0</v>
      </c>
      <c r="O236" s="25">
        <v>0</v>
      </c>
      <c r="P236" s="24">
        <v>0</v>
      </c>
      <c r="Q236" s="25">
        <v>0</v>
      </c>
      <c r="R236" s="25" t="s">
        <v>50</v>
      </c>
      <c r="S236" s="24">
        <f t="shared" si="30"/>
        <v>-0.21394033999999998</v>
      </c>
      <c r="T236" s="24">
        <f t="shared" si="28"/>
        <v>0.21394033999999998</v>
      </c>
      <c r="U236" s="26">
        <v>100</v>
      </c>
      <c r="V236" s="104"/>
    </row>
    <row r="237" spans="1:22" ht="26.25" x14ac:dyDescent="0.25">
      <c r="A237" s="28" t="s">
        <v>28</v>
      </c>
      <c r="B237" s="35" t="s">
        <v>559</v>
      </c>
      <c r="C237" s="52" t="s">
        <v>664</v>
      </c>
      <c r="D237" s="24">
        <v>0</v>
      </c>
      <c r="E237" s="24">
        <v>0</v>
      </c>
      <c r="F237" s="25" t="s">
        <v>50</v>
      </c>
      <c r="G237" s="24">
        <v>0</v>
      </c>
      <c r="H237" s="24">
        <f t="shared" si="27"/>
        <v>0</v>
      </c>
      <c r="I237" s="24">
        <f t="shared" si="27"/>
        <v>0.22107779999999999</v>
      </c>
      <c r="J237" s="24">
        <v>0</v>
      </c>
      <c r="K237" s="24">
        <v>0</v>
      </c>
      <c r="L237" s="24">
        <v>0</v>
      </c>
      <c r="M237" s="25">
        <f>221.0778/1000</f>
        <v>0.22107779999999999</v>
      </c>
      <c r="N237" s="24">
        <v>0</v>
      </c>
      <c r="O237" s="25">
        <v>0</v>
      </c>
      <c r="P237" s="24">
        <v>0</v>
      </c>
      <c r="Q237" s="25">
        <v>0</v>
      </c>
      <c r="R237" s="25" t="s">
        <v>50</v>
      </c>
      <c r="S237" s="24">
        <f t="shared" si="30"/>
        <v>-0.22107779999999999</v>
      </c>
      <c r="T237" s="24">
        <f t="shared" si="28"/>
        <v>0.22107779999999999</v>
      </c>
      <c r="U237" s="26">
        <v>100</v>
      </c>
      <c r="V237" s="104"/>
    </row>
    <row r="238" spans="1:22" ht="26.25" x14ac:dyDescent="0.25">
      <c r="A238" s="28" t="s">
        <v>28</v>
      </c>
      <c r="B238" s="35" t="s">
        <v>561</v>
      </c>
      <c r="C238" s="52" t="s">
        <v>558</v>
      </c>
      <c r="D238" s="24">
        <v>0</v>
      </c>
      <c r="E238" s="24">
        <v>0</v>
      </c>
      <c r="F238" s="25" t="s">
        <v>50</v>
      </c>
      <c r="G238" s="24">
        <v>0</v>
      </c>
      <c r="H238" s="24">
        <f t="shared" si="27"/>
        <v>0</v>
      </c>
      <c r="I238" s="24">
        <f t="shared" si="27"/>
        <v>1.233266E-2</v>
      </c>
      <c r="J238" s="24">
        <v>0</v>
      </c>
      <c r="K238" s="24">
        <v>0</v>
      </c>
      <c r="L238" s="24">
        <v>0</v>
      </c>
      <c r="M238" s="25">
        <f>12.33266/1000</f>
        <v>1.233266E-2</v>
      </c>
      <c r="N238" s="24">
        <v>0</v>
      </c>
      <c r="O238" s="25">
        <v>0</v>
      </c>
      <c r="P238" s="24">
        <v>0</v>
      </c>
      <c r="Q238" s="25">
        <v>0</v>
      </c>
      <c r="R238" s="25" t="s">
        <v>50</v>
      </c>
      <c r="S238" s="24">
        <f t="shared" si="30"/>
        <v>-1.233266E-2</v>
      </c>
      <c r="T238" s="24">
        <f t="shared" si="28"/>
        <v>1.233266E-2</v>
      </c>
      <c r="U238" s="26">
        <v>100</v>
      </c>
      <c r="V238" s="104"/>
    </row>
    <row r="239" spans="1:22" ht="26.25" x14ac:dyDescent="0.25">
      <c r="A239" s="28" t="s">
        <v>28</v>
      </c>
      <c r="B239" s="35" t="s">
        <v>562</v>
      </c>
      <c r="C239" s="52" t="s">
        <v>798</v>
      </c>
      <c r="D239" s="24">
        <v>0</v>
      </c>
      <c r="E239" s="24">
        <v>0</v>
      </c>
      <c r="F239" s="25" t="s">
        <v>50</v>
      </c>
      <c r="G239" s="24">
        <v>0</v>
      </c>
      <c r="H239" s="24">
        <f t="shared" si="27"/>
        <v>0</v>
      </c>
      <c r="I239" s="24">
        <f t="shared" si="27"/>
        <v>1.430677E-2</v>
      </c>
      <c r="J239" s="24">
        <v>0</v>
      </c>
      <c r="K239" s="24">
        <v>0</v>
      </c>
      <c r="L239" s="24">
        <v>0</v>
      </c>
      <c r="M239" s="25">
        <f>14.30677/1000</f>
        <v>1.430677E-2</v>
      </c>
      <c r="N239" s="24">
        <v>0</v>
      </c>
      <c r="O239" s="25">
        <v>0</v>
      </c>
      <c r="P239" s="24">
        <v>0</v>
      </c>
      <c r="Q239" s="25">
        <v>0</v>
      </c>
      <c r="R239" s="25" t="s">
        <v>50</v>
      </c>
      <c r="S239" s="24">
        <f t="shared" si="30"/>
        <v>-1.430677E-2</v>
      </c>
      <c r="T239" s="24">
        <f t="shared" si="28"/>
        <v>1.430677E-2</v>
      </c>
      <c r="U239" s="26">
        <v>100</v>
      </c>
      <c r="V239" s="104"/>
    </row>
    <row r="240" spans="1:22" ht="26.25" x14ac:dyDescent="0.25">
      <c r="A240" s="28" t="s">
        <v>28</v>
      </c>
      <c r="B240" s="35" t="s">
        <v>563</v>
      </c>
      <c r="C240" s="52" t="s">
        <v>799</v>
      </c>
      <c r="D240" s="24">
        <v>0</v>
      </c>
      <c r="E240" s="24">
        <v>0</v>
      </c>
      <c r="F240" s="25" t="s">
        <v>50</v>
      </c>
      <c r="G240" s="24">
        <v>0</v>
      </c>
      <c r="H240" s="24">
        <f t="shared" si="27"/>
        <v>0</v>
      </c>
      <c r="I240" s="24">
        <f t="shared" si="27"/>
        <v>1.264E-2</v>
      </c>
      <c r="J240" s="24">
        <v>0</v>
      </c>
      <c r="K240" s="24">
        <v>0</v>
      </c>
      <c r="L240" s="24">
        <v>0</v>
      </c>
      <c r="M240" s="25">
        <f>12.64/1000</f>
        <v>1.264E-2</v>
      </c>
      <c r="N240" s="24">
        <v>0</v>
      </c>
      <c r="O240" s="25">
        <v>0</v>
      </c>
      <c r="P240" s="24">
        <v>0</v>
      </c>
      <c r="Q240" s="25">
        <v>0</v>
      </c>
      <c r="R240" s="25" t="s">
        <v>50</v>
      </c>
      <c r="S240" s="24">
        <f t="shared" si="30"/>
        <v>-1.264E-2</v>
      </c>
      <c r="T240" s="24">
        <f t="shared" si="28"/>
        <v>1.264E-2</v>
      </c>
      <c r="U240" s="26">
        <v>100</v>
      </c>
      <c r="V240" s="104"/>
    </row>
    <row r="241" spans="1:22" ht="26.25" x14ac:dyDescent="0.25">
      <c r="A241" s="28" t="s">
        <v>28</v>
      </c>
      <c r="B241" s="35" t="s">
        <v>661</v>
      </c>
      <c r="C241" s="52" t="s">
        <v>666</v>
      </c>
      <c r="D241" s="24">
        <v>0</v>
      </c>
      <c r="E241" s="24">
        <v>0</v>
      </c>
      <c r="F241" s="25" t="s">
        <v>50</v>
      </c>
      <c r="G241" s="24">
        <v>0</v>
      </c>
      <c r="H241" s="24">
        <f t="shared" si="27"/>
        <v>0</v>
      </c>
      <c r="I241" s="24">
        <f t="shared" si="27"/>
        <v>0.20362458</v>
      </c>
      <c r="J241" s="24">
        <v>0</v>
      </c>
      <c r="K241" s="24">
        <v>0</v>
      </c>
      <c r="L241" s="24">
        <v>0</v>
      </c>
      <c r="M241" s="25">
        <v>0</v>
      </c>
      <c r="N241" s="24">
        <v>0</v>
      </c>
      <c r="O241" s="25">
        <v>0.20362458</v>
      </c>
      <c r="P241" s="24">
        <v>0</v>
      </c>
      <c r="Q241" s="25">
        <v>0</v>
      </c>
      <c r="R241" s="25" t="s">
        <v>50</v>
      </c>
      <c r="S241" s="24">
        <f t="shared" si="30"/>
        <v>-0.20362458</v>
      </c>
      <c r="T241" s="24">
        <f t="shared" si="28"/>
        <v>0.20362458</v>
      </c>
      <c r="U241" s="26">
        <v>100</v>
      </c>
      <c r="V241" s="104"/>
    </row>
    <row r="242" spans="1:22" ht="26.25" x14ac:dyDescent="0.25">
      <c r="A242" s="28" t="s">
        <v>28</v>
      </c>
      <c r="B242" s="35" t="s">
        <v>662</v>
      </c>
      <c r="C242" s="52" t="s">
        <v>800</v>
      </c>
      <c r="D242" s="24">
        <v>0</v>
      </c>
      <c r="E242" s="24">
        <v>0</v>
      </c>
      <c r="F242" s="25" t="s">
        <v>50</v>
      </c>
      <c r="G242" s="24">
        <v>0</v>
      </c>
      <c r="H242" s="24">
        <f t="shared" si="27"/>
        <v>0</v>
      </c>
      <c r="I242" s="24">
        <f t="shared" si="27"/>
        <v>0.21475926000000001</v>
      </c>
      <c r="J242" s="24">
        <v>0</v>
      </c>
      <c r="K242" s="24">
        <v>0</v>
      </c>
      <c r="L242" s="24">
        <v>0</v>
      </c>
      <c r="M242" s="25">
        <v>0</v>
      </c>
      <c r="N242" s="24">
        <v>0</v>
      </c>
      <c r="O242" s="25">
        <v>0.21475926000000001</v>
      </c>
      <c r="P242" s="24">
        <v>0</v>
      </c>
      <c r="Q242" s="25">
        <v>0</v>
      </c>
      <c r="R242" s="25" t="s">
        <v>50</v>
      </c>
      <c r="S242" s="24">
        <f t="shared" si="30"/>
        <v>-0.21475926000000001</v>
      </c>
      <c r="T242" s="24">
        <f t="shared" si="28"/>
        <v>0.21475926000000001</v>
      </c>
      <c r="U242" s="26">
        <v>100</v>
      </c>
      <c r="V242" s="104"/>
    </row>
    <row r="243" spans="1:22" ht="26.25" x14ac:dyDescent="0.25">
      <c r="A243" s="28" t="s">
        <v>28</v>
      </c>
      <c r="B243" s="35" t="s">
        <v>663</v>
      </c>
      <c r="C243" s="52" t="s">
        <v>801</v>
      </c>
      <c r="D243" s="24">
        <v>0</v>
      </c>
      <c r="E243" s="24">
        <v>0</v>
      </c>
      <c r="F243" s="25" t="s">
        <v>50</v>
      </c>
      <c r="G243" s="24">
        <v>0</v>
      </c>
      <c r="H243" s="24">
        <f t="shared" si="27"/>
        <v>0</v>
      </c>
      <c r="I243" s="24">
        <f t="shared" si="27"/>
        <v>0.46704027999999997</v>
      </c>
      <c r="J243" s="24">
        <v>0</v>
      </c>
      <c r="K243" s="24">
        <v>0</v>
      </c>
      <c r="L243" s="24">
        <v>0</v>
      </c>
      <c r="M243" s="25">
        <v>0</v>
      </c>
      <c r="N243" s="24">
        <v>0</v>
      </c>
      <c r="O243" s="25">
        <v>0.46704027999999997</v>
      </c>
      <c r="P243" s="24">
        <v>0</v>
      </c>
      <c r="Q243" s="25">
        <v>0</v>
      </c>
      <c r="R243" s="25" t="s">
        <v>50</v>
      </c>
      <c r="S243" s="24">
        <f t="shared" si="30"/>
        <v>-0.46704027999999997</v>
      </c>
      <c r="T243" s="24">
        <f t="shared" si="28"/>
        <v>0.46704027999999997</v>
      </c>
      <c r="U243" s="26">
        <v>100</v>
      </c>
      <c r="V243" s="104"/>
    </row>
    <row r="244" spans="1:22" ht="26.25" x14ac:dyDescent="0.25">
      <c r="A244" s="28" t="s">
        <v>28</v>
      </c>
      <c r="B244" s="35" t="s">
        <v>665</v>
      </c>
      <c r="C244" s="52" t="s">
        <v>802</v>
      </c>
      <c r="D244" s="24">
        <v>0</v>
      </c>
      <c r="E244" s="24">
        <v>0</v>
      </c>
      <c r="F244" s="25" t="s">
        <v>50</v>
      </c>
      <c r="G244" s="24">
        <v>0</v>
      </c>
      <c r="H244" s="24">
        <f t="shared" si="27"/>
        <v>0</v>
      </c>
      <c r="I244" s="24">
        <f t="shared" si="27"/>
        <v>0.40753115000000001</v>
      </c>
      <c r="J244" s="24">
        <v>0</v>
      </c>
      <c r="K244" s="24">
        <v>0</v>
      </c>
      <c r="L244" s="24">
        <v>0</v>
      </c>
      <c r="M244" s="25">
        <v>0</v>
      </c>
      <c r="N244" s="24">
        <v>0</v>
      </c>
      <c r="O244" s="25">
        <v>0.40753115000000001</v>
      </c>
      <c r="P244" s="24">
        <v>0</v>
      </c>
      <c r="Q244" s="25">
        <v>0</v>
      </c>
      <c r="R244" s="25" t="s">
        <v>50</v>
      </c>
      <c r="S244" s="24">
        <f t="shared" si="30"/>
        <v>-0.40753115000000001</v>
      </c>
      <c r="T244" s="24">
        <f t="shared" si="28"/>
        <v>0.40753115000000001</v>
      </c>
      <c r="U244" s="26">
        <v>100</v>
      </c>
      <c r="V244" s="104"/>
    </row>
    <row r="245" spans="1:22" ht="26.25" x14ac:dyDescent="0.25">
      <c r="A245" s="28" t="s">
        <v>28</v>
      </c>
      <c r="B245" s="35" t="s">
        <v>803</v>
      </c>
      <c r="C245" s="52" t="s">
        <v>804</v>
      </c>
      <c r="D245" s="24">
        <v>0</v>
      </c>
      <c r="E245" s="24">
        <v>0</v>
      </c>
      <c r="F245" s="25" t="s">
        <v>50</v>
      </c>
      <c r="G245" s="24">
        <v>0</v>
      </c>
      <c r="H245" s="24">
        <v>0</v>
      </c>
      <c r="I245" s="24">
        <f t="shared" si="27"/>
        <v>0.20914785999999996</v>
      </c>
      <c r="J245" s="24">
        <v>0</v>
      </c>
      <c r="K245" s="24">
        <v>0</v>
      </c>
      <c r="L245" s="24">
        <v>0</v>
      </c>
      <c r="M245" s="25">
        <v>0</v>
      </c>
      <c r="N245" s="24">
        <v>0</v>
      </c>
      <c r="O245" s="25">
        <v>0</v>
      </c>
      <c r="P245" s="24">
        <v>0</v>
      </c>
      <c r="Q245" s="25">
        <v>0.20914785999999996</v>
      </c>
      <c r="R245" s="25" t="s">
        <v>50</v>
      </c>
      <c r="S245" s="24">
        <f t="shared" si="30"/>
        <v>-0.20914785999999996</v>
      </c>
      <c r="T245" s="24">
        <f t="shared" si="28"/>
        <v>0.20914785999999996</v>
      </c>
      <c r="U245" s="26">
        <v>100</v>
      </c>
      <c r="V245" s="104"/>
    </row>
    <row r="246" spans="1:22" ht="26.25" x14ac:dyDescent="0.25">
      <c r="A246" s="28" t="s">
        <v>28</v>
      </c>
      <c r="B246" s="35" t="s">
        <v>805</v>
      </c>
      <c r="C246" s="52" t="s">
        <v>806</v>
      </c>
      <c r="D246" s="24">
        <v>0</v>
      </c>
      <c r="E246" s="24">
        <v>0</v>
      </c>
      <c r="F246" s="25" t="s">
        <v>50</v>
      </c>
      <c r="G246" s="24">
        <v>0</v>
      </c>
      <c r="H246" s="24">
        <v>0</v>
      </c>
      <c r="I246" s="24">
        <f t="shared" si="27"/>
        <v>0.20313268000000001</v>
      </c>
      <c r="J246" s="24">
        <v>0</v>
      </c>
      <c r="K246" s="24">
        <v>0</v>
      </c>
      <c r="L246" s="24">
        <v>0</v>
      </c>
      <c r="M246" s="25">
        <v>0</v>
      </c>
      <c r="N246" s="24">
        <v>0</v>
      </c>
      <c r="O246" s="25">
        <v>0</v>
      </c>
      <c r="P246" s="24">
        <v>0</v>
      </c>
      <c r="Q246" s="25">
        <v>0.20313268000000001</v>
      </c>
      <c r="R246" s="25" t="s">
        <v>50</v>
      </c>
      <c r="S246" s="24">
        <f t="shared" si="30"/>
        <v>-0.20313268000000001</v>
      </c>
      <c r="T246" s="24">
        <f t="shared" si="28"/>
        <v>0.20313268000000001</v>
      </c>
      <c r="U246" s="26">
        <v>100</v>
      </c>
      <c r="V246" s="104"/>
    </row>
    <row r="247" spans="1:22" ht="26.25" x14ac:dyDescent="0.25">
      <c r="A247" s="28" t="s">
        <v>28</v>
      </c>
      <c r="B247" s="35" t="s">
        <v>807</v>
      </c>
      <c r="C247" s="52" t="s">
        <v>808</v>
      </c>
      <c r="D247" s="24">
        <v>0</v>
      </c>
      <c r="E247" s="24">
        <v>0</v>
      </c>
      <c r="F247" s="25" t="s">
        <v>50</v>
      </c>
      <c r="G247" s="24">
        <v>0</v>
      </c>
      <c r="H247" s="24">
        <v>0</v>
      </c>
      <c r="I247" s="24">
        <f t="shared" si="27"/>
        <v>0</v>
      </c>
      <c r="J247" s="24">
        <v>0</v>
      </c>
      <c r="K247" s="24">
        <v>0</v>
      </c>
      <c r="L247" s="24">
        <v>0</v>
      </c>
      <c r="M247" s="25">
        <v>0</v>
      </c>
      <c r="N247" s="24">
        <v>0</v>
      </c>
      <c r="O247" s="25">
        <v>0</v>
      </c>
      <c r="P247" s="24">
        <v>0</v>
      </c>
      <c r="Q247" s="25">
        <v>0</v>
      </c>
      <c r="R247" s="25" t="s">
        <v>50</v>
      </c>
      <c r="S247" s="24">
        <f t="shared" si="30"/>
        <v>0</v>
      </c>
      <c r="T247" s="24">
        <f t="shared" si="28"/>
        <v>0</v>
      </c>
      <c r="U247" s="26">
        <v>0</v>
      </c>
      <c r="V247" s="104"/>
    </row>
    <row r="248" spans="1:22" ht="26.25" x14ac:dyDescent="0.25">
      <c r="A248" s="28" t="s">
        <v>28</v>
      </c>
      <c r="B248" s="35" t="s">
        <v>809</v>
      </c>
      <c r="C248" s="52" t="s">
        <v>810</v>
      </c>
      <c r="D248" s="24">
        <v>0</v>
      </c>
      <c r="E248" s="24">
        <v>0</v>
      </c>
      <c r="F248" s="25" t="s">
        <v>50</v>
      </c>
      <c r="G248" s="24">
        <v>0</v>
      </c>
      <c r="H248" s="24">
        <v>0</v>
      </c>
      <c r="I248" s="24">
        <f t="shared" si="27"/>
        <v>0.17944111000000001</v>
      </c>
      <c r="J248" s="24">
        <v>0</v>
      </c>
      <c r="K248" s="24">
        <v>0</v>
      </c>
      <c r="L248" s="24">
        <v>0</v>
      </c>
      <c r="M248" s="25">
        <v>0</v>
      </c>
      <c r="N248" s="24">
        <v>0</v>
      </c>
      <c r="O248" s="25">
        <v>0</v>
      </c>
      <c r="P248" s="24">
        <v>0</v>
      </c>
      <c r="Q248" s="25">
        <v>0.17944111000000001</v>
      </c>
      <c r="R248" s="25" t="s">
        <v>50</v>
      </c>
      <c r="S248" s="24">
        <f t="shared" si="30"/>
        <v>-0.17944111000000001</v>
      </c>
      <c r="T248" s="24">
        <f t="shared" si="28"/>
        <v>0.17944111000000001</v>
      </c>
      <c r="U248" s="26">
        <v>100</v>
      </c>
      <c r="V248" s="104"/>
    </row>
    <row r="249" spans="1:22" ht="26.25" x14ac:dyDescent="0.25">
      <c r="A249" s="42" t="s">
        <v>28</v>
      </c>
      <c r="B249" s="27" t="s">
        <v>181</v>
      </c>
      <c r="C249" s="53" t="s">
        <v>811</v>
      </c>
      <c r="D249" s="24">
        <v>0.40798827937780463</v>
      </c>
      <c r="E249" s="24">
        <v>0</v>
      </c>
      <c r="F249" s="25" t="s">
        <v>50</v>
      </c>
      <c r="G249" s="24">
        <v>3.1741488135593192</v>
      </c>
      <c r="H249" s="24">
        <f t="shared" si="27"/>
        <v>3.1741488135593192</v>
      </c>
      <c r="I249" s="24">
        <f t="shared" si="27"/>
        <v>0</v>
      </c>
      <c r="J249" s="24">
        <v>0.31741488135593193</v>
      </c>
      <c r="K249" s="24">
        <v>0</v>
      </c>
      <c r="L249" s="24">
        <v>0.95224464406779563</v>
      </c>
      <c r="M249" s="25">
        <v>0</v>
      </c>
      <c r="N249" s="24">
        <v>0.95224464406779563</v>
      </c>
      <c r="O249" s="25">
        <v>0</v>
      </c>
      <c r="P249" s="24">
        <v>0.95224464406779563</v>
      </c>
      <c r="Q249" s="25">
        <v>0</v>
      </c>
      <c r="R249" s="25" t="s">
        <v>50</v>
      </c>
      <c r="S249" s="24">
        <f t="shared" si="30"/>
        <v>3.1741488135593192</v>
      </c>
      <c r="T249" s="24">
        <f t="shared" si="28"/>
        <v>-3.1741488135593192</v>
      </c>
      <c r="U249" s="26">
        <f t="shared" si="29"/>
        <v>-100</v>
      </c>
      <c r="V249" s="104"/>
    </row>
    <row r="250" spans="1:22" ht="26.25" x14ac:dyDescent="0.25">
      <c r="A250" s="28" t="s">
        <v>28</v>
      </c>
      <c r="B250" s="35" t="s">
        <v>564</v>
      </c>
      <c r="C250" s="52" t="s">
        <v>811</v>
      </c>
      <c r="D250" s="24">
        <v>0</v>
      </c>
      <c r="E250" s="24">
        <v>0</v>
      </c>
      <c r="F250" s="25" t="s">
        <v>50</v>
      </c>
      <c r="G250" s="24">
        <v>0</v>
      </c>
      <c r="H250" s="24">
        <f t="shared" si="27"/>
        <v>0</v>
      </c>
      <c r="I250" s="24">
        <f t="shared" si="27"/>
        <v>0.28589958000000004</v>
      </c>
      <c r="J250" s="24">
        <v>0</v>
      </c>
      <c r="K250" s="24">
        <v>0</v>
      </c>
      <c r="L250" s="24">
        <v>0</v>
      </c>
      <c r="M250" s="25">
        <f>285.89958/1000</f>
        <v>0.28589958000000004</v>
      </c>
      <c r="N250" s="24">
        <v>0</v>
      </c>
      <c r="O250" s="25">
        <v>0</v>
      </c>
      <c r="P250" s="24">
        <v>0</v>
      </c>
      <c r="Q250" s="25">
        <v>0</v>
      </c>
      <c r="R250" s="25" t="s">
        <v>50</v>
      </c>
      <c r="S250" s="24">
        <f t="shared" si="30"/>
        <v>-0.28589958000000004</v>
      </c>
      <c r="T250" s="24">
        <f t="shared" si="28"/>
        <v>0.28589958000000004</v>
      </c>
      <c r="U250" s="26">
        <v>100</v>
      </c>
      <c r="V250" s="104"/>
    </row>
    <row r="251" spans="1:22" ht="26.25" x14ac:dyDescent="0.25">
      <c r="A251" s="28" t="s">
        <v>28</v>
      </c>
      <c r="B251" s="35" t="s">
        <v>565</v>
      </c>
      <c r="C251" s="52" t="s">
        <v>812</v>
      </c>
      <c r="D251" s="24">
        <v>0</v>
      </c>
      <c r="E251" s="24">
        <v>0</v>
      </c>
      <c r="F251" s="25" t="s">
        <v>50</v>
      </c>
      <c r="G251" s="24">
        <v>0</v>
      </c>
      <c r="H251" s="24">
        <f t="shared" si="27"/>
        <v>0</v>
      </c>
      <c r="I251" s="24">
        <f t="shared" si="27"/>
        <v>0.32922651000000003</v>
      </c>
      <c r="J251" s="24">
        <v>0</v>
      </c>
      <c r="K251" s="24">
        <v>0</v>
      </c>
      <c r="L251" s="24">
        <v>0</v>
      </c>
      <c r="M251" s="25">
        <f>329.22651/1000</f>
        <v>0.32922651000000003</v>
      </c>
      <c r="N251" s="24">
        <v>0</v>
      </c>
      <c r="O251" s="25">
        <v>0</v>
      </c>
      <c r="P251" s="24">
        <v>0</v>
      </c>
      <c r="Q251" s="25">
        <v>0</v>
      </c>
      <c r="R251" s="25" t="s">
        <v>50</v>
      </c>
      <c r="S251" s="24">
        <f t="shared" si="30"/>
        <v>-0.32922651000000003</v>
      </c>
      <c r="T251" s="24">
        <f t="shared" si="28"/>
        <v>0.32922651000000003</v>
      </c>
      <c r="U251" s="26">
        <v>100</v>
      </c>
      <c r="V251" s="104"/>
    </row>
    <row r="252" spans="1:22" ht="26.25" x14ac:dyDescent="0.25">
      <c r="A252" s="28" t="s">
        <v>28</v>
      </c>
      <c r="B252" s="35" t="s">
        <v>667</v>
      </c>
      <c r="C252" s="52" t="s">
        <v>813</v>
      </c>
      <c r="D252" s="24">
        <v>0</v>
      </c>
      <c r="E252" s="24">
        <v>0</v>
      </c>
      <c r="F252" s="25" t="s">
        <v>50</v>
      </c>
      <c r="G252" s="24">
        <v>0</v>
      </c>
      <c r="H252" s="24">
        <f t="shared" si="27"/>
        <v>0</v>
      </c>
      <c r="I252" s="24">
        <f t="shared" si="27"/>
        <v>0.59609227999999992</v>
      </c>
      <c r="J252" s="24">
        <v>0</v>
      </c>
      <c r="K252" s="24">
        <v>0</v>
      </c>
      <c r="L252" s="24">
        <v>0</v>
      </c>
      <c r="M252" s="25">
        <v>0</v>
      </c>
      <c r="N252" s="24">
        <v>0</v>
      </c>
      <c r="O252" s="25">
        <v>0.59609227999999992</v>
      </c>
      <c r="P252" s="24">
        <v>0</v>
      </c>
      <c r="Q252" s="25">
        <v>0</v>
      </c>
      <c r="R252" s="25" t="s">
        <v>50</v>
      </c>
      <c r="S252" s="24">
        <f t="shared" si="30"/>
        <v>-0.59609227999999992</v>
      </c>
      <c r="T252" s="24">
        <f t="shared" si="28"/>
        <v>0.59609227999999992</v>
      </c>
      <c r="U252" s="26">
        <v>100</v>
      </c>
      <c r="V252" s="104"/>
    </row>
    <row r="253" spans="1:22" ht="26.25" x14ac:dyDescent="0.25">
      <c r="A253" s="28" t="s">
        <v>28</v>
      </c>
      <c r="B253" s="35" t="s">
        <v>814</v>
      </c>
      <c r="C253" s="52" t="s">
        <v>815</v>
      </c>
      <c r="D253" s="24">
        <v>0</v>
      </c>
      <c r="E253" s="24">
        <v>0</v>
      </c>
      <c r="F253" s="25" t="s">
        <v>50</v>
      </c>
      <c r="G253" s="24">
        <v>0</v>
      </c>
      <c r="H253" s="24">
        <v>0</v>
      </c>
      <c r="I253" s="24">
        <f t="shared" si="27"/>
        <v>0.59585740999999992</v>
      </c>
      <c r="J253" s="24">
        <v>0</v>
      </c>
      <c r="K253" s="24">
        <v>0</v>
      </c>
      <c r="L253" s="24">
        <v>0</v>
      </c>
      <c r="M253" s="25">
        <v>0</v>
      </c>
      <c r="N253" s="24">
        <v>0</v>
      </c>
      <c r="O253" s="25">
        <v>0</v>
      </c>
      <c r="P253" s="24">
        <v>0</v>
      </c>
      <c r="Q253" s="25">
        <v>0.59585740999999992</v>
      </c>
      <c r="R253" s="25" t="s">
        <v>50</v>
      </c>
      <c r="S253" s="24">
        <f t="shared" si="30"/>
        <v>-0.59585740999999992</v>
      </c>
      <c r="T253" s="24">
        <f t="shared" si="28"/>
        <v>0.59585740999999992</v>
      </c>
      <c r="U253" s="26">
        <v>100</v>
      </c>
      <c r="V253" s="104"/>
    </row>
    <row r="254" spans="1:22" ht="26.25" x14ac:dyDescent="0.25">
      <c r="A254" s="28" t="s">
        <v>28</v>
      </c>
      <c r="B254" s="35" t="s">
        <v>816</v>
      </c>
      <c r="C254" s="52" t="s">
        <v>817</v>
      </c>
      <c r="D254" s="24">
        <v>0</v>
      </c>
      <c r="E254" s="24">
        <v>0</v>
      </c>
      <c r="F254" s="25" t="s">
        <v>50</v>
      </c>
      <c r="G254" s="24">
        <v>0</v>
      </c>
      <c r="H254" s="24">
        <v>0</v>
      </c>
      <c r="I254" s="24">
        <f t="shared" si="27"/>
        <v>0.59594283000000003</v>
      </c>
      <c r="J254" s="24">
        <v>0</v>
      </c>
      <c r="K254" s="24">
        <v>0</v>
      </c>
      <c r="L254" s="24">
        <v>0</v>
      </c>
      <c r="M254" s="25">
        <v>0</v>
      </c>
      <c r="N254" s="24">
        <v>0</v>
      </c>
      <c r="O254" s="25">
        <v>0</v>
      </c>
      <c r="P254" s="24">
        <v>0</v>
      </c>
      <c r="Q254" s="25">
        <v>0.59594283000000003</v>
      </c>
      <c r="R254" s="25" t="s">
        <v>50</v>
      </c>
      <c r="S254" s="24">
        <f t="shared" si="30"/>
        <v>-0.59594283000000003</v>
      </c>
      <c r="T254" s="24">
        <f t="shared" si="28"/>
        <v>0.59594283000000003</v>
      </c>
      <c r="U254" s="26">
        <v>100</v>
      </c>
      <c r="V254" s="104"/>
    </row>
    <row r="255" spans="1:22" ht="26.25" x14ac:dyDescent="0.25">
      <c r="A255" s="28" t="s">
        <v>28</v>
      </c>
      <c r="B255" s="35" t="s">
        <v>818</v>
      </c>
      <c r="C255" s="52" t="s">
        <v>819</v>
      </c>
      <c r="D255" s="24">
        <v>0</v>
      </c>
      <c r="E255" s="24">
        <v>0</v>
      </c>
      <c r="F255" s="25" t="s">
        <v>50</v>
      </c>
      <c r="G255" s="24">
        <v>0</v>
      </c>
      <c r="H255" s="24">
        <v>0</v>
      </c>
      <c r="I255" s="24">
        <f t="shared" si="27"/>
        <v>0.59610496000000002</v>
      </c>
      <c r="J255" s="24">
        <v>0</v>
      </c>
      <c r="K255" s="24">
        <v>0</v>
      </c>
      <c r="L255" s="24">
        <v>0</v>
      </c>
      <c r="M255" s="25">
        <v>0</v>
      </c>
      <c r="N255" s="24">
        <v>0</v>
      </c>
      <c r="O255" s="25">
        <v>0</v>
      </c>
      <c r="P255" s="24">
        <v>0</v>
      </c>
      <c r="Q255" s="25">
        <v>0.59610496000000002</v>
      </c>
      <c r="R255" s="25" t="s">
        <v>50</v>
      </c>
      <c r="S255" s="24">
        <f t="shared" si="30"/>
        <v>-0.59610496000000002</v>
      </c>
      <c r="T255" s="24">
        <f t="shared" si="28"/>
        <v>0.59610496000000002</v>
      </c>
      <c r="U255" s="26">
        <v>100</v>
      </c>
      <c r="V255" s="104"/>
    </row>
    <row r="256" spans="1:22" ht="26.25" x14ac:dyDescent="0.25">
      <c r="A256" s="28" t="s">
        <v>28</v>
      </c>
      <c r="B256" s="35" t="s">
        <v>820</v>
      </c>
      <c r="C256" s="52" t="s">
        <v>821</v>
      </c>
      <c r="D256" s="24">
        <v>0</v>
      </c>
      <c r="E256" s="24">
        <v>0</v>
      </c>
      <c r="F256" s="25" t="s">
        <v>50</v>
      </c>
      <c r="G256" s="24">
        <v>0</v>
      </c>
      <c r="H256" s="24">
        <v>0</v>
      </c>
      <c r="I256" s="24">
        <f t="shared" si="27"/>
        <v>0.30162974999999997</v>
      </c>
      <c r="J256" s="24">
        <v>0</v>
      </c>
      <c r="K256" s="24">
        <v>0</v>
      </c>
      <c r="L256" s="24">
        <v>0</v>
      </c>
      <c r="M256" s="25">
        <v>0</v>
      </c>
      <c r="N256" s="24">
        <v>0</v>
      </c>
      <c r="O256" s="25">
        <v>0</v>
      </c>
      <c r="P256" s="24">
        <v>0</v>
      </c>
      <c r="Q256" s="25">
        <v>0.30162974999999997</v>
      </c>
      <c r="R256" s="25" t="s">
        <v>50</v>
      </c>
      <c r="S256" s="24">
        <f t="shared" si="30"/>
        <v>-0.30162974999999997</v>
      </c>
      <c r="T256" s="24">
        <f t="shared" si="28"/>
        <v>0.30162974999999997</v>
      </c>
      <c r="U256" s="26">
        <v>100</v>
      </c>
      <c r="V256" s="104"/>
    </row>
    <row r="257" spans="1:22" ht="26.25" x14ac:dyDescent="0.25">
      <c r="A257" s="28" t="s">
        <v>28</v>
      </c>
      <c r="B257" s="35" t="s">
        <v>822</v>
      </c>
      <c r="C257" s="52" t="s">
        <v>823</v>
      </c>
      <c r="D257" s="24">
        <v>0</v>
      </c>
      <c r="E257" s="24">
        <v>0</v>
      </c>
      <c r="F257" s="25" t="s">
        <v>50</v>
      </c>
      <c r="G257" s="24">
        <v>0</v>
      </c>
      <c r="H257" s="24">
        <v>0</v>
      </c>
      <c r="I257" s="24">
        <f t="shared" si="27"/>
        <v>0.28410870999999999</v>
      </c>
      <c r="J257" s="24">
        <v>0</v>
      </c>
      <c r="K257" s="24">
        <v>0</v>
      </c>
      <c r="L257" s="24">
        <v>0</v>
      </c>
      <c r="M257" s="25">
        <v>0</v>
      </c>
      <c r="N257" s="24">
        <v>0</v>
      </c>
      <c r="O257" s="25">
        <v>0</v>
      </c>
      <c r="P257" s="24">
        <v>0</v>
      </c>
      <c r="Q257" s="25">
        <v>0.28410870999999999</v>
      </c>
      <c r="R257" s="25" t="s">
        <v>50</v>
      </c>
      <c r="S257" s="24">
        <f t="shared" si="30"/>
        <v>-0.28410870999999999</v>
      </c>
      <c r="T257" s="24">
        <f t="shared" si="28"/>
        <v>0.28410870999999999</v>
      </c>
      <c r="U257" s="26">
        <v>100</v>
      </c>
      <c r="V257" s="105"/>
    </row>
    <row r="258" spans="1:22" x14ac:dyDescent="0.25">
      <c r="A258" s="22" t="s">
        <v>28</v>
      </c>
      <c r="B258" s="23" t="s">
        <v>492</v>
      </c>
      <c r="C258" s="53" t="s">
        <v>493</v>
      </c>
      <c r="D258" s="24">
        <v>0</v>
      </c>
      <c r="E258" s="24">
        <v>3.1972583999999998E-2</v>
      </c>
      <c r="F258" s="25" t="s">
        <v>50</v>
      </c>
      <c r="G258" s="24">
        <v>0</v>
      </c>
      <c r="H258" s="24">
        <f t="shared" si="27"/>
        <v>0</v>
      </c>
      <c r="I258" s="24">
        <f t="shared" si="27"/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5">
        <v>0</v>
      </c>
      <c r="P258" s="24">
        <v>0</v>
      </c>
      <c r="Q258" s="25">
        <v>0</v>
      </c>
      <c r="R258" s="25" t="s">
        <v>50</v>
      </c>
      <c r="S258" s="24">
        <f t="shared" si="30"/>
        <v>0</v>
      </c>
      <c r="T258" s="24">
        <f t="shared" si="28"/>
        <v>0</v>
      </c>
      <c r="U258" s="26">
        <v>0</v>
      </c>
      <c r="V258" s="60" t="s">
        <v>50</v>
      </c>
    </row>
    <row r="259" spans="1:22" x14ac:dyDescent="0.25">
      <c r="A259" s="22" t="s">
        <v>28</v>
      </c>
      <c r="B259" s="23" t="s">
        <v>494</v>
      </c>
      <c r="C259" s="53" t="s">
        <v>495</v>
      </c>
      <c r="D259" s="24">
        <v>0</v>
      </c>
      <c r="E259" s="24">
        <v>3.1972583999999998E-2</v>
      </c>
      <c r="F259" s="25" t="s">
        <v>50</v>
      </c>
      <c r="G259" s="24">
        <v>0</v>
      </c>
      <c r="H259" s="24">
        <f t="shared" ref="H259:I356" si="31">J259+L259+N259+P259</f>
        <v>0</v>
      </c>
      <c r="I259" s="24">
        <f t="shared" si="31"/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5">
        <v>0</v>
      </c>
      <c r="P259" s="24">
        <v>0</v>
      </c>
      <c r="Q259" s="25">
        <v>0</v>
      </c>
      <c r="R259" s="25" t="s">
        <v>50</v>
      </c>
      <c r="S259" s="24">
        <f t="shared" si="30"/>
        <v>0</v>
      </c>
      <c r="T259" s="24">
        <f t="shared" si="28"/>
        <v>0</v>
      </c>
      <c r="U259" s="26">
        <v>0</v>
      </c>
      <c r="V259" s="60" t="s">
        <v>50</v>
      </c>
    </row>
    <row r="260" spans="1:22" ht="60" customHeight="1" x14ac:dyDescent="0.25">
      <c r="A260" s="28" t="s">
        <v>28</v>
      </c>
      <c r="B260" s="35" t="s">
        <v>183</v>
      </c>
      <c r="C260" s="52" t="s">
        <v>184</v>
      </c>
      <c r="D260" s="24">
        <v>8.8453570694087394E-2</v>
      </c>
      <c r="E260" s="24">
        <v>0</v>
      </c>
      <c r="F260" s="25" t="s">
        <v>50</v>
      </c>
      <c r="G260" s="24">
        <v>0.68816877999999992</v>
      </c>
      <c r="H260" s="24">
        <f t="shared" si="31"/>
        <v>0.68816877999999992</v>
      </c>
      <c r="I260" s="24">
        <f t="shared" si="31"/>
        <v>0</v>
      </c>
      <c r="J260" s="24">
        <v>0</v>
      </c>
      <c r="K260" s="24">
        <v>0</v>
      </c>
      <c r="L260" s="24">
        <v>0</v>
      </c>
      <c r="M260" s="25">
        <v>0</v>
      </c>
      <c r="N260" s="24">
        <v>0</v>
      </c>
      <c r="O260" s="25">
        <v>0</v>
      </c>
      <c r="P260" s="24">
        <v>0.68816877999999992</v>
      </c>
      <c r="Q260" s="25">
        <v>0</v>
      </c>
      <c r="R260" s="25" t="s">
        <v>50</v>
      </c>
      <c r="S260" s="24">
        <f t="shared" si="30"/>
        <v>0.68816877999999992</v>
      </c>
      <c r="T260" s="24">
        <f t="shared" si="28"/>
        <v>-0.68816877999999992</v>
      </c>
      <c r="U260" s="26">
        <f t="shared" si="29"/>
        <v>-100</v>
      </c>
      <c r="V260" s="103" t="s">
        <v>710</v>
      </c>
    </row>
    <row r="261" spans="1:22" x14ac:dyDescent="0.25">
      <c r="A261" s="28" t="s">
        <v>28</v>
      </c>
      <c r="B261" s="35" t="s">
        <v>331</v>
      </c>
      <c r="C261" s="52" t="s">
        <v>332</v>
      </c>
      <c r="D261" s="24">
        <v>0</v>
      </c>
      <c r="E261" s="24">
        <v>0</v>
      </c>
      <c r="F261" s="25" t="s">
        <v>50</v>
      </c>
      <c r="G261" s="24">
        <v>0</v>
      </c>
      <c r="H261" s="24">
        <f t="shared" si="31"/>
        <v>0</v>
      </c>
      <c r="I261" s="24">
        <f t="shared" si="31"/>
        <v>4.1587300000000002E-3</v>
      </c>
      <c r="J261" s="24">
        <v>0</v>
      </c>
      <c r="K261" s="24">
        <v>4.1587300000000002E-3</v>
      </c>
      <c r="L261" s="24">
        <v>0</v>
      </c>
      <c r="M261" s="25">
        <v>0</v>
      </c>
      <c r="N261" s="24">
        <v>0</v>
      </c>
      <c r="O261" s="25">
        <v>0</v>
      </c>
      <c r="P261" s="24">
        <v>0</v>
      </c>
      <c r="Q261" s="25">
        <v>0</v>
      </c>
      <c r="R261" s="25" t="s">
        <v>50</v>
      </c>
      <c r="S261" s="24">
        <f t="shared" si="30"/>
        <v>-4.1587300000000002E-3</v>
      </c>
      <c r="T261" s="24">
        <f t="shared" si="28"/>
        <v>4.1587300000000002E-3</v>
      </c>
      <c r="U261" s="26">
        <v>100</v>
      </c>
      <c r="V261" s="104"/>
    </row>
    <row r="262" spans="1:22" x14ac:dyDescent="0.25">
      <c r="A262" s="28" t="s">
        <v>28</v>
      </c>
      <c r="B262" s="35" t="s">
        <v>333</v>
      </c>
      <c r="C262" s="52" t="s">
        <v>334</v>
      </c>
      <c r="D262" s="24">
        <v>0</v>
      </c>
      <c r="E262" s="24">
        <v>0</v>
      </c>
      <c r="F262" s="25" t="s">
        <v>50</v>
      </c>
      <c r="G262" s="24">
        <v>0</v>
      </c>
      <c r="H262" s="24">
        <f t="shared" si="31"/>
        <v>0</v>
      </c>
      <c r="I262" s="24">
        <f t="shared" si="31"/>
        <v>5.57896E-3</v>
      </c>
      <c r="J262" s="24">
        <v>0</v>
      </c>
      <c r="K262" s="24">
        <v>5.57896E-3</v>
      </c>
      <c r="L262" s="24">
        <v>0</v>
      </c>
      <c r="M262" s="25">
        <v>0</v>
      </c>
      <c r="N262" s="24">
        <v>0</v>
      </c>
      <c r="O262" s="25">
        <v>0</v>
      </c>
      <c r="P262" s="24">
        <v>0</v>
      </c>
      <c r="Q262" s="25">
        <v>0</v>
      </c>
      <c r="R262" s="25" t="s">
        <v>50</v>
      </c>
      <c r="S262" s="24">
        <f t="shared" si="30"/>
        <v>-5.57896E-3</v>
      </c>
      <c r="T262" s="24">
        <f t="shared" si="28"/>
        <v>5.57896E-3</v>
      </c>
      <c r="U262" s="26">
        <v>100</v>
      </c>
      <c r="V262" s="104"/>
    </row>
    <row r="263" spans="1:22" x14ac:dyDescent="0.25">
      <c r="A263" s="28" t="s">
        <v>28</v>
      </c>
      <c r="B263" s="35" t="s">
        <v>335</v>
      </c>
      <c r="C263" s="52" t="s">
        <v>336</v>
      </c>
      <c r="D263" s="24">
        <v>0</v>
      </c>
      <c r="E263" s="24">
        <v>0</v>
      </c>
      <c r="F263" s="25" t="s">
        <v>50</v>
      </c>
      <c r="G263" s="24">
        <v>0</v>
      </c>
      <c r="H263" s="24">
        <f t="shared" si="31"/>
        <v>0</v>
      </c>
      <c r="I263" s="24">
        <f t="shared" si="31"/>
        <v>1.21409E-2</v>
      </c>
      <c r="J263" s="24">
        <v>0</v>
      </c>
      <c r="K263" s="24">
        <v>1.21409E-2</v>
      </c>
      <c r="L263" s="24">
        <v>0</v>
      </c>
      <c r="M263" s="25">
        <v>0</v>
      </c>
      <c r="N263" s="24">
        <v>0</v>
      </c>
      <c r="O263" s="25">
        <v>0</v>
      </c>
      <c r="P263" s="24">
        <v>0</v>
      </c>
      <c r="Q263" s="25">
        <v>0</v>
      </c>
      <c r="R263" s="25" t="s">
        <v>50</v>
      </c>
      <c r="S263" s="24">
        <f t="shared" si="30"/>
        <v>-1.21409E-2</v>
      </c>
      <c r="T263" s="24">
        <f t="shared" si="28"/>
        <v>1.21409E-2</v>
      </c>
      <c r="U263" s="26">
        <v>100</v>
      </c>
      <c r="V263" s="104"/>
    </row>
    <row r="264" spans="1:22" x14ac:dyDescent="0.25">
      <c r="A264" s="28" t="s">
        <v>28</v>
      </c>
      <c r="B264" s="35" t="s">
        <v>337</v>
      </c>
      <c r="C264" s="52" t="s">
        <v>338</v>
      </c>
      <c r="D264" s="24">
        <v>0</v>
      </c>
      <c r="E264" s="24">
        <v>0</v>
      </c>
      <c r="F264" s="25" t="s">
        <v>50</v>
      </c>
      <c r="G264" s="24">
        <v>0</v>
      </c>
      <c r="H264" s="24">
        <f t="shared" si="31"/>
        <v>0</v>
      </c>
      <c r="I264" s="24">
        <f t="shared" si="31"/>
        <v>4.3957800000000002E-3</v>
      </c>
      <c r="J264" s="24">
        <v>0</v>
      </c>
      <c r="K264" s="24">
        <v>4.3957800000000002E-3</v>
      </c>
      <c r="L264" s="24">
        <v>0</v>
      </c>
      <c r="M264" s="25">
        <v>0</v>
      </c>
      <c r="N264" s="24">
        <v>0</v>
      </c>
      <c r="O264" s="25">
        <v>0</v>
      </c>
      <c r="P264" s="24">
        <v>0</v>
      </c>
      <c r="Q264" s="25">
        <v>0</v>
      </c>
      <c r="R264" s="25" t="s">
        <v>50</v>
      </c>
      <c r="S264" s="24">
        <f t="shared" si="30"/>
        <v>-4.3957800000000002E-3</v>
      </c>
      <c r="T264" s="24">
        <f t="shared" si="28"/>
        <v>4.3957800000000002E-3</v>
      </c>
      <c r="U264" s="26">
        <v>100</v>
      </c>
      <c r="V264" s="104"/>
    </row>
    <row r="265" spans="1:22" x14ac:dyDescent="0.25">
      <c r="A265" s="28" t="s">
        <v>28</v>
      </c>
      <c r="B265" s="35" t="s">
        <v>339</v>
      </c>
      <c r="C265" s="52" t="s">
        <v>340</v>
      </c>
      <c r="D265" s="24">
        <v>0</v>
      </c>
      <c r="E265" s="24">
        <v>0</v>
      </c>
      <c r="F265" s="25" t="s">
        <v>50</v>
      </c>
      <c r="G265" s="24">
        <v>0</v>
      </c>
      <c r="H265" s="24">
        <f t="shared" si="31"/>
        <v>0</v>
      </c>
      <c r="I265" s="24">
        <f t="shared" si="31"/>
        <v>6.2564600000000001E-3</v>
      </c>
      <c r="J265" s="24">
        <v>0</v>
      </c>
      <c r="K265" s="24">
        <v>6.2564600000000001E-3</v>
      </c>
      <c r="L265" s="24">
        <v>0</v>
      </c>
      <c r="M265" s="25">
        <v>0</v>
      </c>
      <c r="N265" s="24">
        <v>0</v>
      </c>
      <c r="O265" s="25">
        <v>0</v>
      </c>
      <c r="P265" s="24">
        <v>0</v>
      </c>
      <c r="Q265" s="25">
        <v>0</v>
      </c>
      <c r="R265" s="25" t="s">
        <v>50</v>
      </c>
      <c r="S265" s="24">
        <f t="shared" si="30"/>
        <v>-6.2564600000000001E-3</v>
      </c>
      <c r="T265" s="24">
        <f t="shared" si="28"/>
        <v>6.2564600000000001E-3</v>
      </c>
      <c r="U265" s="26">
        <v>100</v>
      </c>
      <c r="V265" s="104"/>
    </row>
    <row r="266" spans="1:22" x14ac:dyDescent="0.25">
      <c r="A266" s="28" t="s">
        <v>28</v>
      </c>
      <c r="B266" s="35" t="s">
        <v>341</v>
      </c>
      <c r="C266" s="52" t="s">
        <v>342</v>
      </c>
      <c r="D266" s="24">
        <v>0</v>
      </c>
      <c r="E266" s="24">
        <v>0</v>
      </c>
      <c r="F266" s="25" t="s">
        <v>50</v>
      </c>
      <c r="G266" s="24">
        <v>0</v>
      </c>
      <c r="H266" s="24">
        <f t="shared" si="31"/>
        <v>0</v>
      </c>
      <c r="I266" s="24">
        <f t="shared" si="31"/>
        <v>5.4178300000000002E-3</v>
      </c>
      <c r="J266" s="24">
        <v>0</v>
      </c>
      <c r="K266" s="24">
        <v>5.4178300000000002E-3</v>
      </c>
      <c r="L266" s="24">
        <v>0</v>
      </c>
      <c r="M266" s="25">
        <v>0</v>
      </c>
      <c r="N266" s="24">
        <v>0</v>
      </c>
      <c r="O266" s="25">
        <v>0</v>
      </c>
      <c r="P266" s="24">
        <v>0</v>
      </c>
      <c r="Q266" s="25">
        <v>0</v>
      </c>
      <c r="R266" s="25" t="s">
        <v>50</v>
      </c>
      <c r="S266" s="24">
        <f t="shared" si="30"/>
        <v>-5.4178300000000002E-3</v>
      </c>
      <c r="T266" s="24">
        <f t="shared" ref="T266:T329" si="32">(K266+M266+O266+Q266)-(J266+L266+N266+P266)</f>
        <v>5.4178300000000002E-3</v>
      </c>
      <c r="U266" s="26">
        <v>100</v>
      </c>
      <c r="V266" s="104"/>
    </row>
    <row r="267" spans="1:22" x14ac:dyDescent="0.25">
      <c r="A267" s="28" t="s">
        <v>28</v>
      </c>
      <c r="B267" s="35" t="s">
        <v>343</v>
      </c>
      <c r="C267" s="52" t="s">
        <v>344</v>
      </c>
      <c r="D267" s="24">
        <v>0</v>
      </c>
      <c r="E267" s="24">
        <v>0</v>
      </c>
      <c r="F267" s="25" t="s">
        <v>50</v>
      </c>
      <c r="G267" s="24">
        <v>0</v>
      </c>
      <c r="H267" s="24">
        <f t="shared" si="31"/>
        <v>0</v>
      </c>
      <c r="I267" s="24">
        <f t="shared" si="31"/>
        <v>4.4758769999999996E-2</v>
      </c>
      <c r="J267" s="24">
        <v>0</v>
      </c>
      <c r="K267" s="24">
        <f>44.75877/1000</f>
        <v>4.4758769999999996E-2</v>
      </c>
      <c r="L267" s="24">
        <v>0</v>
      </c>
      <c r="M267" s="25">
        <v>0</v>
      </c>
      <c r="N267" s="24">
        <v>0</v>
      </c>
      <c r="O267" s="25">
        <v>0</v>
      </c>
      <c r="P267" s="24">
        <v>0</v>
      </c>
      <c r="Q267" s="25">
        <v>0</v>
      </c>
      <c r="R267" s="25" t="s">
        <v>50</v>
      </c>
      <c r="S267" s="24">
        <f t="shared" si="30"/>
        <v>-4.4758769999999996E-2</v>
      </c>
      <c r="T267" s="24">
        <f t="shared" si="32"/>
        <v>4.4758769999999996E-2</v>
      </c>
      <c r="U267" s="26">
        <v>100</v>
      </c>
      <c r="V267" s="104"/>
    </row>
    <row r="268" spans="1:22" x14ac:dyDescent="0.25">
      <c r="A268" s="28" t="s">
        <v>28</v>
      </c>
      <c r="B268" s="35" t="s">
        <v>345</v>
      </c>
      <c r="C268" s="52" t="s">
        <v>346</v>
      </c>
      <c r="D268" s="24">
        <v>0</v>
      </c>
      <c r="E268" s="24">
        <v>0</v>
      </c>
      <c r="F268" s="25" t="s">
        <v>50</v>
      </c>
      <c r="G268" s="24">
        <v>0</v>
      </c>
      <c r="H268" s="24">
        <f t="shared" si="31"/>
        <v>0</v>
      </c>
      <c r="I268" s="24">
        <f t="shared" si="31"/>
        <v>6.1046699999999995E-3</v>
      </c>
      <c r="J268" s="24">
        <v>0</v>
      </c>
      <c r="K268" s="24">
        <v>6.1046699999999995E-3</v>
      </c>
      <c r="L268" s="24">
        <v>0</v>
      </c>
      <c r="M268" s="25">
        <v>0</v>
      </c>
      <c r="N268" s="24">
        <v>0</v>
      </c>
      <c r="O268" s="25">
        <v>0</v>
      </c>
      <c r="P268" s="24">
        <v>0</v>
      </c>
      <c r="Q268" s="25">
        <v>0</v>
      </c>
      <c r="R268" s="25" t="s">
        <v>50</v>
      </c>
      <c r="S268" s="24">
        <f t="shared" si="30"/>
        <v>-6.1046699999999995E-3</v>
      </c>
      <c r="T268" s="24">
        <f t="shared" si="32"/>
        <v>6.1046699999999995E-3</v>
      </c>
      <c r="U268" s="26">
        <v>100</v>
      </c>
      <c r="V268" s="104"/>
    </row>
    <row r="269" spans="1:22" x14ac:dyDescent="0.25">
      <c r="A269" s="28" t="s">
        <v>28</v>
      </c>
      <c r="B269" s="35" t="s">
        <v>347</v>
      </c>
      <c r="C269" s="52" t="s">
        <v>348</v>
      </c>
      <c r="D269" s="24">
        <v>0</v>
      </c>
      <c r="E269" s="24">
        <v>0</v>
      </c>
      <c r="F269" s="25" t="s">
        <v>50</v>
      </c>
      <c r="G269" s="24">
        <v>0</v>
      </c>
      <c r="H269" s="24">
        <f t="shared" si="31"/>
        <v>0</v>
      </c>
      <c r="I269" s="24">
        <f t="shared" si="31"/>
        <v>5.4622500000000001E-3</v>
      </c>
      <c r="J269" s="24">
        <v>0</v>
      </c>
      <c r="K269" s="24">
        <v>5.4622500000000001E-3</v>
      </c>
      <c r="L269" s="24">
        <v>0</v>
      </c>
      <c r="M269" s="25">
        <v>0</v>
      </c>
      <c r="N269" s="24">
        <v>0</v>
      </c>
      <c r="O269" s="25">
        <v>0</v>
      </c>
      <c r="P269" s="24">
        <v>0</v>
      </c>
      <c r="Q269" s="25">
        <v>0</v>
      </c>
      <c r="R269" s="25" t="s">
        <v>50</v>
      </c>
      <c r="S269" s="24">
        <f t="shared" si="30"/>
        <v>-5.4622500000000001E-3</v>
      </c>
      <c r="T269" s="24">
        <f t="shared" si="32"/>
        <v>5.4622500000000001E-3</v>
      </c>
      <c r="U269" s="26">
        <v>100</v>
      </c>
      <c r="V269" s="104"/>
    </row>
    <row r="270" spans="1:22" x14ac:dyDescent="0.25">
      <c r="A270" s="28" t="s">
        <v>28</v>
      </c>
      <c r="B270" s="35" t="s">
        <v>531</v>
      </c>
      <c r="C270" s="52" t="s">
        <v>532</v>
      </c>
      <c r="D270" s="24">
        <v>0</v>
      </c>
      <c r="E270" s="24">
        <v>0</v>
      </c>
      <c r="F270" s="25" t="s">
        <v>50</v>
      </c>
      <c r="G270" s="24">
        <v>0</v>
      </c>
      <c r="H270" s="24">
        <f t="shared" si="31"/>
        <v>0</v>
      </c>
      <c r="I270" s="24">
        <f t="shared" si="31"/>
        <v>1.8189759999999999E-2</v>
      </c>
      <c r="J270" s="24">
        <v>0</v>
      </c>
      <c r="K270" s="24">
        <v>0</v>
      </c>
      <c r="L270" s="24">
        <v>0</v>
      </c>
      <c r="M270" s="25">
        <f>18.18976/1000</f>
        <v>1.8189759999999999E-2</v>
      </c>
      <c r="N270" s="24">
        <v>0</v>
      </c>
      <c r="O270" s="25">
        <v>0</v>
      </c>
      <c r="P270" s="24">
        <v>0</v>
      </c>
      <c r="Q270" s="25">
        <v>0</v>
      </c>
      <c r="R270" s="25" t="s">
        <v>50</v>
      </c>
      <c r="S270" s="24">
        <f t="shared" si="30"/>
        <v>-1.8189759999999999E-2</v>
      </c>
      <c r="T270" s="24">
        <f t="shared" si="32"/>
        <v>1.8189759999999999E-2</v>
      </c>
      <c r="U270" s="26">
        <v>100</v>
      </c>
      <c r="V270" s="104"/>
    </row>
    <row r="271" spans="1:22" x14ac:dyDescent="0.25">
      <c r="A271" s="28" t="s">
        <v>28</v>
      </c>
      <c r="B271" s="35" t="s">
        <v>533</v>
      </c>
      <c r="C271" s="52" t="s">
        <v>534</v>
      </c>
      <c r="D271" s="24">
        <v>0</v>
      </c>
      <c r="E271" s="24">
        <v>0</v>
      </c>
      <c r="F271" s="25" t="s">
        <v>50</v>
      </c>
      <c r="G271" s="24">
        <v>0</v>
      </c>
      <c r="H271" s="24">
        <f t="shared" si="31"/>
        <v>0</v>
      </c>
      <c r="I271" s="24">
        <f t="shared" si="31"/>
        <v>6.1305800000000001E-3</v>
      </c>
      <c r="J271" s="24">
        <v>0</v>
      </c>
      <c r="K271" s="24">
        <v>0</v>
      </c>
      <c r="L271" s="24">
        <v>0</v>
      </c>
      <c r="M271" s="25">
        <f>6.13058/1000</f>
        <v>6.1305800000000001E-3</v>
      </c>
      <c r="N271" s="24">
        <v>0</v>
      </c>
      <c r="O271" s="25">
        <v>0</v>
      </c>
      <c r="P271" s="24">
        <v>0</v>
      </c>
      <c r="Q271" s="25">
        <v>0</v>
      </c>
      <c r="R271" s="25" t="s">
        <v>50</v>
      </c>
      <c r="S271" s="24">
        <f t="shared" ref="S271:S333" si="33">G271-I271</f>
        <v>-6.1305800000000001E-3</v>
      </c>
      <c r="T271" s="24">
        <f t="shared" si="32"/>
        <v>6.1305800000000001E-3</v>
      </c>
      <c r="U271" s="26">
        <v>100</v>
      </c>
      <c r="V271" s="104"/>
    </row>
    <row r="272" spans="1:22" x14ac:dyDescent="0.25">
      <c r="A272" s="28" t="s">
        <v>28</v>
      </c>
      <c r="B272" s="35" t="s">
        <v>535</v>
      </c>
      <c r="C272" s="52" t="s">
        <v>536</v>
      </c>
      <c r="D272" s="24">
        <v>0</v>
      </c>
      <c r="E272" s="24">
        <v>0</v>
      </c>
      <c r="F272" s="25" t="s">
        <v>50</v>
      </c>
      <c r="G272" s="24">
        <v>0</v>
      </c>
      <c r="H272" s="24">
        <f t="shared" si="31"/>
        <v>0</v>
      </c>
      <c r="I272" s="24">
        <f t="shared" si="31"/>
        <v>2.75728E-3</v>
      </c>
      <c r="J272" s="24">
        <v>0</v>
      </c>
      <c r="K272" s="24">
        <v>0</v>
      </c>
      <c r="L272" s="24">
        <v>0</v>
      </c>
      <c r="M272" s="25">
        <f>2.75728/1000</f>
        <v>2.75728E-3</v>
      </c>
      <c r="N272" s="24">
        <v>0</v>
      </c>
      <c r="O272" s="25">
        <v>0</v>
      </c>
      <c r="P272" s="24">
        <v>0</v>
      </c>
      <c r="Q272" s="25">
        <v>0</v>
      </c>
      <c r="R272" s="25" t="s">
        <v>50</v>
      </c>
      <c r="S272" s="24">
        <f t="shared" si="33"/>
        <v>-2.75728E-3</v>
      </c>
      <c r="T272" s="24">
        <f t="shared" si="32"/>
        <v>2.75728E-3</v>
      </c>
      <c r="U272" s="26">
        <v>100</v>
      </c>
      <c r="V272" s="104"/>
    </row>
    <row r="273" spans="1:22" x14ac:dyDescent="0.25">
      <c r="A273" s="28" t="s">
        <v>28</v>
      </c>
      <c r="B273" s="35" t="s">
        <v>537</v>
      </c>
      <c r="C273" s="52" t="s">
        <v>538</v>
      </c>
      <c r="D273" s="24">
        <v>0</v>
      </c>
      <c r="E273" s="24">
        <v>0</v>
      </c>
      <c r="F273" s="25" t="s">
        <v>50</v>
      </c>
      <c r="G273" s="24">
        <v>0</v>
      </c>
      <c r="H273" s="24">
        <f t="shared" si="31"/>
        <v>0</v>
      </c>
      <c r="I273" s="24">
        <f t="shared" si="31"/>
        <v>5.3924400000000001E-3</v>
      </c>
      <c r="J273" s="24">
        <v>0</v>
      </c>
      <c r="K273" s="24">
        <v>0</v>
      </c>
      <c r="L273" s="24">
        <v>0</v>
      </c>
      <c r="M273" s="25">
        <f>5.39244/1000</f>
        <v>5.3924400000000001E-3</v>
      </c>
      <c r="N273" s="24">
        <v>0</v>
      </c>
      <c r="O273" s="25">
        <v>0</v>
      </c>
      <c r="P273" s="24">
        <v>0</v>
      </c>
      <c r="Q273" s="25">
        <v>0</v>
      </c>
      <c r="R273" s="25" t="s">
        <v>50</v>
      </c>
      <c r="S273" s="24">
        <f t="shared" si="33"/>
        <v>-5.3924400000000001E-3</v>
      </c>
      <c r="T273" s="24">
        <f t="shared" si="32"/>
        <v>5.3924400000000001E-3</v>
      </c>
      <c r="U273" s="26">
        <v>100</v>
      </c>
      <c r="V273" s="104"/>
    </row>
    <row r="274" spans="1:22" x14ac:dyDescent="0.25">
      <c r="A274" s="28" t="s">
        <v>28</v>
      </c>
      <c r="B274" s="35" t="s">
        <v>539</v>
      </c>
      <c r="C274" s="52" t="s">
        <v>540</v>
      </c>
      <c r="D274" s="24">
        <v>0</v>
      </c>
      <c r="E274" s="24">
        <v>0</v>
      </c>
      <c r="F274" s="25" t="s">
        <v>50</v>
      </c>
      <c r="G274" s="24">
        <v>0</v>
      </c>
      <c r="H274" s="24">
        <f t="shared" si="31"/>
        <v>0</v>
      </c>
      <c r="I274" s="24">
        <f t="shared" si="31"/>
        <v>6.2366900000000005E-3</v>
      </c>
      <c r="J274" s="24">
        <v>0</v>
      </c>
      <c r="K274" s="24">
        <v>0</v>
      </c>
      <c r="L274" s="24">
        <v>0</v>
      </c>
      <c r="M274" s="25">
        <f>6.23669/1000</f>
        <v>6.2366900000000005E-3</v>
      </c>
      <c r="N274" s="24">
        <v>0</v>
      </c>
      <c r="O274" s="25">
        <v>0</v>
      </c>
      <c r="P274" s="24">
        <v>0</v>
      </c>
      <c r="Q274" s="25">
        <v>0</v>
      </c>
      <c r="R274" s="25" t="s">
        <v>50</v>
      </c>
      <c r="S274" s="24">
        <f t="shared" si="33"/>
        <v>-6.2366900000000005E-3</v>
      </c>
      <c r="T274" s="24">
        <f t="shared" si="32"/>
        <v>6.2366900000000005E-3</v>
      </c>
      <c r="U274" s="26">
        <v>100</v>
      </c>
      <c r="V274" s="104"/>
    </row>
    <row r="275" spans="1:22" x14ac:dyDescent="0.25">
      <c r="A275" s="42" t="s">
        <v>28</v>
      </c>
      <c r="B275" s="27" t="s">
        <v>668</v>
      </c>
      <c r="C275" s="53" t="s">
        <v>669</v>
      </c>
      <c r="D275" s="24">
        <v>0</v>
      </c>
      <c r="E275" s="24">
        <v>0</v>
      </c>
      <c r="F275" s="25" t="s">
        <v>50</v>
      </c>
      <c r="G275" s="24">
        <v>0</v>
      </c>
      <c r="H275" s="24">
        <f t="shared" si="31"/>
        <v>0</v>
      </c>
      <c r="I275" s="24">
        <f t="shared" si="31"/>
        <v>6.3869499999999997E-3</v>
      </c>
      <c r="J275" s="24">
        <v>0</v>
      </c>
      <c r="K275" s="24">
        <v>0</v>
      </c>
      <c r="L275" s="24">
        <v>0</v>
      </c>
      <c r="M275" s="25">
        <v>0</v>
      </c>
      <c r="N275" s="24">
        <v>0</v>
      </c>
      <c r="O275" s="25">
        <v>6.3869499999999997E-3</v>
      </c>
      <c r="P275" s="24">
        <v>0</v>
      </c>
      <c r="Q275" s="25">
        <v>0</v>
      </c>
      <c r="R275" s="25" t="s">
        <v>50</v>
      </c>
      <c r="S275" s="24">
        <f t="shared" si="33"/>
        <v>-6.3869499999999997E-3</v>
      </c>
      <c r="T275" s="24">
        <f t="shared" si="32"/>
        <v>6.3869499999999997E-3</v>
      </c>
      <c r="U275" s="26">
        <v>100</v>
      </c>
      <c r="V275" s="104"/>
    </row>
    <row r="276" spans="1:22" x14ac:dyDescent="0.25">
      <c r="A276" s="42" t="s">
        <v>28</v>
      </c>
      <c r="B276" s="27" t="s">
        <v>670</v>
      </c>
      <c r="C276" s="53" t="s">
        <v>671</v>
      </c>
      <c r="D276" s="24">
        <v>0</v>
      </c>
      <c r="E276" s="24">
        <v>0</v>
      </c>
      <c r="F276" s="25" t="s">
        <v>50</v>
      </c>
      <c r="G276" s="24">
        <v>0</v>
      </c>
      <c r="H276" s="24">
        <f t="shared" si="31"/>
        <v>0</v>
      </c>
      <c r="I276" s="24">
        <f t="shared" si="31"/>
        <v>2.1293899999999998E-2</v>
      </c>
      <c r="J276" s="24">
        <v>0</v>
      </c>
      <c r="K276" s="24">
        <v>0</v>
      </c>
      <c r="L276" s="24">
        <v>0</v>
      </c>
      <c r="M276" s="25">
        <v>0</v>
      </c>
      <c r="N276" s="24">
        <v>0</v>
      </c>
      <c r="O276" s="25">
        <v>1.7260009999999999E-2</v>
      </c>
      <c r="P276" s="24">
        <v>0</v>
      </c>
      <c r="Q276" s="25">
        <v>4.03389E-3</v>
      </c>
      <c r="R276" s="25" t="s">
        <v>50</v>
      </c>
      <c r="S276" s="24">
        <f t="shared" si="33"/>
        <v>-2.1293899999999998E-2</v>
      </c>
      <c r="T276" s="24">
        <f t="shared" si="32"/>
        <v>2.1293899999999998E-2</v>
      </c>
      <c r="U276" s="26">
        <v>100</v>
      </c>
      <c r="V276" s="104"/>
    </row>
    <row r="277" spans="1:22" x14ac:dyDescent="0.25">
      <c r="A277" s="42" t="s">
        <v>28</v>
      </c>
      <c r="B277" s="27" t="s">
        <v>672</v>
      </c>
      <c r="C277" s="53" t="s">
        <v>673</v>
      </c>
      <c r="D277" s="24">
        <v>0</v>
      </c>
      <c r="E277" s="24">
        <v>0</v>
      </c>
      <c r="F277" s="25" t="s">
        <v>50</v>
      </c>
      <c r="G277" s="24">
        <v>0</v>
      </c>
      <c r="H277" s="24">
        <f t="shared" si="31"/>
        <v>0</v>
      </c>
      <c r="I277" s="24">
        <f t="shared" si="31"/>
        <v>5.7114699999999997E-3</v>
      </c>
      <c r="J277" s="24">
        <v>0</v>
      </c>
      <c r="K277" s="24">
        <v>0</v>
      </c>
      <c r="L277" s="24">
        <v>0</v>
      </c>
      <c r="M277" s="25">
        <v>0</v>
      </c>
      <c r="N277" s="24">
        <v>0</v>
      </c>
      <c r="O277" s="25">
        <v>5.7114699999999997E-3</v>
      </c>
      <c r="P277" s="24">
        <v>0</v>
      </c>
      <c r="Q277" s="25">
        <v>0</v>
      </c>
      <c r="R277" s="25" t="s">
        <v>50</v>
      </c>
      <c r="S277" s="24">
        <f t="shared" si="33"/>
        <v>-5.7114699999999997E-3</v>
      </c>
      <c r="T277" s="24">
        <f t="shared" si="32"/>
        <v>5.7114699999999997E-3</v>
      </c>
      <c r="U277" s="26">
        <v>100</v>
      </c>
      <c r="V277" s="104"/>
    </row>
    <row r="278" spans="1:22" x14ac:dyDescent="0.25">
      <c r="A278" s="42" t="s">
        <v>28</v>
      </c>
      <c r="B278" s="35" t="s">
        <v>824</v>
      </c>
      <c r="C278" s="52" t="s">
        <v>825</v>
      </c>
      <c r="D278" s="24">
        <v>0</v>
      </c>
      <c r="E278" s="24">
        <v>0</v>
      </c>
      <c r="F278" s="25" t="s">
        <v>50</v>
      </c>
      <c r="G278" s="24">
        <v>0</v>
      </c>
      <c r="H278" s="24">
        <v>0</v>
      </c>
      <c r="I278" s="24">
        <f t="shared" si="31"/>
        <v>4.7837399999999999E-3</v>
      </c>
      <c r="J278" s="24">
        <v>0</v>
      </c>
      <c r="K278" s="24">
        <v>0</v>
      </c>
      <c r="L278" s="24">
        <v>0</v>
      </c>
      <c r="M278" s="25">
        <v>0</v>
      </c>
      <c r="N278" s="24">
        <v>0</v>
      </c>
      <c r="O278" s="25">
        <v>0</v>
      </c>
      <c r="P278" s="24">
        <v>0</v>
      </c>
      <c r="Q278" s="25">
        <v>4.7837399999999999E-3</v>
      </c>
      <c r="R278" s="25" t="s">
        <v>50</v>
      </c>
      <c r="S278" s="24">
        <f t="shared" si="33"/>
        <v>-4.7837399999999999E-3</v>
      </c>
      <c r="T278" s="24">
        <f t="shared" si="32"/>
        <v>4.7837399999999999E-3</v>
      </c>
      <c r="U278" s="26">
        <v>100</v>
      </c>
      <c r="V278" s="104"/>
    </row>
    <row r="279" spans="1:22" x14ac:dyDescent="0.25">
      <c r="A279" s="42" t="s">
        <v>28</v>
      </c>
      <c r="B279" s="35" t="s">
        <v>826</v>
      </c>
      <c r="C279" s="52" t="s">
        <v>827</v>
      </c>
      <c r="D279" s="24">
        <v>0</v>
      </c>
      <c r="E279" s="24">
        <v>0</v>
      </c>
      <c r="F279" s="25" t="s">
        <v>50</v>
      </c>
      <c r="G279" s="24">
        <v>0</v>
      </c>
      <c r="H279" s="24">
        <v>0</v>
      </c>
      <c r="I279" s="24">
        <f t="shared" si="31"/>
        <v>3.5696100000000004E-3</v>
      </c>
      <c r="J279" s="24">
        <v>0</v>
      </c>
      <c r="K279" s="24">
        <v>0</v>
      </c>
      <c r="L279" s="24">
        <v>0</v>
      </c>
      <c r="M279" s="25">
        <v>0</v>
      </c>
      <c r="N279" s="24">
        <v>0</v>
      </c>
      <c r="O279" s="25">
        <v>0</v>
      </c>
      <c r="P279" s="24">
        <v>0</v>
      </c>
      <c r="Q279" s="25">
        <v>3.5696100000000004E-3</v>
      </c>
      <c r="R279" s="25" t="s">
        <v>50</v>
      </c>
      <c r="S279" s="24">
        <f t="shared" si="33"/>
        <v>-3.5696100000000004E-3</v>
      </c>
      <c r="T279" s="24">
        <f t="shared" si="32"/>
        <v>3.5696100000000004E-3</v>
      </c>
      <c r="U279" s="26">
        <v>100</v>
      </c>
      <c r="V279" s="104"/>
    </row>
    <row r="280" spans="1:22" x14ac:dyDescent="0.25">
      <c r="A280" s="42" t="s">
        <v>28</v>
      </c>
      <c r="B280" s="35" t="s">
        <v>828</v>
      </c>
      <c r="C280" s="52" t="s">
        <v>829</v>
      </c>
      <c r="D280" s="24">
        <v>0</v>
      </c>
      <c r="E280" s="24">
        <v>0</v>
      </c>
      <c r="F280" s="25" t="s">
        <v>50</v>
      </c>
      <c r="G280" s="24">
        <v>0</v>
      </c>
      <c r="H280" s="24">
        <v>0</v>
      </c>
      <c r="I280" s="24">
        <f t="shared" si="31"/>
        <v>3.0578599999999999E-3</v>
      </c>
      <c r="J280" s="24">
        <v>0</v>
      </c>
      <c r="K280" s="24">
        <v>0</v>
      </c>
      <c r="L280" s="24">
        <v>0</v>
      </c>
      <c r="M280" s="25">
        <v>0</v>
      </c>
      <c r="N280" s="24">
        <v>0</v>
      </c>
      <c r="O280" s="25">
        <v>0</v>
      </c>
      <c r="P280" s="24">
        <v>0</v>
      </c>
      <c r="Q280" s="25">
        <v>3.0578599999999999E-3</v>
      </c>
      <c r="R280" s="25" t="s">
        <v>50</v>
      </c>
      <c r="S280" s="24">
        <f t="shared" si="33"/>
        <v>-3.0578599999999999E-3</v>
      </c>
      <c r="T280" s="24">
        <f t="shared" si="32"/>
        <v>3.0578599999999999E-3</v>
      </c>
      <c r="U280" s="26">
        <v>100</v>
      </c>
      <c r="V280" s="104"/>
    </row>
    <row r="281" spans="1:22" x14ac:dyDescent="0.25">
      <c r="A281" s="42" t="s">
        <v>28</v>
      </c>
      <c r="B281" s="35" t="s">
        <v>830</v>
      </c>
      <c r="C281" s="52" t="s">
        <v>831</v>
      </c>
      <c r="D281" s="24">
        <v>0</v>
      </c>
      <c r="E281" s="24">
        <v>0</v>
      </c>
      <c r="F281" s="25" t="s">
        <v>50</v>
      </c>
      <c r="G281" s="24">
        <v>0</v>
      </c>
      <c r="H281" s="24">
        <v>0</v>
      </c>
      <c r="I281" s="24">
        <f t="shared" si="31"/>
        <v>3.57267E-3</v>
      </c>
      <c r="J281" s="24">
        <v>0</v>
      </c>
      <c r="K281" s="24">
        <v>0</v>
      </c>
      <c r="L281" s="24">
        <v>0</v>
      </c>
      <c r="M281" s="25">
        <v>0</v>
      </c>
      <c r="N281" s="24">
        <v>0</v>
      </c>
      <c r="O281" s="25">
        <v>0</v>
      </c>
      <c r="P281" s="24">
        <v>0</v>
      </c>
      <c r="Q281" s="25">
        <v>3.57267E-3</v>
      </c>
      <c r="R281" s="25" t="s">
        <v>50</v>
      </c>
      <c r="S281" s="24">
        <f t="shared" si="33"/>
        <v>-3.57267E-3</v>
      </c>
      <c r="T281" s="24">
        <f t="shared" si="32"/>
        <v>3.57267E-3</v>
      </c>
      <c r="U281" s="26">
        <v>100</v>
      </c>
      <c r="V281" s="104"/>
    </row>
    <row r="282" spans="1:22" x14ac:dyDescent="0.25">
      <c r="A282" s="42" t="s">
        <v>28</v>
      </c>
      <c r="B282" s="35" t="s">
        <v>832</v>
      </c>
      <c r="C282" s="52" t="s">
        <v>833</v>
      </c>
      <c r="D282" s="24">
        <v>0</v>
      </c>
      <c r="E282" s="24">
        <v>0</v>
      </c>
      <c r="F282" s="25" t="s">
        <v>50</v>
      </c>
      <c r="G282" s="24">
        <v>0</v>
      </c>
      <c r="H282" s="24">
        <v>0</v>
      </c>
      <c r="I282" s="24">
        <f t="shared" si="31"/>
        <v>1.0587039999999999E-2</v>
      </c>
      <c r="J282" s="24">
        <v>0</v>
      </c>
      <c r="K282" s="24">
        <v>0</v>
      </c>
      <c r="L282" s="24">
        <v>0</v>
      </c>
      <c r="M282" s="25">
        <v>0</v>
      </c>
      <c r="N282" s="24">
        <v>0</v>
      </c>
      <c r="O282" s="25">
        <v>0</v>
      </c>
      <c r="P282" s="24">
        <v>0</v>
      </c>
      <c r="Q282" s="25">
        <v>1.0587039999999999E-2</v>
      </c>
      <c r="R282" s="25" t="s">
        <v>50</v>
      </c>
      <c r="S282" s="24">
        <f t="shared" si="33"/>
        <v>-1.0587039999999999E-2</v>
      </c>
      <c r="T282" s="24">
        <f t="shared" si="32"/>
        <v>1.0587039999999999E-2</v>
      </c>
      <c r="U282" s="26">
        <v>100</v>
      </c>
      <c r="V282" s="104"/>
    </row>
    <row r="283" spans="1:22" x14ac:dyDescent="0.25">
      <c r="A283" s="42" t="s">
        <v>28</v>
      </c>
      <c r="B283" s="35" t="s">
        <v>834</v>
      </c>
      <c r="C283" s="52" t="s">
        <v>835</v>
      </c>
      <c r="D283" s="24">
        <v>0</v>
      </c>
      <c r="E283" s="24">
        <v>0</v>
      </c>
      <c r="F283" s="25" t="s">
        <v>50</v>
      </c>
      <c r="G283" s="24">
        <v>0</v>
      </c>
      <c r="H283" s="24">
        <v>0</v>
      </c>
      <c r="I283" s="24">
        <f t="shared" si="31"/>
        <v>6.6003999999999993E-3</v>
      </c>
      <c r="J283" s="24">
        <v>0</v>
      </c>
      <c r="K283" s="24">
        <v>0</v>
      </c>
      <c r="L283" s="24">
        <v>0</v>
      </c>
      <c r="M283" s="25">
        <v>0</v>
      </c>
      <c r="N283" s="24">
        <v>0</v>
      </c>
      <c r="O283" s="25">
        <v>0</v>
      </c>
      <c r="P283" s="24">
        <v>0</v>
      </c>
      <c r="Q283" s="25">
        <v>6.6003999999999993E-3</v>
      </c>
      <c r="R283" s="25" t="s">
        <v>50</v>
      </c>
      <c r="S283" s="24">
        <f t="shared" si="33"/>
        <v>-6.6003999999999993E-3</v>
      </c>
      <c r="T283" s="24">
        <f t="shared" si="32"/>
        <v>6.6003999999999993E-3</v>
      </c>
      <c r="U283" s="26">
        <v>100</v>
      </c>
      <c r="V283" s="104"/>
    </row>
    <row r="284" spans="1:22" x14ac:dyDescent="0.25">
      <c r="A284" s="42" t="s">
        <v>28</v>
      </c>
      <c r="B284" s="35" t="s">
        <v>836</v>
      </c>
      <c r="C284" s="52" t="s">
        <v>837</v>
      </c>
      <c r="D284" s="24">
        <v>0</v>
      </c>
      <c r="E284" s="24">
        <v>0</v>
      </c>
      <c r="F284" s="25" t="s">
        <v>50</v>
      </c>
      <c r="G284" s="24">
        <v>0</v>
      </c>
      <c r="H284" s="24">
        <v>0</v>
      </c>
      <c r="I284" s="24">
        <f t="shared" si="31"/>
        <v>6.4061710000000008E-2</v>
      </c>
      <c r="J284" s="24">
        <v>0</v>
      </c>
      <c r="K284" s="24">
        <v>0</v>
      </c>
      <c r="L284" s="24">
        <v>0</v>
      </c>
      <c r="M284" s="25">
        <v>0</v>
      </c>
      <c r="N284" s="24">
        <v>0</v>
      </c>
      <c r="O284" s="25">
        <v>0</v>
      </c>
      <c r="P284" s="24">
        <v>0</v>
      </c>
      <c r="Q284" s="25">
        <v>6.4061710000000008E-2</v>
      </c>
      <c r="R284" s="25" t="s">
        <v>50</v>
      </c>
      <c r="S284" s="24">
        <f t="shared" si="33"/>
        <v>-6.4061710000000008E-2</v>
      </c>
      <c r="T284" s="24">
        <f t="shared" si="32"/>
        <v>6.4061710000000008E-2</v>
      </c>
      <c r="U284" s="26">
        <v>100</v>
      </c>
      <c r="V284" s="104"/>
    </row>
    <row r="285" spans="1:22" x14ac:dyDescent="0.25">
      <c r="A285" s="42" t="s">
        <v>28</v>
      </c>
      <c r="B285" s="35" t="s">
        <v>838</v>
      </c>
      <c r="C285" s="52" t="s">
        <v>839</v>
      </c>
      <c r="D285" s="24">
        <v>0</v>
      </c>
      <c r="E285" s="24">
        <v>0</v>
      </c>
      <c r="F285" s="25" t="s">
        <v>50</v>
      </c>
      <c r="G285" s="24">
        <v>0</v>
      </c>
      <c r="H285" s="24">
        <v>0</v>
      </c>
      <c r="I285" s="24">
        <f t="shared" si="31"/>
        <v>6.5511500000000004E-3</v>
      </c>
      <c r="J285" s="24">
        <v>0</v>
      </c>
      <c r="K285" s="24">
        <v>0</v>
      </c>
      <c r="L285" s="24">
        <v>0</v>
      </c>
      <c r="M285" s="25">
        <v>0</v>
      </c>
      <c r="N285" s="24">
        <v>0</v>
      </c>
      <c r="O285" s="25">
        <v>0</v>
      </c>
      <c r="P285" s="24">
        <v>0</v>
      </c>
      <c r="Q285" s="25">
        <v>6.5511500000000004E-3</v>
      </c>
      <c r="R285" s="25" t="s">
        <v>50</v>
      </c>
      <c r="S285" s="24">
        <f t="shared" si="33"/>
        <v>-6.5511500000000004E-3</v>
      </c>
      <c r="T285" s="24">
        <f t="shared" si="32"/>
        <v>6.5511500000000004E-3</v>
      </c>
      <c r="U285" s="26">
        <v>100</v>
      </c>
      <c r="V285" s="104"/>
    </row>
    <row r="286" spans="1:22" x14ac:dyDescent="0.25">
      <c r="A286" s="42" t="s">
        <v>28</v>
      </c>
      <c r="B286" s="35" t="s">
        <v>840</v>
      </c>
      <c r="C286" s="52" t="s">
        <v>841</v>
      </c>
      <c r="D286" s="24">
        <v>0</v>
      </c>
      <c r="E286" s="24">
        <v>0</v>
      </c>
      <c r="F286" s="25" t="s">
        <v>50</v>
      </c>
      <c r="G286" s="24">
        <v>0</v>
      </c>
      <c r="H286" s="24">
        <v>0</v>
      </c>
      <c r="I286" s="24">
        <f t="shared" si="31"/>
        <v>0.10545297000000001</v>
      </c>
      <c r="J286" s="24">
        <v>0</v>
      </c>
      <c r="K286" s="24">
        <v>0</v>
      </c>
      <c r="L286" s="24">
        <v>0</v>
      </c>
      <c r="M286" s="25">
        <v>0</v>
      </c>
      <c r="N286" s="24">
        <v>0</v>
      </c>
      <c r="O286" s="25">
        <v>0</v>
      </c>
      <c r="P286" s="24">
        <v>0</v>
      </c>
      <c r="Q286" s="25">
        <v>0.10545297000000001</v>
      </c>
      <c r="R286" s="25" t="s">
        <v>50</v>
      </c>
      <c r="S286" s="24">
        <f t="shared" si="33"/>
        <v>-0.10545297000000001</v>
      </c>
      <c r="T286" s="24">
        <f t="shared" si="32"/>
        <v>0.10545297000000001</v>
      </c>
      <c r="U286" s="26">
        <v>100</v>
      </c>
      <c r="V286" s="104"/>
    </row>
    <row r="287" spans="1:22" x14ac:dyDescent="0.25">
      <c r="A287" s="42" t="s">
        <v>28</v>
      </c>
      <c r="B287" s="35" t="s">
        <v>842</v>
      </c>
      <c r="C287" s="52" t="s">
        <v>843</v>
      </c>
      <c r="D287" s="24">
        <v>0</v>
      </c>
      <c r="E287" s="24">
        <v>0</v>
      </c>
      <c r="F287" s="25" t="s">
        <v>50</v>
      </c>
      <c r="G287" s="24">
        <v>0</v>
      </c>
      <c r="H287" s="24">
        <v>0</v>
      </c>
      <c r="I287" s="24">
        <f t="shared" si="31"/>
        <v>4.1278500000000003E-2</v>
      </c>
      <c r="J287" s="24">
        <v>0</v>
      </c>
      <c r="K287" s="24">
        <v>0</v>
      </c>
      <c r="L287" s="24">
        <v>0</v>
      </c>
      <c r="M287" s="25">
        <v>0</v>
      </c>
      <c r="N287" s="24">
        <v>0</v>
      </c>
      <c r="O287" s="25">
        <v>0</v>
      </c>
      <c r="P287" s="24">
        <v>0</v>
      </c>
      <c r="Q287" s="25">
        <v>4.1278500000000003E-2</v>
      </c>
      <c r="R287" s="25" t="s">
        <v>50</v>
      </c>
      <c r="S287" s="24">
        <f t="shared" si="33"/>
        <v>-4.1278500000000003E-2</v>
      </c>
      <c r="T287" s="24">
        <f t="shared" si="32"/>
        <v>4.1278500000000003E-2</v>
      </c>
      <c r="U287" s="26">
        <v>100</v>
      </c>
      <c r="V287" s="104"/>
    </row>
    <row r="288" spans="1:22" x14ac:dyDescent="0.25">
      <c r="A288" s="42" t="s">
        <v>28</v>
      </c>
      <c r="B288" s="35" t="s">
        <v>844</v>
      </c>
      <c r="C288" s="52" t="s">
        <v>845</v>
      </c>
      <c r="D288" s="24">
        <v>0</v>
      </c>
      <c r="E288" s="24">
        <v>0</v>
      </c>
      <c r="F288" s="25" t="s">
        <v>50</v>
      </c>
      <c r="G288" s="24">
        <v>0</v>
      </c>
      <c r="H288" s="24">
        <v>0</v>
      </c>
      <c r="I288" s="24">
        <f t="shared" si="31"/>
        <v>3.9916630000000002E-2</v>
      </c>
      <c r="J288" s="24">
        <v>0</v>
      </c>
      <c r="K288" s="24">
        <v>0</v>
      </c>
      <c r="L288" s="24">
        <v>0</v>
      </c>
      <c r="M288" s="25">
        <v>0</v>
      </c>
      <c r="N288" s="24">
        <v>0</v>
      </c>
      <c r="O288" s="25">
        <v>0</v>
      </c>
      <c r="P288" s="24">
        <v>0</v>
      </c>
      <c r="Q288" s="25">
        <v>3.9916630000000002E-2</v>
      </c>
      <c r="R288" s="25" t="s">
        <v>50</v>
      </c>
      <c r="S288" s="24">
        <f t="shared" si="33"/>
        <v>-3.9916630000000002E-2</v>
      </c>
      <c r="T288" s="24">
        <f t="shared" si="32"/>
        <v>3.9916630000000002E-2</v>
      </c>
      <c r="U288" s="26">
        <v>100</v>
      </c>
      <c r="V288" s="104"/>
    </row>
    <row r="289" spans="1:22" x14ac:dyDescent="0.25">
      <c r="A289" s="42" t="s">
        <v>28</v>
      </c>
      <c r="B289" s="35" t="s">
        <v>846</v>
      </c>
      <c r="C289" s="52" t="s">
        <v>847</v>
      </c>
      <c r="D289" s="24">
        <v>0</v>
      </c>
      <c r="E289" s="24">
        <v>0</v>
      </c>
      <c r="F289" s="25" t="s">
        <v>50</v>
      </c>
      <c r="G289" s="24">
        <v>0</v>
      </c>
      <c r="H289" s="24">
        <v>0</v>
      </c>
      <c r="I289" s="24">
        <f t="shared" si="31"/>
        <v>7.2694359999999986E-2</v>
      </c>
      <c r="J289" s="24">
        <v>0</v>
      </c>
      <c r="K289" s="24">
        <v>0</v>
      </c>
      <c r="L289" s="24">
        <v>0</v>
      </c>
      <c r="M289" s="25">
        <v>0</v>
      </c>
      <c r="N289" s="24">
        <v>0</v>
      </c>
      <c r="O289" s="25">
        <v>0</v>
      </c>
      <c r="P289" s="24">
        <v>0</v>
      </c>
      <c r="Q289" s="25">
        <v>7.2694359999999986E-2</v>
      </c>
      <c r="R289" s="25" t="s">
        <v>50</v>
      </c>
      <c r="S289" s="24">
        <f t="shared" si="33"/>
        <v>-7.2694359999999986E-2</v>
      </c>
      <c r="T289" s="24">
        <f t="shared" si="32"/>
        <v>7.2694359999999986E-2</v>
      </c>
      <c r="U289" s="26">
        <v>100</v>
      </c>
      <c r="V289" s="104"/>
    </row>
    <row r="290" spans="1:22" x14ac:dyDescent="0.25">
      <c r="A290" s="42" t="s">
        <v>28</v>
      </c>
      <c r="B290" s="35" t="s">
        <v>848</v>
      </c>
      <c r="C290" s="52" t="s">
        <v>849</v>
      </c>
      <c r="D290" s="24">
        <v>0</v>
      </c>
      <c r="E290" s="24">
        <v>0</v>
      </c>
      <c r="F290" s="25" t="s">
        <v>50</v>
      </c>
      <c r="G290" s="24">
        <v>0</v>
      </c>
      <c r="H290" s="24">
        <v>0</v>
      </c>
      <c r="I290" s="24">
        <f t="shared" si="31"/>
        <v>1.006775E-2</v>
      </c>
      <c r="J290" s="24">
        <v>0</v>
      </c>
      <c r="K290" s="24">
        <v>0</v>
      </c>
      <c r="L290" s="24">
        <v>0</v>
      </c>
      <c r="M290" s="25">
        <v>0</v>
      </c>
      <c r="N290" s="24">
        <v>0</v>
      </c>
      <c r="O290" s="25">
        <v>0</v>
      </c>
      <c r="P290" s="24">
        <v>0</v>
      </c>
      <c r="Q290" s="25">
        <v>1.006775E-2</v>
      </c>
      <c r="R290" s="25" t="s">
        <v>50</v>
      </c>
      <c r="S290" s="24">
        <f t="shared" si="33"/>
        <v>-1.006775E-2</v>
      </c>
      <c r="T290" s="24">
        <f t="shared" si="32"/>
        <v>1.006775E-2</v>
      </c>
      <c r="U290" s="26">
        <v>100</v>
      </c>
      <c r="V290" s="104"/>
    </row>
    <row r="291" spans="1:22" x14ac:dyDescent="0.25">
      <c r="A291" s="42" t="s">
        <v>28</v>
      </c>
      <c r="B291" s="35" t="s">
        <v>850</v>
      </c>
      <c r="C291" s="52" t="s">
        <v>851</v>
      </c>
      <c r="D291" s="24">
        <v>0</v>
      </c>
      <c r="E291" s="24">
        <v>0</v>
      </c>
      <c r="F291" s="25" t="s">
        <v>50</v>
      </c>
      <c r="G291" s="24">
        <v>0</v>
      </c>
      <c r="H291" s="24">
        <v>0</v>
      </c>
      <c r="I291" s="24">
        <f t="shared" si="31"/>
        <v>3.1599100000000001E-3</v>
      </c>
      <c r="J291" s="24">
        <v>0</v>
      </c>
      <c r="K291" s="24">
        <v>0</v>
      </c>
      <c r="L291" s="24">
        <v>0</v>
      </c>
      <c r="M291" s="25">
        <v>0</v>
      </c>
      <c r="N291" s="24">
        <v>0</v>
      </c>
      <c r="O291" s="25">
        <v>0</v>
      </c>
      <c r="P291" s="24">
        <v>0</v>
      </c>
      <c r="Q291" s="25">
        <v>3.1599100000000001E-3</v>
      </c>
      <c r="R291" s="25" t="s">
        <v>50</v>
      </c>
      <c r="S291" s="24">
        <f t="shared" si="33"/>
        <v>-3.1599100000000001E-3</v>
      </c>
      <c r="T291" s="24">
        <f t="shared" si="32"/>
        <v>3.1599100000000001E-3</v>
      </c>
      <c r="U291" s="26">
        <v>100</v>
      </c>
      <c r="V291" s="104"/>
    </row>
    <row r="292" spans="1:22" x14ac:dyDescent="0.25">
      <c r="A292" s="42" t="s">
        <v>28</v>
      </c>
      <c r="B292" s="35" t="s">
        <v>850</v>
      </c>
      <c r="C292" s="52" t="s">
        <v>852</v>
      </c>
      <c r="D292" s="24">
        <v>0</v>
      </c>
      <c r="E292" s="24">
        <v>0</v>
      </c>
      <c r="F292" s="25" t="s">
        <v>50</v>
      </c>
      <c r="G292" s="24">
        <v>0</v>
      </c>
      <c r="H292" s="24">
        <v>0</v>
      </c>
      <c r="I292" s="24">
        <f t="shared" si="31"/>
        <v>1.469494E-2</v>
      </c>
      <c r="J292" s="24">
        <v>0</v>
      </c>
      <c r="K292" s="24">
        <v>0</v>
      </c>
      <c r="L292" s="24">
        <v>0</v>
      </c>
      <c r="M292" s="25">
        <v>0</v>
      </c>
      <c r="N292" s="24">
        <v>0</v>
      </c>
      <c r="O292" s="25">
        <v>0</v>
      </c>
      <c r="P292" s="24">
        <v>0</v>
      </c>
      <c r="Q292" s="25">
        <v>1.469494E-2</v>
      </c>
      <c r="R292" s="25" t="s">
        <v>50</v>
      </c>
      <c r="S292" s="24">
        <f t="shared" si="33"/>
        <v>-1.469494E-2</v>
      </c>
      <c r="T292" s="24">
        <f t="shared" si="32"/>
        <v>1.469494E-2</v>
      </c>
      <c r="U292" s="26">
        <v>100</v>
      </c>
      <c r="V292" s="104"/>
    </row>
    <row r="293" spans="1:22" x14ac:dyDescent="0.25">
      <c r="A293" s="42" t="s">
        <v>28</v>
      </c>
      <c r="B293" s="35" t="s">
        <v>853</v>
      </c>
      <c r="C293" s="52" t="s">
        <v>854</v>
      </c>
      <c r="D293" s="24">
        <v>0</v>
      </c>
      <c r="E293" s="24">
        <v>0</v>
      </c>
      <c r="F293" s="25" t="s">
        <v>50</v>
      </c>
      <c r="G293" s="24">
        <v>0</v>
      </c>
      <c r="H293" s="24">
        <v>0</v>
      </c>
      <c r="I293" s="24">
        <f t="shared" si="31"/>
        <v>4.2113900000000006E-3</v>
      </c>
      <c r="J293" s="24">
        <v>0</v>
      </c>
      <c r="K293" s="24">
        <v>0</v>
      </c>
      <c r="L293" s="24">
        <v>0</v>
      </c>
      <c r="M293" s="25">
        <v>0</v>
      </c>
      <c r="N293" s="24">
        <v>0</v>
      </c>
      <c r="O293" s="25">
        <v>0</v>
      </c>
      <c r="P293" s="24">
        <v>0</v>
      </c>
      <c r="Q293" s="25">
        <v>4.2113900000000006E-3</v>
      </c>
      <c r="R293" s="25" t="s">
        <v>50</v>
      </c>
      <c r="S293" s="24">
        <f t="shared" si="33"/>
        <v>-4.2113900000000006E-3</v>
      </c>
      <c r="T293" s="24">
        <f t="shared" si="32"/>
        <v>4.2113900000000006E-3</v>
      </c>
      <c r="U293" s="26">
        <v>100</v>
      </c>
      <c r="V293" s="104"/>
    </row>
    <row r="294" spans="1:22" x14ac:dyDescent="0.25">
      <c r="A294" s="42" t="s">
        <v>28</v>
      </c>
      <c r="B294" s="35" t="s">
        <v>855</v>
      </c>
      <c r="C294" s="52" t="s">
        <v>856</v>
      </c>
      <c r="D294" s="24">
        <v>0</v>
      </c>
      <c r="E294" s="24">
        <v>0</v>
      </c>
      <c r="F294" s="25" t="s">
        <v>50</v>
      </c>
      <c r="G294" s="24">
        <v>0</v>
      </c>
      <c r="H294" s="24">
        <v>0</v>
      </c>
      <c r="I294" s="24">
        <f t="shared" si="31"/>
        <v>4.5267700000000003E-3</v>
      </c>
      <c r="J294" s="24">
        <v>0</v>
      </c>
      <c r="K294" s="24">
        <v>0</v>
      </c>
      <c r="L294" s="24">
        <v>0</v>
      </c>
      <c r="M294" s="25">
        <v>0</v>
      </c>
      <c r="N294" s="24">
        <v>0</v>
      </c>
      <c r="O294" s="25">
        <v>0</v>
      </c>
      <c r="P294" s="24">
        <v>0</v>
      </c>
      <c r="Q294" s="25">
        <v>4.5267700000000003E-3</v>
      </c>
      <c r="R294" s="25" t="s">
        <v>50</v>
      </c>
      <c r="S294" s="24">
        <f t="shared" si="33"/>
        <v>-4.5267700000000003E-3</v>
      </c>
      <c r="T294" s="24">
        <f t="shared" si="32"/>
        <v>4.5267700000000003E-3</v>
      </c>
      <c r="U294" s="26">
        <v>100</v>
      </c>
      <c r="V294" s="104"/>
    </row>
    <row r="295" spans="1:22" x14ac:dyDescent="0.25">
      <c r="A295" s="42" t="s">
        <v>28</v>
      </c>
      <c r="B295" s="35" t="s">
        <v>857</v>
      </c>
      <c r="C295" s="52" t="s">
        <v>858</v>
      </c>
      <c r="D295" s="24">
        <v>0</v>
      </c>
      <c r="E295" s="24">
        <v>0</v>
      </c>
      <c r="F295" s="25" t="s">
        <v>50</v>
      </c>
      <c r="G295" s="24">
        <v>0</v>
      </c>
      <c r="H295" s="24">
        <v>0</v>
      </c>
      <c r="I295" s="24">
        <f t="shared" si="31"/>
        <v>4.5462999999999996E-2</v>
      </c>
      <c r="J295" s="24">
        <v>0</v>
      </c>
      <c r="K295" s="24">
        <v>0</v>
      </c>
      <c r="L295" s="24">
        <v>0</v>
      </c>
      <c r="M295" s="25">
        <v>0</v>
      </c>
      <c r="N295" s="24">
        <v>0</v>
      </c>
      <c r="O295" s="25">
        <v>0</v>
      </c>
      <c r="P295" s="24">
        <v>0</v>
      </c>
      <c r="Q295" s="25">
        <v>4.5462999999999996E-2</v>
      </c>
      <c r="R295" s="25" t="s">
        <v>50</v>
      </c>
      <c r="S295" s="24">
        <f t="shared" si="33"/>
        <v>-4.5462999999999996E-2</v>
      </c>
      <c r="T295" s="24">
        <f t="shared" si="32"/>
        <v>4.5462999999999996E-2</v>
      </c>
      <c r="U295" s="26">
        <v>100</v>
      </c>
      <c r="V295" s="104"/>
    </row>
    <row r="296" spans="1:22" x14ac:dyDescent="0.25">
      <c r="A296" s="42" t="s">
        <v>28</v>
      </c>
      <c r="B296" s="35" t="s">
        <v>859</v>
      </c>
      <c r="C296" s="52" t="s">
        <v>860</v>
      </c>
      <c r="D296" s="24">
        <v>0</v>
      </c>
      <c r="E296" s="24">
        <v>0</v>
      </c>
      <c r="F296" s="25" t="s">
        <v>50</v>
      </c>
      <c r="G296" s="24">
        <v>0</v>
      </c>
      <c r="H296" s="24">
        <v>0</v>
      </c>
      <c r="I296" s="24">
        <f t="shared" si="31"/>
        <v>6.1929999999999997E-3</v>
      </c>
      <c r="J296" s="24">
        <v>0</v>
      </c>
      <c r="K296" s="24">
        <v>0</v>
      </c>
      <c r="L296" s="24">
        <v>0</v>
      </c>
      <c r="M296" s="25">
        <v>0</v>
      </c>
      <c r="N296" s="24">
        <v>0</v>
      </c>
      <c r="O296" s="25">
        <v>0</v>
      </c>
      <c r="P296" s="24">
        <v>0</v>
      </c>
      <c r="Q296" s="25">
        <v>6.1929999999999997E-3</v>
      </c>
      <c r="R296" s="25" t="s">
        <v>50</v>
      </c>
      <c r="S296" s="24">
        <f t="shared" si="33"/>
        <v>-6.1929999999999997E-3</v>
      </c>
      <c r="T296" s="24">
        <f t="shared" si="32"/>
        <v>6.1929999999999997E-3</v>
      </c>
      <c r="U296" s="26">
        <v>100</v>
      </c>
      <c r="V296" s="104"/>
    </row>
    <row r="297" spans="1:22" x14ac:dyDescent="0.25">
      <c r="A297" s="42" t="s">
        <v>28</v>
      </c>
      <c r="B297" s="35" t="s">
        <v>861</v>
      </c>
      <c r="C297" s="52" t="s">
        <v>862</v>
      </c>
      <c r="D297" s="24">
        <v>0</v>
      </c>
      <c r="E297" s="24">
        <v>0</v>
      </c>
      <c r="F297" s="25" t="s">
        <v>50</v>
      </c>
      <c r="G297" s="24">
        <v>0</v>
      </c>
      <c r="H297" s="24">
        <v>0</v>
      </c>
      <c r="I297" s="24">
        <f t="shared" si="31"/>
        <v>7.5023199999999998E-3</v>
      </c>
      <c r="J297" s="24">
        <v>0</v>
      </c>
      <c r="K297" s="24">
        <v>0</v>
      </c>
      <c r="L297" s="24">
        <v>0</v>
      </c>
      <c r="M297" s="25">
        <v>0</v>
      </c>
      <c r="N297" s="24">
        <v>0</v>
      </c>
      <c r="O297" s="25">
        <v>0</v>
      </c>
      <c r="P297" s="24">
        <v>0</v>
      </c>
      <c r="Q297" s="25">
        <v>7.5023199999999998E-3</v>
      </c>
      <c r="R297" s="25" t="s">
        <v>50</v>
      </c>
      <c r="S297" s="24">
        <f t="shared" si="33"/>
        <v>-7.5023199999999998E-3</v>
      </c>
      <c r="T297" s="24">
        <f t="shared" si="32"/>
        <v>7.5023199999999998E-3</v>
      </c>
      <c r="U297" s="26">
        <v>100</v>
      </c>
      <c r="V297" s="104"/>
    </row>
    <row r="298" spans="1:22" x14ac:dyDescent="0.25">
      <c r="A298" s="42" t="s">
        <v>28</v>
      </c>
      <c r="B298" s="35" t="s">
        <v>863</v>
      </c>
      <c r="C298" s="52" t="s">
        <v>864</v>
      </c>
      <c r="D298" s="24">
        <v>0</v>
      </c>
      <c r="E298" s="24">
        <v>0</v>
      </c>
      <c r="F298" s="25" t="s">
        <v>50</v>
      </c>
      <c r="G298" s="24">
        <v>0</v>
      </c>
      <c r="H298" s="24">
        <v>0</v>
      </c>
      <c r="I298" s="24">
        <f t="shared" si="31"/>
        <v>4.450643E-2</v>
      </c>
      <c r="J298" s="24">
        <v>0</v>
      </c>
      <c r="K298" s="24">
        <v>0</v>
      </c>
      <c r="L298" s="24">
        <v>0</v>
      </c>
      <c r="M298" s="25">
        <v>0</v>
      </c>
      <c r="N298" s="24">
        <v>0</v>
      </c>
      <c r="O298" s="25">
        <v>0</v>
      </c>
      <c r="P298" s="24">
        <v>0</v>
      </c>
      <c r="Q298" s="25">
        <v>4.450643E-2</v>
      </c>
      <c r="R298" s="25" t="s">
        <v>50</v>
      </c>
      <c r="S298" s="24">
        <f t="shared" si="33"/>
        <v>-4.450643E-2</v>
      </c>
      <c r="T298" s="24">
        <f t="shared" si="32"/>
        <v>4.450643E-2</v>
      </c>
      <c r="U298" s="26">
        <v>100</v>
      </c>
      <c r="V298" s="104"/>
    </row>
    <row r="299" spans="1:22" x14ac:dyDescent="0.25">
      <c r="A299" s="42" t="s">
        <v>28</v>
      </c>
      <c r="B299" s="35" t="s">
        <v>850</v>
      </c>
      <c r="C299" s="52" t="s">
        <v>865</v>
      </c>
      <c r="D299" s="24">
        <v>0</v>
      </c>
      <c r="E299" s="24">
        <v>0</v>
      </c>
      <c r="F299" s="25" t="s">
        <v>50</v>
      </c>
      <c r="G299" s="24">
        <v>0</v>
      </c>
      <c r="H299" s="24">
        <v>0</v>
      </c>
      <c r="I299" s="24">
        <f t="shared" si="31"/>
        <v>5.1418699999999998E-3</v>
      </c>
      <c r="J299" s="24">
        <v>0</v>
      </c>
      <c r="K299" s="24">
        <v>0</v>
      </c>
      <c r="L299" s="24">
        <v>0</v>
      </c>
      <c r="M299" s="25">
        <v>0</v>
      </c>
      <c r="N299" s="24">
        <v>0</v>
      </c>
      <c r="O299" s="25">
        <v>0</v>
      </c>
      <c r="P299" s="24">
        <v>0</v>
      </c>
      <c r="Q299" s="25">
        <v>5.1418699999999998E-3</v>
      </c>
      <c r="R299" s="25" t="s">
        <v>50</v>
      </c>
      <c r="S299" s="24">
        <f t="shared" si="33"/>
        <v>-5.1418699999999998E-3</v>
      </c>
      <c r="T299" s="24">
        <f t="shared" si="32"/>
        <v>5.1418699999999998E-3</v>
      </c>
      <c r="U299" s="26">
        <v>100</v>
      </c>
      <c r="V299" s="105"/>
    </row>
    <row r="300" spans="1:22" ht="60" customHeight="1" x14ac:dyDescent="0.25">
      <c r="A300" s="28" t="s">
        <v>28</v>
      </c>
      <c r="B300" s="35" t="s">
        <v>185</v>
      </c>
      <c r="C300" s="52" t="s">
        <v>186</v>
      </c>
      <c r="D300" s="24">
        <v>0.33736208354755792</v>
      </c>
      <c r="E300" s="24">
        <v>0</v>
      </c>
      <c r="F300" s="25" t="s">
        <v>50</v>
      </c>
      <c r="G300" s="24">
        <v>2.6246770100000005</v>
      </c>
      <c r="H300" s="24">
        <f t="shared" si="31"/>
        <v>2.6246770100000005</v>
      </c>
      <c r="I300" s="24">
        <f t="shared" si="31"/>
        <v>0</v>
      </c>
      <c r="J300" s="24">
        <v>0</v>
      </c>
      <c r="K300" s="24">
        <v>0</v>
      </c>
      <c r="L300" s="24">
        <v>0</v>
      </c>
      <c r="M300" s="25">
        <v>0</v>
      </c>
      <c r="N300" s="24">
        <v>0</v>
      </c>
      <c r="O300" s="25">
        <v>0</v>
      </c>
      <c r="P300" s="24">
        <v>2.6246770100000005</v>
      </c>
      <c r="Q300" s="25">
        <v>0</v>
      </c>
      <c r="R300" s="25" t="s">
        <v>50</v>
      </c>
      <c r="S300" s="24">
        <f t="shared" si="33"/>
        <v>2.6246770100000005</v>
      </c>
      <c r="T300" s="24">
        <f t="shared" si="32"/>
        <v>-2.6246770100000005</v>
      </c>
      <c r="U300" s="26">
        <f t="shared" ref="U300:U329" si="34">(K300+M300+O300+Q300)/(J300+L300+N300+P300)*100-100</f>
        <v>-100</v>
      </c>
      <c r="V300" s="67" t="s">
        <v>711</v>
      </c>
    </row>
    <row r="301" spans="1:22" x14ac:dyDescent="0.25">
      <c r="A301" s="28" t="s">
        <v>28</v>
      </c>
      <c r="B301" s="35" t="s">
        <v>349</v>
      </c>
      <c r="C301" s="52" t="s">
        <v>350</v>
      </c>
      <c r="D301" s="24">
        <v>0</v>
      </c>
      <c r="E301" s="24">
        <v>0</v>
      </c>
      <c r="F301" s="25" t="s">
        <v>50</v>
      </c>
      <c r="G301" s="24">
        <v>0</v>
      </c>
      <c r="H301" s="24">
        <f t="shared" si="31"/>
        <v>0</v>
      </c>
      <c r="I301" s="24">
        <f t="shared" si="31"/>
        <v>4.9009950000000004E-2</v>
      </c>
      <c r="J301" s="24">
        <v>0</v>
      </c>
      <c r="K301" s="24">
        <v>4.9009950000000004E-2</v>
      </c>
      <c r="L301" s="24">
        <v>0</v>
      </c>
      <c r="M301" s="25">
        <v>0</v>
      </c>
      <c r="N301" s="24">
        <v>0</v>
      </c>
      <c r="O301" s="25">
        <v>0</v>
      </c>
      <c r="P301" s="24">
        <v>0</v>
      </c>
      <c r="Q301" s="25">
        <v>0</v>
      </c>
      <c r="R301" s="25" t="s">
        <v>50</v>
      </c>
      <c r="S301" s="24">
        <f t="shared" si="33"/>
        <v>-4.9009950000000004E-2</v>
      </c>
      <c r="T301" s="24">
        <f t="shared" si="32"/>
        <v>4.9009950000000004E-2</v>
      </c>
      <c r="U301" s="26">
        <v>100</v>
      </c>
      <c r="V301" s="68"/>
    </row>
    <row r="302" spans="1:22" x14ac:dyDescent="0.25">
      <c r="A302" s="28" t="s">
        <v>28</v>
      </c>
      <c r="B302" s="35" t="s">
        <v>351</v>
      </c>
      <c r="C302" s="52" t="s">
        <v>352</v>
      </c>
      <c r="D302" s="24">
        <v>0</v>
      </c>
      <c r="E302" s="24">
        <v>0</v>
      </c>
      <c r="F302" s="25" t="s">
        <v>50</v>
      </c>
      <c r="G302" s="24">
        <v>0</v>
      </c>
      <c r="H302" s="24">
        <f t="shared" si="31"/>
        <v>0</v>
      </c>
      <c r="I302" s="24">
        <f t="shared" si="31"/>
        <v>4.1994010000000005E-2</v>
      </c>
      <c r="J302" s="24">
        <v>0</v>
      </c>
      <c r="K302" s="24">
        <v>4.1994010000000005E-2</v>
      </c>
      <c r="L302" s="24">
        <v>0</v>
      </c>
      <c r="M302" s="25">
        <v>0</v>
      </c>
      <c r="N302" s="24">
        <v>0</v>
      </c>
      <c r="O302" s="25">
        <v>0</v>
      </c>
      <c r="P302" s="24">
        <v>0</v>
      </c>
      <c r="Q302" s="25">
        <v>0</v>
      </c>
      <c r="R302" s="25" t="s">
        <v>50</v>
      </c>
      <c r="S302" s="24">
        <f t="shared" si="33"/>
        <v>-4.1994010000000005E-2</v>
      </c>
      <c r="T302" s="24">
        <f t="shared" si="32"/>
        <v>4.1994010000000005E-2</v>
      </c>
      <c r="U302" s="26">
        <v>100</v>
      </c>
      <c r="V302" s="68"/>
    </row>
    <row r="303" spans="1:22" x14ac:dyDescent="0.25">
      <c r="A303" s="28" t="s">
        <v>28</v>
      </c>
      <c r="B303" s="35" t="s">
        <v>541</v>
      </c>
      <c r="C303" s="52" t="s">
        <v>542</v>
      </c>
      <c r="D303" s="24">
        <v>0</v>
      </c>
      <c r="E303" s="24">
        <v>0</v>
      </c>
      <c r="F303" s="25" t="s">
        <v>50</v>
      </c>
      <c r="G303" s="24">
        <v>0</v>
      </c>
      <c r="H303" s="24">
        <f t="shared" si="31"/>
        <v>0</v>
      </c>
      <c r="I303" s="24">
        <f t="shared" si="31"/>
        <v>9.8689100000000002E-2</v>
      </c>
      <c r="J303" s="24">
        <v>0</v>
      </c>
      <c r="K303" s="24">
        <f>98.6891/1000</f>
        <v>9.8689100000000002E-2</v>
      </c>
      <c r="L303" s="24">
        <v>0</v>
      </c>
      <c r="M303" s="25">
        <v>0</v>
      </c>
      <c r="N303" s="24">
        <v>0</v>
      </c>
      <c r="O303" s="25">
        <v>0</v>
      </c>
      <c r="P303" s="24">
        <v>0</v>
      </c>
      <c r="Q303" s="25">
        <v>0</v>
      </c>
      <c r="R303" s="25" t="s">
        <v>50</v>
      </c>
      <c r="S303" s="24">
        <f t="shared" si="33"/>
        <v>-9.8689100000000002E-2</v>
      </c>
      <c r="T303" s="24">
        <f t="shared" si="32"/>
        <v>9.8689100000000002E-2</v>
      </c>
      <c r="U303" s="26">
        <v>100</v>
      </c>
      <c r="V303" s="68"/>
    </row>
    <row r="304" spans="1:22" ht="30" customHeight="1" x14ac:dyDescent="0.25">
      <c r="A304" s="42" t="s">
        <v>28</v>
      </c>
      <c r="B304" s="27" t="s">
        <v>674</v>
      </c>
      <c r="C304" s="53" t="s">
        <v>675</v>
      </c>
      <c r="D304" s="24">
        <v>0</v>
      </c>
      <c r="E304" s="24">
        <v>0</v>
      </c>
      <c r="F304" s="25" t="s">
        <v>50</v>
      </c>
      <c r="G304" s="24">
        <v>0</v>
      </c>
      <c r="H304" s="24">
        <f t="shared" si="31"/>
        <v>0</v>
      </c>
      <c r="I304" s="24">
        <f t="shared" si="31"/>
        <v>4.0063550000000003E-2</v>
      </c>
      <c r="J304" s="24">
        <v>0</v>
      </c>
      <c r="K304" s="24">
        <v>0</v>
      </c>
      <c r="L304" s="24">
        <v>0</v>
      </c>
      <c r="M304" s="25">
        <v>0</v>
      </c>
      <c r="N304" s="24">
        <v>0</v>
      </c>
      <c r="O304" s="25">
        <v>4.0063550000000003E-2</v>
      </c>
      <c r="P304" s="24">
        <v>0</v>
      </c>
      <c r="Q304" s="25">
        <v>0</v>
      </c>
      <c r="R304" s="25" t="s">
        <v>50</v>
      </c>
      <c r="S304" s="24">
        <f t="shared" si="33"/>
        <v>-4.0063550000000003E-2</v>
      </c>
      <c r="T304" s="24">
        <f t="shared" si="32"/>
        <v>4.0063550000000003E-2</v>
      </c>
      <c r="U304" s="26">
        <v>100</v>
      </c>
      <c r="V304" s="68"/>
    </row>
    <row r="305" spans="1:22" x14ac:dyDescent="0.25">
      <c r="A305" s="42" t="s">
        <v>28</v>
      </c>
      <c r="B305" s="27" t="s">
        <v>676</v>
      </c>
      <c r="C305" s="53" t="s">
        <v>677</v>
      </c>
      <c r="D305" s="24">
        <v>0</v>
      </c>
      <c r="E305" s="24">
        <v>0</v>
      </c>
      <c r="F305" s="25" t="s">
        <v>50</v>
      </c>
      <c r="G305" s="24">
        <v>0</v>
      </c>
      <c r="H305" s="24">
        <f t="shared" si="31"/>
        <v>0</v>
      </c>
      <c r="I305" s="24">
        <f t="shared" si="31"/>
        <v>1.8211430000000001E-2</v>
      </c>
      <c r="J305" s="24">
        <v>0</v>
      </c>
      <c r="K305" s="24">
        <v>0</v>
      </c>
      <c r="L305" s="24">
        <v>0</v>
      </c>
      <c r="M305" s="25">
        <v>0</v>
      </c>
      <c r="N305" s="24">
        <v>0</v>
      </c>
      <c r="O305" s="25">
        <v>1.8211430000000001E-2</v>
      </c>
      <c r="P305" s="24">
        <v>0</v>
      </c>
      <c r="Q305" s="25">
        <v>0</v>
      </c>
      <c r="R305" s="25" t="s">
        <v>50</v>
      </c>
      <c r="S305" s="24">
        <f t="shared" si="33"/>
        <v>-1.8211430000000001E-2</v>
      </c>
      <c r="T305" s="24">
        <f t="shared" si="32"/>
        <v>1.8211430000000001E-2</v>
      </c>
      <c r="U305" s="26">
        <v>100</v>
      </c>
      <c r="V305" s="68"/>
    </row>
    <row r="306" spans="1:22" x14ac:dyDescent="0.25">
      <c r="A306" s="42" t="s">
        <v>28</v>
      </c>
      <c r="B306" s="27" t="s">
        <v>678</v>
      </c>
      <c r="C306" s="53" t="s">
        <v>679</v>
      </c>
      <c r="D306" s="24">
        <v>0</v>
      </c>
      <c r="E306" s="24">
        <v>0</v>
      </c>
      <c r="F306" s="25" t="s">
        <v>50</v>
      </c>
      <c r="G306" s="24">
        <v>0</v>
      </c>
      <c r="H306" s="24">
        <f t="shared" si="31"/>
        <v>0</v>
      </c>
      <c r="I306" s="24">
        <f t="shared" si="31"/>
        <v>1.9296279999999999E-2</v>
      </c>
      <c r="J306" s="24">
        <v>0</v>
      </c>
      <c r="K306" s="24">
        <v>0</v>
      </c>
      <c r="L306" s="24">
        <v>0</v>
      </c>
      <c r="M306" s="25">
        <v>0</v>
      </c>
      <c r="N306" s="24">
        <v>0</v>
      </c>
      <c r="O306" s="25">
        <v>1.9296279999999999E-2</v>
      </c>
      <c r="P306" s="24">
        <v>0</v>
      </c>
      <c r="Q306" s="25">
        <v>0</v>
      </c>
      <c r="R306" s="25" t="s">
        <v>50</v>
      </c>
      <c r="S306" s="24">
        <f t="shared" si="33"/>
        <v>-1.9296279999999999E-2</v>
      </c>
      <c r="T306" s="24">
        <f t="shared" si="32"/>
        <v>1.9296279999999999E-2</v>
      </c>
      <c r="U306" s="26">
        <v>100</v>
      </c>
      <c r="V306" s="68"/>
    </row>
    <row r="307" spans="1:22" x14ac:dyDescent="0.25">
      <c r="A307" s="42" t="s">
        <v>28</v>
      </c>
      <c r="B307" s="27" t="s">
        <v>680</v>
      </c>
      <c r="C307" s="53" t="s">
        <v>681</v>
      </c>
      <c r="D307" s="24">
        <v>0</v>
      </c>
      <c r="E307" s="24">
        <v>0</v>
      </c>
      <c r="F307" s="25" t="s">
        <v>50</v>
      </c>
      <c r="G307" s="24">
        <v>0</v>
      </c>
      <c r="H307" s="24">
        <f t="shared" si="31"/>
        <v>0</v>
      </c>
      <c r="I307" s="24">
        <f t="shared" si="31"/>
        <v>2.5819420000000003E-2</v>
      </c>
      <c r="J307" s="24">
        <v>0</v>
      </c>
      <c r="K307" s="24">
        <v>0</v>
      </c>
      <c r="L307" s="24">
        <v>0</v>
      </c>
      <c r="M307" s="25">
        <v>0</v>
      </c>
      <c r="N307" s="24">
        <v>0</v>
      </c>
      <c r="O307" s="25">
        <v>2.5819420000000003E-2</v>
      </c>
      <c r="P307" s="24">
        <v>0</v>
      </c>
      <c r="Q307" s="25">
        <v>0</v>
      </c>
      <c r="R307" s="25" t="s">
        <v>50</v>
      </c>
      <c r="S307" s="24">
        <f t="shared" si="33"/>
        <v>-2.5819420000000003E-2</v>
      </c>
      <c r="T307" s="24">
        <f t="shared" si="32"/>
        <v>2.5819420000000003E-2</v>
      </c>
      <c r="U307" s="26">
        <v>100</v>
      </c>
      <c r="V307" s="68"/>
    </row>
    <row r="308" spans="1:22" x14ac:dyDescent="0.25">
      <c r="A308" s="42" t="s">
        <v>28</v>
      </c>
      <c r="B308" s="35" t="s">
        <v>866</v>
      </c>
      <c r="C308" s="52" t="s">
        <v>867</v>
      </c>
      <c r="D308" s="24">
        <v>0</v>
      </c>
      <c r="E308" s="24">
        <v>0</v>
      </c>
      <c r="F308" s="25" t="s">
        <v>50</v>
      </c>
      <c r="G308" s="24">
        <v>0</v>
      </c>
      <c r="H308" s="24">
        <v>0</v>
      </c>
      <c r="I308" s="24">
        <f t="shared" si="31"/>
        <v>4.1114520000000002E-2</v>
      </c>
      <c r="J308" s="24">
        <v>0</v>
      </c>
      <c r="K308" s="24">
        <v>0</v>
      </c>
      <c r="L308" s="24">
        <v>0</v>
      </c>
      <c r="M308" s="25">
        <v>0</v>
      </c>
      <c r="N308" s="24">
        <v>0</v>
      </c>
      <c r="O308" s="25">
        <v>0</v>
      </c>
      <c r="P308" s="24">
        <v>0</v>
      </c>
      <c r="Q308" s="25">
        <v>4.1114520000000002E-2</v>
      </c>
      <c r="R308" s="25" t="s">
        <v>50</v>
      </c>
      <c r="S308" s="24">
        <f t="shared" si="33"/>
        <v>-4.1114520000000002E-2</v>
      </c>
      <c r="T308" s="24">
        <f t="shared" si="32"/>
        <v>4.1114520000000002E-2</v>
      </c>
      <c r="U308" s="26">
        <v>100</v>
      </c>
      <c r="V308" s="68"/>
    </row>
    <row r="309" spans="1:22" x14ac:dyDescent="0.25">
      <c r="A309" s="42" t="s">
        <v>28</v>
      </c>
      <c r="B309" s="35" t="s">
        <v>868</v>
      </c>
      <c r="C309" s="52" t="s">
        <v>869</v>
      </c>
      <c r="D309" s="24">
        <v>0</v>
      </c>
      <c r="E309" s="24">
        <v>0</v>
      </c>
      <c r="F309" s="25" t="s">
        <v>50</v>
      </c>
      <c r="G309" s="24">
        <v>0</v>
      </c>
      <c r="H309" s="24">
        <v>0</v>
      </c>
      <c r="I309" s="24">
        <f t="shared" si="31"/>
        <v>1.841916E-2</v>
      </c>
      <c r="J309" s="24">
        <v>0</v>
      </c>
      <c r="K309" s="24">
        <v>0</v>
      </c>
      <c r="L309" s="24">
        <v>0</v>
      </c>
      <c r="M309" s="25">
        <v>0</v>
      </c>
      <c r="N309" s="24">
        <v>0</v>
      </c>
      <c r="O309" s="25">
        <v>0</v>
      </c>
      <c r="P309" s="24">
        <v>0</v>
      </c>
      <c r="Q309" s="25">
        <v>1.841916E-2</v>
      </c>
      <c r="R309" s="25" t="s">
        <v>50</v>
      </c>
      <c r="S309" s="24">
        <f t="shared" si="33"/>
        <v>-1.841916E-2</v>
      </c>
      <c r="T309" s="24">
        <f t="shared" si="32"/>
        <v>1.841916E-2</v>
      </c>
      <c r="U309" s="26">
        <v>100</v>
      </c>
      <c r="V309" s="68"/>
    </row>
    <row r="310" spans="1:22" x14ac:dyDescent="0.25">
      <c r="A310" s="42" t="s">
        <v>28</v>
      </c>
      <c r="B310" s="35" t="s">
        <v>870</v>
      </c>
      <c r="C310" s="52" t="s">
        <v>871</v>
      </c>
      <c r="D310" s="24">
        <v>0</v>
      </c>
      <c r="E310" s="24">
        <v>0</v>
      </c>
      <c r="F310" s="25" t="s">
        <v>50</v>
      </c>
      <c r="G310" s="24">
        <v>0</v>
      </c>
      <c r="H310" s="24">
        <v>0</v>
      </c>
      <c r="I310" s="24">
        <f t="shared" si="31"/>
        <v>7.9742839999999995E-2</v>
      </c>
      <c r="J310" s="24">
        <v>0</v>
      </c>
      <c r="K310" s="24">
        <v>0</v>
      </c>
      <c r="L310" s="24">
        <v>0</v>
      </c>
      <c r="M310" s="25">
        <v>0</v>
      </c>
      <c r="N310" s="24">
        <v>0</v>
      </c>
      <c r="O310" s="25">
        <v>0</v>
      </c>
      <c r="P310" s="24">
        <v>0</v>
      </c>
      <c r="Q310" s="25">
        <v>7.9742839999999995E-2</v>
      </c>
      <c r="R310" s="25" t="s">
        <v>50</v>
      </c>
      <c r="S310" s="24">
        <f t="shared" si="33"/>
        <v>-7.9742839999999995E-2</v>
      </c>
      <c r="T310" s="24">
        <f t="shared" si="32"/>
        <v>7.9742839999999995E-2</v>
      </c>
      <c r="U310" s="26">
        <v>100</v>
      </c>
      <c r="V310" s="68"/>
    </row>
    <row r="311" spans="1:22" x14ac:dyDescent="0.25">
      <c r="A311" s="42" t="s">
        <v>28</v>
      </c>
      <c r="B311" s="35" t="s">
        <v>872</v>
      </c>
      <c r="C311" s="52" t="s">
        <v>873</v>
      </c>
      <c r="D311" s="24">
        <v>0</v>
      </c>
      <c r="E311" s="24">
        <v>0</v>
      </c>
      <c r="F311" s="25" t="s">
        <v>50</v>
      </c>
      <c r="G311" s="24">
        <v>0</v>
      </c>
      <c r="H311" s="24">
        <v>0</v>
      </c>
      <c r="I311" s="24">
        <f t="shared" si="31"/>
        <v>1.4751730000000001E-2</v>
      </c>
      <c r="J311" s="24">
        <v>0</v>
      </c>
      <c r="K311" s="24">
        <v>0</v>
      </c>
      <c r="L311" s="24">
        <v>0</v>
      </c>
      <c r="M311" s="25">
        <v>0</v>
      </c>
      <c r="N311" s="24">
        <v>0</v>
      </c>
      <c r="O311" s="25">
        <v>0</v>
      </c>
      <c r="P311" s="24">
        <v>0</v>
      </c>
      <c r="Q311" s="25">
        <v>1.4751730000000001E-2</v>
      </c>
      <c r="R311" s="25" t="s">
        <v>50</v>
      </c>
      <c r="S311" s="24">
        <f t="shared" si="33"/>
        <v>-1.4751730000000001E-2</v>
      </c>
      <c r="T311" s="24">
        <f t="shared" si="32"/>
        <v>1.4751730000000001E-2</v>
      </c>
      <c r="U311" s="26">
        <v>100</v>
      </c>
      <c r="V311" s="68"/>
    </row>
    <row r="312" spans="1:22" x14ac:dyDescent="0.25">
      <c r="A312" s="42" t="s">
        <v>28</v>
      </c>
      <c r="B312" s="35" t="s">
        <v>874</v>
      </c>
      <c r="C312" s="52" t="s">
        <v>875</v>
      </c>
      <c r="D312" s="24">
        <v>0</v>
      </c>
      <c r="E312" s="24">
        <v>0</v>
      </c>
      <c r="F312" s="25" t="s">
        <v>50</v>
      </c>
      <c r="G312" s="24">
        <v>0</v>
      </c>
      <c r="H312" s="24">
        <v>0</v>
      </c>
      <c r="I312" s="24">
        <f t="shared" si="31"/>
        <v>2.995921E-2</v>
      </c>
      <c r="J312" s="24">
        <v>0</v>
      </c>
      <c r="K312" s="24">
        <v>0</v>
      </c>
      <c r="L312" s="24">
        <v>0</v>
      </c>
      <c r="M312" s="25">
        <v>0</v>
      </c>
      <c r="N312" s="24">
        <v>0</v>
      </c>
      <c r="O312" s="25">
        <v>0</v>
      </c>
      <c r="P312" s="24">
        <v>0</v>
      </c>
      <c r="Q312" s="25">
        <v>2.995921E-2</v>
      </c>
      <c r="R312" s="25" t="s">
        <v>50</v>
      </c>
      <c r="S312" s="24">
        <f t="shared" si="33"/>
        <v>-2.995921E-2</v>
      </c>
      <c r="T312" s="24">
        <f t="shared" si="32"/>
        <v>2.995921E-2</v>
      </c>
      <c r="U312" s="26">
        <v>100</v>
      </c>
      <c r="V312" s="68"/>
    </row>
    <row r="313" spans="1:22" x14ac:dyDescent="0.25">
      <c r="A313" s="42" t="s">
        <v>28</v>
      </c>
      <c r="B313" s="35" t="s">
        <v>876</v>
      </c>
      <c r="C313" s="52" t="s">
        <v>877</v>
      </c>
      <c r="D313" s="24">
        <v>0</v>
      </c>
      <c r="E313" s="24">
        <v>0</v>
      </c>
      <c r="F313" s="25" t="s">
        <v>50</v>
      </c>
      <c r="G313" s="24">
        <v>0</v>
      </c>
      <c r="H313" s="24">
        <v>0</v>
      </c>
      <c r="I313" s="24">
        <f t="shared" si="31"/>
        <v>0.44105396000000002</v>
      </c>
      <c r="J313" s="24">
        <v>0</v>
      </c>
      <c r="K313" s="24">
        <v>0</v>
      </c>
      <c r="L313" s="24">
        <v>0</v>
      </c>
      <c r="M313" s="25">
        <v>0</v>
      </c>
      <c r="N313" s="24">
        <v>0</v>
      </c>
      <c r="O313" s="25">
        <v>0</v>
      </c>
      <c r="P313" s="24">
        <v>0</v>
      </c>
      <c r="Q313" s="25">
        <v>0.44105396000000002</v>
      </c>
      <c r="R313" s="25" t="s">
        <v>50</v>
      </c>
      <c r="S313" s="24">
        <f t="shared" si="33"/>
        <v>-0.44105396000000002</v>
      </c>
      <c r="T313" s="24">
        <f t="shared" si="32"/>
        <v>0.44105396000000002</v>
      </c>
      <c r="U313" s="26">
        <v>100</v>
      </c>
      <c r="V313" s="69"/>
    </row>
    <row r="314" spans="1:22" ht="25.5" x14ac:dyDescent="0.25">
      <c r="A314" s="14" t="s">
        <v>29</v>
      </c>
      <c r="B314" s="19" t="s">
        <v>187</v>
      </c>
      <c r="C314" s="49" t="s">
        <v>52</v>
      </c>
      <c r="D314" s="16">
        <v>12.776977409214091</v>
      </c>
      <c r="E314" s="16">
        <f>E315</f>
        <v>6.1824143639999996</v>
      </c>
      <c r="F314" s="17" t="s">
        <v>50</v>
      </c>
      <c r="G314" s="16">
        <v>90.887803109999993</v>
      </c>
      <c r="H314" s="16">
        <f t="shared" si="31"/>
        <v>90.887803109999993</v>
      </c>
      <c r="I314" s="16">
        <f t="shared" si="31"/>
        <v>49.123878009999999</v>
      </c>
      <c r="J314" s="16">
        <f t="shared" ref="J314:P314" si="35">J315</f>
        <v>5.3372961800000001</v>
      </c>
      <c r="K314" s="16">
        <f t="shared" si="35"/>
        <v>6.1870336900000007</v>
      </c>
      <c r="L314" s="16">
        <f t="shared" si="35"/>
        <v>53.590854789999995</v>
      </c>
      <c r="M314" s="17">
        <f t="shared" si="35"/>
        <v>7.9566634899999968</v>
      </c>
      <c r="N314" s="16">
        <f t="shared" si="35"/>
        <v>11.93280923</v>
      </c>
      <c r="O314" s="17">
        <f t="shared" si="35"/>
        <v>7.6496058400000004</v>
      </c>
      <c r="P314" s="16">
        <f t="shared" si="35"/>
        <v>20.026842909999999</v>
      </c>
      <c r="Q314" s="17">
        <f>Q315</f>
        <v>27.330574990000002</v>
      </c>
      <c r="R314" s="17" t="s">
        <v>50</v>
      </c>
      <c r="S314" s="16">
        <f t="shared" si="33"/>
        <v>41.763925099999994</v>
      </c>
      <c r="T314" s="16">
        <f t="shared" si="32"/>
        <v>-41.763925099999994</v>
      </c>
      <c r="U314" s="18">
        <f t="shared" si="34"/>
        <v>-45.951077780429806</v>
      </c>
      <c r="V314" s="48" t="s">
        <v>50</v>
      </c>
    </row>
    <row r="315" spans="1:22" x14ac:dyDescent="0.25">
      <c r="A315" s="14" t="s">
        <v>188</v>
      </c>
      <c r="B315" s="19" t="s">
        <v>189</v>
      </c>
      <c r="C315" s="49" t="s">
        <v>52</v>
      </c>
      <c r="D315" s="16">
        <v>12.776977409214091</v>
      </c>
      <c r="E315" s="16">
        <f>SUM(E316:E403)</f>
        <v>6.1824143639999996</v>
      </c>
      <c r="F315" s="17" t="s">
        <v>50</v>
      </c>
      <c r="G315" s="16">
        <v>90.887803109999993</v>
      </c>
      <c r="H315" s="16">
        <f t="shared" si="31"/>
        <v>90.887803109999993</v>
      </c>
      <c r="I315" s="16">
        <f t="shared" si="31"/>
        <v>49.123878009999999</v>
      </c>
      <c r="J315" s="16">
        <f>SUM(J316:J419)</f>
        <v>5.3372961800000001</v>
      </c>
      <c r="K315" s="16">
        <f>SUM(K316:K429)</f>
        <v>6.1870336900000007</v>
      </c>
      <c r="L315" s="16">
        <f>SUM(L316:L419)</f>
        <v>53.590854789999995</v>
      </c>
      <c r="M315" s="16">
        <f>SUM(M316:M429)</f>
        <v>7.9566634899999968</v>
      </c>
      <c r="N315" s="16">
        <f>SUM(N316:N419)</f>
        <v>11.93280923</v>
      </c>
      <c r="O315" s="17">
        <f>SUM(O316:O429)</f>
        <v>7.6496058400000004</v>
      </c>
      <c r="P315" s="16">
        <f>SUM(P316:P419)</f>
        <v>20.026842909999999</v>
      </c>
      <c r="Q315" s="17">
        <f>SUM(Q316:Q429)</f>
        <v>27.330574990000002</v>
      </c>
      <c r="R315" s="17" t="s">
        <v>50</v>
      </c>
      <c r="S315" s="16">
        <f t="shared" si="33"/>
        <v>41.763925099999994</v>
      </c>
      <c r="T315" s="16">
        <f t="shared" si="32"/>
        <v>-41.763925099999994</v>
      </c>
      <c r="U315" s="18">
        <f t="shared" si="34"/>
        <v>-45.951077780429806</v>
      </c>
      <c r="V315" s="48" t="s">
        <v>50</v>
      </c>
    </row>
    <row r="316" spans="1:22" x14ac:dyDescent="0.25">
      <c r="A316" s="22" t="s">
        <v>188</v>
      </c>
      <c r="B316" s="32" t="s">
        <v>498</v>
      </c>
      <c r="C316" s="51" t="s">
        <v>499</v>
      </c>
      <c r="D316" s="24">
        <v>0</v>
      </c>
      <c r="E316" s="24">
        <f>19749.72*1.2/1000000</f>
        <v>2.3699664000000002E-2</v>
      </c>
      <c r="F316" s="25" t="s">
        <v>50</v>
      </c>
      <c r="G316" s="24">
        <v>0</v>
      </c>
      <c r="H316" s="24">
        <f t="shared" si="31"/>
        <v>0</v>
      </c>
      <c r="I316" s="24">
        <f t="shared" si="31"/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5">
        <v>0</v>
      </c>
      <c r="P316" s="24">
        <v>0</v>
      </c>
      <c r="Q316" s="25">
        <v>0</v>
      </c>
      <c r="R316" s="25" t="s">
        <v>50</v>
      </c>
      <c r="S316" s="24">
        <f t="shared" si="33"/>
        <v>0</v>
      </c>
      <c r="T316" s="24">
        <f t="shared" si="32"/>
        <v>0</v>
      </c>
      <c r="U316" s="26">
        <v>0</v>
      </c>
      <c r="V316" s="44" t="s">
        <v>50</v>
      </c>
    </row>
    <row r="317" spans="1:22" ht="25.5" x14ac:dyDescent="0.25">
      <c r="A317" s="22" t="s">
        <v>188</v>
      </c>
      <c r="B317" s="32" t="s">
        <v>500</v>
      </c>
      <c r="C317" s="51" t="s">
        <v>501</v>
      </c>
      <c r="D317" s="24">
        <v>0</v>
      </c>
      <c r="E317" s="24">
        <f>33654.68*1.2/1000000</f>
        <v>4.0385615999999999E-2</v>
      </c>
      <c r="F317" s="25" t="s">
        <v>50</v>
      </c>
      <c r="G317" s="24">
        <v>0</v>
      </c>
      <c r="H317" s="24">
        <f t="shared" si="31"/>
        <v>0</v>
      </c>
      <c r="I317" s="24">
        <f t="shared" si="31"/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5">
        <v>0</v>
      </c>
      <c r="P317" s="24">
        <v>0</v>
      </c>
      <c r="Q317" s="25">
        <v>0</v>
      </c>
      <c r="R317" s="25" t="s">
        <v>50</v>
      </c>
      <c r="S317" s="24">
        <f t="shared" si="33"/>
        <v>0</v>
      </c>
      <c r="T317" s="24">
        <f t="shared" si="32"/>
        <v>0</v>
      </c>
      <c r="U317" s="26">
        <v>0</v>
      </c>
      <c r="V317" s="44" t="s">
        <v>50</v>
      </c>
    </row>
    <row r="318" spans="1:22" ht="25.5" x14ac:dyDescent="0.25">
      <c r="A318" s="22" t="s">
        <v>188</v>
      </c>
      <c r="B318" s="32" t="s">
        <v>399</v>
      </c>
      <c r="C318" s="51" t="s">
        <v>502</v>
      </c>
      <c r="D318" s="24">
        <v>0</v>
      </c>
      <c r="E318" s="24">
        <f>13688.2*1.2/1000000</f>
        <v>1.6425840000000001E-2</v>
      </c>
      <c r="F318" s="25" t="s">
        <v>50</v>
      </c>
      <c r="G318" s="24">
        <v>0</v>
      </c>
      <c r="H318" s="24">
        <f t="shared" si="31"/>
        <v>0</v>
      </c>
      <c r="I318" s="24">
        <f t="shared" si="31"/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5">
        <v>0</v>
      </c>
      <c r="P318" s="24">
        <v>0</v>
      </c>
      <c r="Q318" s="25">
        <v>0</v>
      </c>
      <c r="R318" s="25" t="s">
        <v>50</v>
      </c>
      <c r="S318" s="24">
        <f t="shared" si="33"/>
        <v>0</v>
      </c>
      <c r="T318" s="24">
        <f t="shared" si="32"/>
        <v>0</v>
      </c>
      <c r="U318" s="26">
        <v>0</v>
      </c>
      <c r="V318" s="44" t="s">
        <v>50</v>
      </c>
    </row>
    <row r="319" spans="1:22" ht="25.5" x14ac:dyDescent="0.25">
      <c r="A319" s="22" t="s">
        <v>188</v>
      </c>
      <c r="B319" s="32" t="s">
        <v>503</v>
      </c>
      <c r="C319" s="51" t="s">
        <v>504</v>
      </c>
      <c r="D319" s="24">
        <v>0</v>
      </c>
      <c r="E319" s="24">
        <f>46606.37*1.2/1000000</f>
        <v>5.5927643999999999E-2</v>
      </c>
      <c r="F319" s="25" t="s">
        <v>50</v>
      </c>
      <c r="G319" s="24">
        <v>0</v>
      </c>
      <c r="H319" s="24">
        <f t="shared" si="31"/>
        <v>0</v>
      </c>
      <c r="I319" s="24">
        <f t="shared" si="31"/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5">
        <v>0</v>
      </c>
      <c r="P319" s="24">
        <v>0</v>
      </c>
      <c r="Q319" s="25">
        <v>0</v>
      </c>
      <c r="R319" s="25" t="s">
        <v>50</v>
      </c>
      <c r="S319" s="24">
        <f t="shared" si="33"/>
        <v>0</v>
      </c>
      <c r="T319" s="24">
        <f t="shared" si="32"/>
        <v>0</v>
      </c>
      <c r="U319" s="26">
        <v>0</v>
      </c>
      <c r="V319" s="44" t="s">
        <v>50</v>
      </c>
    </row>
    <row r="320" spans="1:22" x14ac:dyDescent="0.25">
      <c r="A320" s="22" t="s">
        <v>188</v>
      </c>
      <c r="B320" s="23" t="s">
        <v>505</v>
      </c>
      <c r="C320" s="53" t="s">
        <v>506</v>
      </c>
      <c r="D320" s="24">
        <v>0</v>
      </c>
      <c r="E320" s="24">
        <f>14778.45*1.2/1000000</f>
        <v>1.7734139999999999E-2</v>
      </c>
      <c r="F320" s="25" t="s">
        <v>50</v>
      </c>
      <c r="G320" s="24">
        <v>0</v>
      </c>
      <c r="H320" s="24">
        <f t="shared" si="31"/>
        <v>0</v>
      </c>
      <c r="I320" s="24">
        <f t="shared" si="31"/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5">
        <v>0</v>
      </c>
      <c r="P320" s="24">
        <v>0</v>
      </c>
      <c r="Q320" s="25">
        <v>0</v>
      </c>
      <c r="R320" s="25" t="s">
        <v>50</v>
      </c>
      <c r="S320" s="24">
        <f t="shared" si="33"/>
        <v>0</v>
      </c>
      <c r="T320" s="24">
        <f t="shared" si="32"/>
        <v>0</v>
      </c>
      <c r="U320" s="26">
        <v>0</v>
      </c>
      <c r="V320" s="44" t="s">
        <v>50</v>
      </c>
    </row>
    <row r="321" spans="1:22" x14ac:dyDescent="0.25">
      <c r="A321" s="22" t="s">
        <v>188</v>
      </c>
      <c r="B321" s="23" t="s">
        <v>507</v>
      </c>
      <c r="C321" s="53" t="s">
        <v>508</v>
      </c>
      <c r="D321" s="24">
        <v>0</v>
      </c>
      <c r="E321" s="24">
        <f>16276.32*1.2/1000000</f>
        <v>1.9531583999999998E-2</v>
      </c>
      <c r="F321" s="25" t="s">
        <v>50</v>
      </c>
      <c r="G321" s="24">
        <v>0</v>
      </c>
      <c r="H321" s="24">
        <f t="shared" si="31"/>
        <v>0</v>
      </c>
      <c r="I321" s="24">
        <f t="shared" si="31"/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5">
        <v>0</v>
      </c>
      <c r="P321" s="24">
        <v>0</v>
      </c>
      <c r="Q321" s="25">
        <v>0</v>
      </c>
      <c r="R321" s="25" t="s">
        <v>50</v>
      </c>
      <c r="S321" s="24">
        <f t="shared" si="33"/>
        <v>0</v>
      </c>
      <c r="T321" s="24">
        <f t="shared" si="32"/>
        <v>0</v>
      </c>
      <c r="U321" s="26">
        <v>0</v>
      </c>
      <c r="V321" s="44" t="s">
        <v>50</v>
      </c>
    </row>
    <row r="322" spans="1:22" x14ac:dyDescent="0.25">
      <c r="A322" s="22" t="s">
        <v>188</v>
      </c>
      <c r="B322" s="23" t="s">
        <v>509</v>
      </c>
      <c r="C322" s="53" t="s">
        <v>510</v>
      </c>
      <c r="D322" s="24">
        <v>0</v>
      </c>
      <c r="E322" s="24">
        <f>18116.35*1.2/1000000</f>
        <v>2.1739619999999998E-2</v>
      </c>
      <c r="F322" s="25" t="s">
        <v>50</v>
      </c>
      <c r="G322" s="24">
        <v>0</v>
      </c>
      <c r="H322" s="24">
        <f t="shared" si="31"/>
        <v>0</v>
      </c>
      <c r="I322" s="24">
        <f t="shared" si="31"/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5">
        <v>0</v>
      </c>
      <c r="P322" s="24">
        <v>0</v>
      </c>
      <c r="Q322" s="25">
        <v>0</v>
      </c>
      <c r="R322" s="25" t="s">
        <v>50</v>
      </c>
      <c r="S322" s="24">
        <f t="shared" si="33"/>
        <v>0</v>
      </c>
      <c r="T322" s="24">
        <f t="shared" si="32"/>
        <v>0</v>
      </c>
      <c r="U322" s="26">
        <v>0</v>
      </c>
      <c r="V322" s="44" t="s">
        <v>50</v>
      </c>
    </row>
    <row r="323" spans="1:22" x14ac:dyDescent="0.25">
      <c r="A323" s="22" t="s">
        <v>188</v>
      </c>
      <c r="B323" s="23" t="s">
        <v>511</v>
      </c>
      <c r="C323" s="51" t="s">
        <v>512</v>
      </c>
      <c r="D323" s="24">
        <v>0</v>
      </c>
      <c r="E323" s="24">
        <f>19037.35*1.2/1000000</f>
        <v>2.2844819999999995E-2</v>
      </c>
      <c r="F323" s="25" t="s">
        <v>50</v>
      </c>
      <c r="G323" s="24">
        <v>0</v>
      </c>
      <c r="H323" s="24">
        <f t="shared" si="31"/>
        <v>0</v>
      </c>
      <c r="I323" s="24">
        <f t="shared" si="31"/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5">
        <v>0</v>
      </c>
      <c r="P323" s="24">
        <v>0</v>
      </c>
      <c r="Q323" s="25">
        <v>0</v>
      </c>
      <c r="R323" s="25" t="s">
        <v>50</v>
      </c>
      <c r="S323" s="24">
        <f t="shared" si="33"/>
        <v>0</v>
      </c>
      <c r="T323" s="24">
        <f t="shared" si="32"/>
        <v>0</v>
      </c>
      <c r="U323" s="26">
        <v>0</v>
      </c>
      <c r="V323" s="44" t="s">
        <v>50</v>
      </c>
    </row>
    <row r="324" spans="1:22" x14ac:dyDescent="0.25">
      <c r="A324" s="22" t="s">
        <v>188</v>
      </c>
      <c r="B324" s="23" t="s">
        <v>513</v>
      </c>
      <c r="C324" s="51" t="s">
        <v>514</v>
      </c>
      <c r="D324" s="24">
        <v>0</v>
      </c>
      <c r="E324" s="24">
        <f>90852.24*1.2/1000000</f>
        <v>0.10902268800000001</v>
      </c>
      <c r="F324" s="25" t="s">
        <v>50</v>
      </c>
      <c r="G324" s="24">
        <v>0</v>
      </c>
      <c r="H324" s="24">
        <f t="shared" si="31"/>
        <v>0</v>
      </c>
      <c r="I324" s="24">
        <f t="shared" si="31"/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5">
        <v>0</v>
      </c>
      <c r="P324" s="24">
        <v>0</v>
      </c>
      <c r="Q324" s="25">
        <v>0</v>
      </c>
      <c r="R324" s="25" t="s">
        <v>50</v>
      </c>
      <c r="S324" s="24">
        <f t="shared" si="33"/>
        <v>0</v>
      </c>
      <c r="T324" s="24">
        <f t="shared" si="32"/>
        <v>0</v>
      </c>
      <c r="U324" s="26">
        <v>0</v>
      </c>
      <c r="V324" s="44" t="s">
        <v>50</v>
      </c>
    </row>
    <row r="325" spans="1:22" ht="26.25" x14ac:dyDescent="0.25">
      <c r="A325" s="28" t="s">
        <v>188</v>
      </c>
      <c r="B325" s="35" t="s">
        <v>388</v>
      </c>
      <c r="C325" s="52" t="s">
        <v>389</v>
      </c>
      <c r="D325" s="24">
        <v>0</v>
      </c>
      <c r="E325" s="24">
        <v>0</v>
      </c>
      <c r="F325" s="25" t="s">
        <v>50</v>
      </c>
      <c r="G325" s="24">
        <v>0</v>
      </c>
      <c r="H325" s="24">
        <f t="shared" si="31"/>
        <v>0</v>
      </c>
      <c r="I325" s="24">
        <f t="shared" si="31"/>
        <v>0.1476577</v>
      </c>
      <c r="J325" s="24">
        <v>0</v>
      </c>
      <c r="K325" s="24">
        <f>147.6577/1000</f>
        <v>0.1476577</v>
      </c>
      <c r="L325" s="24">
        <v>0</v>
      </c>
      <c r="M325" s="25">
        <v>0</v>
      </c>
      <c r="N325" s="24">
        <v>0</v>
      </c>
      <c r="O325" s="25">
        <v>0</v>
      </c>
      <c r="P325" s="24">
        <v>0</v>
      </c>
      <c r="Q325" s="25">
        <v>0</v>
      </c>
      <c r="R325" s="25" t="s">
        <v>50</v>
      </c>
      <c r="S325" s="24">
        <f t="shared" si="33"/>
        <v>-0.1476577</v>
      </c>
      <c r="T325" s="24">
        <f t="shared" si="32"/>
        <v>0.1476577</v>
      </c>
      <c r="U325" s="26">
        <v>100</v>
      </c>
      <c r="V325" s="60" t="s">
        <v>412</v>
      </c>
    </row>
    <row r="326" spans="1:22" ht="38.25" x14ac:dyDescent="0.25">
      <c r="A326" s="34" t="s">
        <v>188</v>
      </c>
      <c r="B326" s="35" t="s">
        <v>390</v>
      </c>
      <c r="C326" s="65" t="s">
        <v>391</v>
      </c>
      <c r="D326" s="24">
        <v>0</v>
      </c>
      <c r="E326" s="24">
        <v>0</v>
      </c>
      <c r="F326" s="25" t="s">
        <v>50</v>
      </c>
      <c r="G326" s="24">
        <v>0</v>
      </c>
      <c r="H326" s="24">
        <f t="shared" si="31"/>
        <v>0</v>
      </c>
      <c r="I326" s="24">
        <f t="shared" si="31"/>
        <v>0.39427714999999997</v>
      </c>
      <c r="J326" s="24">
        <v>0</v>
      </c>
      <c r="K326" s="24">
        <f>375.18735/1000</f>
        <v>0.37518734999999998</v>
      </c>
      <c r="L326" s="24">
        <v>0</v>
      </c>
      <c r="M326" s="25">
        <f>19.0898/1000</f>
        <v>1.9089800000000001E-2</v>
      </c>
      <c r="N326" s="24">
        <v>0</v>
      </c>
      <c r="O326" s="25">
        <v>0</v>
      </c>
      <c r="P326" s="24">
        <v>0</v>
      </c>
      <c r="Q326" s="25">
        <v>0</v>
      </c>
      <c r="R326" s="25" t="s">
        <v>50</v>
      </c>
      <c r="S326" s="24">
        <f t="shared" si="33"/>
        <v>-0.39427714999999997</v>
      </c>
      <c r="T326" s="24">
        <f t="shared" si="32"/>
        <v>0.39427714999999997</v>
      </c>
      <c r="U326" s="26">
        <v>100</v>
      </c>
      <c r="V326" s="60" t="s">
        <v>712</v>
      </c>
    </row>
    <row r="327" spans="1:22" ht="25.5" x14ac:dyDescent="0.25">
      <c r="A327" s="34" t="s">
        <v>188</v>
      </c>
      <c r="B327" s="29" t="s">
        <v>392</v>
      </c>
      <c r="C327" s="54" t="s">
        <v>393</v>
      </c>
      <c r="D327" s="24">
        <v>0</v>
      </c>
      <c r="E327" s="24">
        <v>0</v>
      </c>
      <c r="F327" s="25" t="s">
        <v>50</v>
      </c>
      <c r="G327" s="24">
        <v>0</v>
      </c>
      <c r="H327" s="24">
        <f t="shared" si="31"/>
        <v>0</v>
      </c>
      <c r="I327" s="24">
        <f t="shared" si="31"/>
        <v>2.2242229999999998E-2</v>
      </c>
      <c r="J327" s="24">
        <v>0</v>
      </c>
      <c r="K327" s="24">
        <f>22.24223/1000</f>
        <v>2.2242229999999998E-2</v>
      </c>
      <c r="L327" s="24">
        <v>0</v>
      </c>
      <c r="M327" s="25">
        <v>0</v>
      </c>
      <c r="N327" s="24">
        <v>0</v>
      </c>
      <c r="O327" s="25">
        <v>0</v>
      </c>
      <c r="P327" s="24">
        <v>0</v>
      </c>
      <c r="Q327" s="25">
        <v>0</v>
      </c>
      <c r="R327" s="25" t="s">
        <v>50</v>
      </c>
      <c r="S327" s="24">
        <f t="shared" si="33"/>
        <v>-2.2242229999999998E-2</v>
      </c>
      <c r="T327" s="24">
        <f t="shared" si="32"/>
        <v>2.2242229999999998E-2</v>
      </c>
      <c r="U327" s="26">
        <v>100</v>
      </c>
      <c r="V327" s="60" t="s">
        <v>412</v>
      </c>
    </row>
    <row r="328" spans="1:22" ht="38.25" x14ac:dyDescent="0.25">
      <c r="A328" s="42" t="s">
        <v>188</v>
      </c>
      <c r="B328" s="27" t="s">
        <v>190</v>
      </c>
      <c r="C328" s="53" t="s">
        <v>191</v>
      </c>
      <c r="D328" s="24">
        <v>9.1352279674796727E-2</v>
      </c>
      <c r="E328" s="24">
        <f>17761*1.2/1000000</f>
        <v>2.1313200000000001E-2</v>
      </c>
      <c r="F328" s="25" t="s">
        <v>50</v>
      </c>
      <c r="G328" s="24">
        <v>0.56181652000000004</v>
      </c>
      <c r="H328" s="24">
        <f t="shared" si="31"/>
        <v>0.56181652000000004</v>
      </c>
      <c r="I328" s="24">
        <f t="shared" si="31"/>
        <v>0.20395542</v>
      </c>
      <c r="J328" s="24">
        <v>9.4478179999999995E-2</v>
      </c>
      <c r="K328" s="24">
        <v>0</v>
      </c>
      <c r="L328" s="24">
        <v>0.46733834000000002</v>
      </c>
      <c r="M328" s="25">
        <f>153.44245/1000</f>
        <v>0.15344245000000001</v>
      </c>
      <c r="N328" s="24">
        <v>0</v>
      </c>
      <c r="O328" s="25">
        <v>5.0512970000000004E-2</v>
      </c>
      <c r="P328" s="24">
        <v>0</v>
      </c>
      <c r="Q328" s="25">
        <v>0</v>
      </c>
      <c r="R328" s="25" t="s">
        <v>50</v>
      </c>
      <c r="S328" s="24">
        <f t="shared" si="33"/>
        <v>0.35786110000000004</v>
      </c>
      <c r="T328" s="24">
        <f t="shared" si="32"/>
        <v>-0.35786110000000004</v>
      </c>
      <c r="U328" s="26">
        <f t="shared" si="34"/>
        <v>-63.697147958554154</v>
      </c>
      <c r="V328" s="66" t="s">
        <v>984</v>
      </c>
    </row>
    <row r="329" spans="1:22" ht="38.25" x14ac:dyDescent="0.25">
      <c r="A329" s="34" t="s">
        <v>188</v>
      </c>
      <c r="B329" s="35" t="s">
        <v>192</v>
      </c>
      <c r="C329" s="58" t="s">
        <v>193</v>
      </c>
      <c r="D329" s="24">
        <v>0.56213309430894298</v>
      </c>
      <c r="E329" s="24">
        <f>29215*1.2/1000000</f>
        <v>3.5057999999999999E-2</v>
      </c>
      <c r="F329" s="25" t="s">
        <v>50</v>
      </c>
      <c r="G329" s="24">
        <v>3.4571185299999998</v>
      </c>
      <c r="H329" s="24">
        <f t="shared" si="31"/>
        <v>3.4571185299999998</v>
      </c>
      <c r="I329" s="24">
        <f t="shared" si="31"/>
        <v>1.78505081</v>
      </c>
      <c r="J329" s="24">
        <v>0.23491747000000004</v>
      </c>
      <c r="K329" s="24">
        <v>0</v>
      </c>
      <c r="L329" s="24">
        <v>0</v>
      </c>
      <c r="M329" s="25">
        <v>0</v>
      </c>
      <c r="N329" s="24">
        <v>0</v>
      </c>
      <c r="O329" s="25">
        <v>0.15552955000000002</v>
      </c>
      <c r="P329" s="24">
        <v>3.2222010599999997</v>
      </c>
      <c r="Q329" s="25">
        <v>1.62952126</v>
      </c>
      <c r="R329" s="25" t="s">
        <v>50</v>
      </c>
      <c r="S329" s="24">
        <f t="shared" si="33"/>
        <v>1.6720677199999998</v>
      </c>
      <c r="T329" s="24">
        <f t="shared" si="32"/>
        <v>-1.6720677199999998</v>
      </c>
      <c r="U329" s="26">
        <f t="shared" si="34"/>
        <v>-48.365935546907615</v>
      </c>
      <c r="V329" s="66" t="s">
        <v>984</v>
      </c>
    </row>
    <row r="330" spans="1:22" ht="38.25" x14ac:dyDescent="0.25">
      <c r="A330" s="34" t="s">
        <v>188</v>
      </c>
      <c r="B330" s="35" t="s">
        <v>194</v>
      </c>
      <c r="C330" s="58" t="s">
        <v>195</v>
      </c>
      <c r="D330" s="24">
        <v>0.52758720000000003</v>
      </c>
      <c r="E330" s="24">
        <f>29640*1.2/1000000</f>
        <v>3.5568000000000002E-2</v>
      </c>
      <c r="F330" s="25" t="s">
        <v>50</v>
      </c>
      <c r="G330" s="24">
        <v>3.2446612800000003</v>
      </c>
      <c r="H330" s="24">
        <f t="shared" si="31"/>
        <v>3.2446612800000003</v>
      </c>
      <c r="I330" s="24">
        <f t="shared" si="31"/>
        <v>1.94105638</v>
      </c>
      <c r="J330" s="24">
        <v>0.24077880999999995</v>
      </c>
      <c r="K330" s="24">
        <v>0</v>
      </c>
      <c r="L330" s="24">
        <v>0</v>
      </c>
      <c r="M330" s="25">
        <f>1574.69157/1000</f>
        <v>1.5746915699999999</v>
      </c>
      <c r="N330" s="24">
        <v>0</v>
      </c>
      <c r="O330" s="25">
        <v>0.26733394999999999</v>
      </c>
      <c r="P330" s="24">
        <v>3.0038824700000002</v>
      </c>
      <c r="Q330" s="25">
        <v>9.9030859999999998E-2</v>
      </c>
      <c r="R330" s="25" t="s">
        <v>50</v>
      </c>
      <c r="S330" s="24">
        <f t="shared" si="33"/>
        <v>1.3036049000000003</v>
      </c>
      <c r="T330" s="24">
        <f t="shared" ref="T330:T333" si="36">(K330+M330+O330+Q330)-(J330+L330+N330+P330)</f>
        <v>-1.3036049000000003</v>
      </c>
      <c r="U330" s="26">
        <f t="shared" ref="U330:U333" si="37">(K330+M330+O330+Q330)/(J330+L330+N330+P330)*100-100</f>
        <v>-40.176917943188208</v>
      </c>
      <c r="V330" s="66" t="s">
        <v>984</v>
      </c>
    </row>
    <row r="331" spans="1:22" ht="38.25" x14ac:dyDescent="0.25">
      <c r="A331" s="34" t="s">
        <v>188</v>
      </c>
      <c r="B331" s="35" t="s">
        <v>196</v>
      </c>
      <c r="C331" s="58" t="s">
        <v>197</v>
      </c>
      <c r="D331" s="24">
        <v>0.4543862504065041</v>
      </c>
      <c r="E331" s="24">
        <f>19878*1.2/1000000</f>
        <v>2.3853599999999999E-2</v>
      </c>
      <c r="F331" s="25" t="s">
        <v>50</v>
      </c>
      <c r="G331" s="24">
        <v>2.7944754399999998</v>
      </c>
      <c r="H331" s="24">
        <f t="shared" si="31"/>
        <v>2.7944754399999998</v>
      </c>
      <c r="I331" s="24">
        <f t="shared" si="31"/>
        <v>1.2980308799999998</v>
      </c>
      <c r="J331" s="24">
        <v>0.16992020999999999</v>
      </c>
      <c r="K331" s="24">
        <v>0</v>
      </c>
      <c r="L331" s="24">
        <v>0</v>
      </c>
      <c r="M331" s="25">
        <v>0</v>
      </c>
      <c r="N331" s="24">
        <v>2.6245552299999999</v>
      </c>
      <c r="O331" s="25">
        <v>0.56066300999999996</v>
      </c>
      <c r="P331" s="24">
        <v>0</v>
      </c>
      <c r="Q331" s="25">
        <v>0.73736786999999993</v>
      </c>
      <c r="R331" s="25" t="s">
        <v>50</v>
      </c>
      <c r="S331" s="24">
        <f t="shared" si="33"/>
        <v>1.49644456</v>
      </c>
      <c r="T331" s="24">
        <f t="shared" si="36"/>
        <v>-1.49644456</v>
      </c>
      <c r="U331" s="26">
        <f t="shared" si="37"/>
        <v>-53.550105990553995</v>
      </c>
      <c r="V331" s="66" t="s">
        <v>984</v>
      </c>
    </row>
    <row r="332" spans="1:22" ht="38.25" x14ac:dyDescent="0.25">
      <c r="A332" s="34" t="s">
        <v>188</v>
      </c>
      <c r="B332" s="35" t="s">
        <v>198</v>
      </c>
      <c r="C332" s="58" t="s">
        <v>199</v>
      </c>
      <c r="D332" s="24">
        <v>0.66531512032520312</v>
      </c>
      <c r="E332" s="24">
        <f>25723*1.2/1000000</f>
        <v>3.0867599999999999E-2</v>
      </c>
      <c r="F332" s="25" t="s">
        <v>50</v>
      </c>
      <c r="G332" s="24">
        <v>4.0916879899999996</v>
      </c>
      <c r="H332" s="24">
        <f t="shared" si="31"/>
        <v>4.0916879899999996</v>
      </c>
      <c r="I332" s="24">
        <f t="shared" si="31"/>
        <v>2.9447051000000002</v>
      </c>
      <c r="J332" s="24">
        <v>0.22932653999999997</v>
      </c>
      <c r="K332" s="24">
        <v>0</v>
      </c>
      <c r="L332" s="24">
        <v>3.8623614499999999</v>
      </c>
      <c r="M332" s="25">
        <v>0</v>
      </c>
      <c r="N332" s="24">
        <v>0</v>
      </c>
      <c r="O332" s="25">
        <v>1.4014343300000001</v>
      </c>
      <c r="P332" s="24">
        <v>0</v>
      </c>
      <c r="Q332" s="25">
        <v>1.5432707699999999</v>
      </c>
      <c r="R332" s="25" t="s">
        <v>50</v>
      </c>
      <c r="S332" s="24">
        <f t="shared" si="33"/>
        <v>1.1469828899999994</v>
      </c>
      <c r="T332" s="24">
        <f t="shared" si="36"/>
        <v>-1.1469828899999994</v>
      </c>
      <c r="U332" s="26">
        <f t="shared" si="37"/>
        <v>-28.032022304809217</v>
      </c>
      <c r="V332" s="66" t="s">
        <v>984</v>
      </c>
    </row>
    <row r="333" spans="1:22" ht="38.25" x14ac:dyDescent="0.25">
      <c r="A333" s="34" t="s">
        <v>188</v>
      </c>
      <c r="B333" s="35" t="s">
        <v>200</v>
      </c>
      <c r="C333" s="58" t="s">
        <v>201</v>
      </c>
      <c r="D333" s="24">
        <v>0.5649012422764228</v>
      </c>
      <c r="E333" s="24">
        <f>27559*1.2/1000000</f>
        <v>3.3070799999999997E-2</v>
      </c>
      <c r="F333" s="25" t="s">
        <v>50</v>
      </c>
      <c r="G333" s="24">
        <v>3.4741426399999997</v>
      </c>
      <c r="H333" s="24">
        <f t="shared" si="31"/>
        <v>3.4741426399999997</v>
      </c>
      <c r="I333" s="24">
        <f t="shared" si="31"/>
        <v>2.2571975799999997</v>
      </c>
      <c r="J333" s="24">
        <v>0.21383925999999998</v>
      </c>
      <c r="K333" s="24">
        <v>0</v>
      </c>
      <c r="L333" s="24">
        <v>0</v>
      </c>
      <c r="M333" s="25">
        <f>824.29149/1000</f>
        <v>0.8242914899999999</v>
      </c>
      <c r="N333" s="24">
        <v>0</v>
      </c>
      <c r="O333" s="25">
        <v>1.34564803</v>
      </c>
      <c r="P333" s="24">
        <v>3.2603033799999999</v>
      </c>
      <c r="Q333" s="25">
        <v>8.7258059999999998E-2</v>
      </c>
      <c r="R333" s="25" t="s">
        <v>50</v>
      </c>
      <c r="S333" s="24">
        <f t="shared" si="33"/>
        <v>1.21694506</v>
      </c>
      <c r="T333" s="24">
        <f t="shared" si="36"/>
        <v>-1.21694506</v>
      </c>
      <c r="U333" s="26">
        <f t="shared" si="37"/>
        <v>-35.028644074326209</v>
      </c>
      <c r="V333" s="66" t="s">
        <v>984</v>
      </c>
    </row>
    <row r="334" spans="1:22" ht="26.25" x14ac:dyDescent="0.25">
      <c r="A334" s="42" t="s">
        <v>188</v>
      </c>
      <c r="B334" s="27" t="s">
        <v>202</v>
      </c>
      <c r="C334" s="53" t="s">
        <v>203</v>
      </c>
      <c r="D334" s="24">
        <v>1.2148148148148149E-2</v>
      </c>
      <c r="E334" s="24">
        <f>19029.46*1.2/1000000</f>
        <v>2.2835352E-2</v>
      </c>
      <c r="F334" s="25" t="s">
        <v>50</v>
      </c>
      <c r="G334" s="24">
        <v>8.2000000000000003E-2</v>
      </c>
      <c r="H334" s="24">
        <f t="shared" si="31"/>
        <v>8.2000000000000003E-2</v>
      </c>
      <c r="I334" s="98">
        <f t="shared" ref="I334" si="38">K334+M334+O334</f>
        <v>0.2888521</v>
      </c>
      <c r="J334" s="24">
        <v>1.4999999999999999E-2</v>
      </c>
      <c r="K334" s="24">
        <v>0</v>
      </c>
      <c r="L334" s="24">
        <v>6.7000000000000004E-2</v>
      </c>
      <c r="M334" s="98">
        <f>259.93167/1000</f>
        <v>0.25993167</v>
      </c>
      <c r="N334" s="24">
        <v>0</v>
      </c>
      <c r="O334" s="98">
        <v>2.8920429999999997E-2</v>
      </c>
      <c r="P334" s="24">
        <v>0</v>
      </c>
      <c r="Q334" s="25">
        <v>0</v>
      </c>
      <c r="R334" s="25" t="s">
        <v>50</v>
      </c>
      <c r="S334" s="98">
        <v>-6.7109959999999969E-2</v>
      </c>
      <c r="T334" s="98">
        <f>(M334+O334)-(J334+J335+J336+L334+L335+L336)</f>
        <v>-6.7109959999999969E-2</v>
      </c>
      <c r="U334" s="84">
        <v>-18.853121999999999</v>
      </c>
      <c r="V334" s="87" t="s">
        <v>987</v>
      </c>
    </row>
    <row r="335" spans="1:22" ht="26.25" x14ac:dyDescent="0.25">
      <c r="A335" s="42" t="s">
        <v>188</v>
      </c>
      <c r="B335" s="27" t="s">
        <v>204</v>
      </c>
      <c r="C335" s="53" t="s">
        <v>205</v>
      </c>
      <c r="D335" s="24">
        <v>1.4074074074074074E-2</v>
      </c>
      <c r="E335" s="24">
        <v>0</v>
      </c>
      <c r="F335" s="25" t="s">
        <v>50</v>
      </c>
      <c r="G335" s="24">
        <v>9.5000000000000001E-2</v>
      </c>
      <c r="H335" s="24">
        <f t="shared" si="31"/>
        <v>9.5000000000000001E-2</v>
      </c>
      <c r="I335" s="99"/>
      <c r="J335" s="24">
        <v>0.02</v>
      </c>
      <c r="K335" s="24">
        <v>0</v>
      </c>
      <c r="L335" s="24">
        <v>7.4999999999999997E-2</v>
      </c>
      <c r="M335" s="99"/>
      <c r="N335" s="24">
        <v>0</v>
      </c>
      <c r="O335" s="99"/>
      <c r="P335" s="24">
        <v>0</v>
      </c>
      <c r="Q335" s="25">
        <v>0</v>
      </c>
      <c r="R335" s="25" t="s">
        <v>50</v>
      </c>
      <c r="S335" s="99"/>
      <c r="T335" s="99"/>
      <c r="U335" s="85">
        <f t="shared" ref="U335:U336" si="39">(K335+M335)/(J335+L335)*100-100</f>
        <v>-100</v>
      </c>
      <c r="V335" s="88"/>
    </row>
    <row r="336" spans="1:22" ht="26.25" x14ac:dyDescent="0.25">
      <c r="A336" s="42" t="s">
        <v>188</v>
      </c>
      <c r="B336" s="27" t="s">
        <v>206</v>
      </c>
      <c r="C336" s="53" t="s">
        <v>207</v>
      </c>
      <c r="D336" s="24">
        <v>2.651289777777778E-2</v>
      </c>
      <c r="E336" s="24">
        <v>0</v>
      </c>
      <c r="F336" s="25" t="s">
        <v>50</v>
      </c>
      <c r="G336" s="24">
        <v>0.17896205999999998</v>
      </c>
      <c r="H336" s="24">
        <f t="shared" si="31"/>
        <v>0.17896205999999998</v>
      </c>
      <c r="I336" s="100"/>
      <c r="J336" s="24">
        <v>2.1951059999999998E-2</v>
      </c>
      <c r="K336" s="24">
        <v>0</v>
      </c>
      <c r="L336" s="24">
        <v>0.15701099999999998</v>
      </c>
      <c r="M336" s="100"/>
      <c r="N336" s="24">
        <v>0</v>
      </c>
      <c r="O336" s="100"/>
      <c r="P336" s="24">
        <v>0</v>
      </c>
      <c r="Q336" s="25">
        <v>0</v>
      </c>
      <c r="R336" s="25" t="s">
        <v>50</v>
      </c>
      <c r="S336" s="100"/>
      <c r="T336" s="100"/>
      <c r="U336" s="86">
        <f t="shared" si="39"/>
        <v>-100</v>
      </c>
      <c r="V336" s="89"/>
    </row>
    <row r="337" spans="1:22" ht="26.25" x14ac:dyDescent="0.25">
      <c r="A337" s="42" t="s">
        <v>188</v>
      </c>
      <c r="B337" s="27" t="s">
        <v>208</v>
      </c>
      <c r="C337" s="53" t="s">
        <v>209</v>
      </c>
      <c r="D337" s="24">
        <v>5.8865629629629622E-2</v>
      </c>
      <c r="E337" s="24">
        <v>0</v>
      </c>
      <c r="F337" s="25" t="s">
        <v>50</v>
      </c>
      <c r="G337" s="24">
        <v>0.397343</v>
      </c>
      <c r="H337" s="24">
        <f t="shared" si="31"/>
        <v>0.397343</v>
      </c>
      <c r="I337" s="24">
        <f t="shared" si="31"/>
        <v>0.24833919000000002</v>
      </c>
      <c r="J337" s="24">
        <v>6.2037999999999989E-2</v>
      </c>
      <c r="K337" s="24">
        <v>0</v>
      </c>
      <c r="L337" s="24">
        <v>0.33530500000000002</v>
      </c>
      <c r="M337" s="25">
        <f>268.27792/1000</f>
        <v>0.26827792</v>
      </c>
      <c r="N337" s="24">
        <v>0</v>
      </c>
      <c r="O337" s="25">
        <v>-1.9938729999999998E-2</v>
      </c>
      <c r="P337" s="24">
        <v>0</v>
      </c>
      <c r="Q337" s="25">
        <v>0</v>
      </c>
      <c r="R337" s="25" t="s">
        <v>50</v>
      </c>
      <c r="S337" s="24">
        <f t="shared" ref="S337:S400" si="40">G337-I337</f>
        <v>0.14900380999999999</v>
      </c>
      <c r="T337" s="24">
        <f t="shared" ref="T337:T400" si="41">(K337+M337+O337+Q337)-(J337+L337+N337+P337)</f>
        <v>-0.14900380999999999</v>
      </c>
      <c r="U337" s="26">
        <f t="shared" ref="U337:U398" si="42">(K337+M337+O337+Q337)/(J337+L337+N337+P337)*100-100</f>
        <v>-37.500046559269947</v>
      </c>
      <c r="V337" s="59" t="s">
        <v>988</v>
      </c>
    </row>
    <row r="338" spans="1:22" ht="26.25" x14ac:dyDescent="0.25">
      <c r="A338" s="42" t="s">
        <v>188</v>
      </c>
      <c r="B338" s="27" t="s">
        <v>210</v>
      </c>
      <c r="C338" s="53" t="s">
        <v>211</v>
      </c>
      <c r="D338" s="24">
        <v>3.7814814814814815E-2</v>
      </c>
      <c r="E338" s="24">
        <v>0</v>
      </c>
      <c r="F338" s="25" t="s">
        <v>50</v>
      </c>
      <c r="G338" s="24">
        <v>0.25524999999999998</v>
      </c>
      <c r="H338" s="24">
        <f t="shared" si="31"/>
        <v>0.25524999999999998</v>
      </c>
      <c r="I338" s="24">
        <f t="shared" si="31"/>
        <v>0.22962513000000001</v>
      </c>
      <c r="J338" s="24">
        <v>3.5000000000000003E-2</v>
      </c>
      <c r="K338" s="24">
        <v>0</v>
      </c>
      <c r="L338" s="24">
        <v>0.22025</v>
      </c>
      <c r="M338" s="25">
        <f>229.62513/1000</f>
        <v>0.22962513000000001</v>
      </c>
      <c r="N338" s="24">
        <v>0</v>
      </c>
      <c r="O338" s="25">
        <v>0</v>
      </c>
      <c r="P338" s="24">
        <v>0</v>
      </c>
      <c r="Q338" s="25">
        <v>0</v>
      </c>
      <c r="R338" s="25" t="s">
        <v>50</v>
      </c>
      <c r="S338" s="24">
        <f t="shared" si="40"/>
        <v>2.5624869999999966E-2</v>
      </c>
      <c r="T338" s="24">
        <f t="shared" si="41"/>
        <v>-2.5624869999999966E-2</v>
      </c>
      <c r="U338" s="26">
        <f t="shared" si="42"/>
        <v>-10.039126346718902</v>
      </c>
      <c r="V338" s="59" t="s">
        <v>988</v>
      </c>
    </row>
    <row r="339" spans="1:22" ht="26.25" x14ac:dyDescent="0.25">
      <c r="A339" s="42" t="s">
        <v>188</v>
      </c>
      <c r="B339" s="27" t="s">
        <v>212</v>
      </c>
      <c r="C339" s="53" t="s">
        <v>213</v>
      </c>
      <c r="D339" s="24">
        <v>3.0481777777777785E-2</v>
      </c>
      <c r="E339" s="24">
        <f>15230*1.2/1000000</f>
        <v>1.8276000000000001E-2</v>
      </c>
      <c r="F339" s="25" t="s">
        <v>50</v>
      </c>
      <c r="G339" s="24">
        <v>0.20575199999999999</v>
      </c>
      <c r="H339" s="24">
        <f t="shared" si="31"/>
        <v>0.20575199999999999</v>
      </c>
      <c r="I339" s="24">
        <f t="shared" si="31"/>
        <v>0.27251484999999998</v>
      </c>
      <c r="J339" s="24">
        <v>3.0500000000000003E-2</v>
      </c>
      <c r="K339" s="24">
        <v>0</v>
      </c>
      <c r="L339" s="24">
        <v>0.17525199999999999</v>
      </c>
      <c r="M339" s="25">
        <f>292.6382/1000</f>
        <v>0.29263819999999996</v>
      </c>
      <c r="N339" s="24">
        <v>0</v>
      </c>
      <c r="O339" s="25">
        <v>-2.0123349999999998E-2</v>
      </c>
      <c r="P339" s="24">
        <v>0</v>
      </c>
      <c r="Q339" s="25">
        <v>0</v>
      </c>
      <c r="R339" s="25" t="s">
        <v>50</v>
      </c>
      <c r="S339" s="24">
        <f t="shared" si="40"/>
        <v>-6.6762849999999985E-2</v>
      </c>
      <c r="T339" s="24">
        <f t="shared" si="41"/>
        <v>6.6762849999999985E-2</v>
      </c>
      <c r="U339" s="26">
        <f t="shared" si="42"/>
        <v>32.448214355146007</v>
      </c>
      <c r="V339" s="59" t="s">
        <v>988</v>
      </c>
    </row>
    <row r="340" spans="1:22" ht="26.25" x14ac:dyDescent="0.25">
      <c r="A340" s="42" t="s">
        <v>188</v>
      </c>
      <c r="B340" s="27" t="s">
        <v>214</v>
      </c>
      <c r="C340" s="53" t="s">
        <v>215</v>
      </c>
      <c r="D340" s="24">
        <v>3.1053797037037038E-2</v>
      </c>
      <c r="E340" s="24">
        <f>22781.46*1.2/1000000</f>
        <v>2.7337751999999996E-2</v>
      </c>
      <c r="F340" s="25" t="s">
        <v>50</v>
      </c>
      <c r="G340" s="24">
        <v>0.20961313000000001</v>
      </c>
      <c r="H340" s="24">
        <f t="shared" si="31"/>
        <v>0.20961313000000001</v>
      </c>
      <c r="I340" s="24">
        <f t="shared" si="31"/>
        <v>0.14644272</v>
      </c>
      <c r="J340" s="24">
        <v>3.628613E-2</v>
      </c>
      <c r="K340" s="24">
        <v>0</v>
      </c>
      <c r="L340" s="24">
        <v>0.17332700000000001</v>
      </c>
      <c r="M340" s="25">
        <f>146.44272/1000</f>
        <v>0.14644272</v>
      </c>
      <c r="N340" s="24">
        <v>0</v>
      </c>
      <c r="O340" s="25">
        <v>0</v>
      </c>
      <c r="P340" s="24">
        <v>0</v>
      </c>
      <c r="Q340" s="25">
        <v>0</v>
      </c>
      <c r="R340" s="25" t="s">
        <v>50</v>
      </c>
      <c r="S340" s="24">
        <f t="shared" si="40"/>
        <v>6.317041000000001E-2</v>
      </c>
      <c r="T340" s="24">
        <f t="shared" si="41"/>
        <v>-6.317041000000001E-2</v>
      </c>
      <c r="U340" s="26">
        <f t="shared" si="42"/>
        <v>-30.136666534200415</v>
      </c>
      <c r="V340" s="59" t="s">
        <v>988</v>
      </c>
    </row>
    <row r="341" spans="1:22" ht="26.25" x14ac:dyDescent="0.25">
      <c r="A341" s="34" t="s">
        <v>188</v>
      </c>
      <c r="B341" s="35" t="s">
        <v>394</v>
      </c>
      <c r="C341" s="65" t="s">
        <v>395</v>
      </c>
      <c r="D341" s="24">
        <v>0</v>
      </c>
      <c r="E341" s="24">
        <f>737884.93*1.2/1000000</f>
        <v>0.88546191600000013</v>
      </c>
      <c r="F341" s="25" t="s">
        <v>50</v>
      </c>
      <c r="G341" s="24">
        <v>0</v>
      </c>
      <c r="H341" s="24">
        <f t="shared" si="31"/>
        <v>0</v>
      </c>
      <c r="I341" s="24">
        <f t="shared" si="31"/>
        <v>0.73788493000000011</v>
      </c>
      <c r="J341" s="24">
        <v>0</v>
      </c>
      <c r="K341" s="24">
        <f>737.88493/1000</f>
        <v>0.73788493000000011</v>
      </c>
      <c r="L341" s="24">
        <v>0</v>
      </c>
      <c r="M341" s="25">
        <v>0</v>
      </c>
      <c r="N341" s="24">
        <v>0</v>
      </c>
      <c r="O341" s="25">
        <v>0</v>
      </c>
      <c r="P341" s="24">
        <v>0</v>
      </c>
      <c r="Q341" s="25">
        <v>0</v>
      </c>
      <c r="R341" s="25" t="s">
        <v>50</v>
      </c>
      <c r="S341" s="24">
        <f t="shared" si="40"/>
        <v>-0.73788493000000011</v>
      </c>
      <c r="T341" s="24">
        <f t="shared" si="41"/>
        <v>0.73788493000000011</v>
      </c>
      <c r="U341" s="26">
        <v>100</v>
      </c>
      <c r="V341" s="60" t="s">
        <v>412</v>
      </c>
    </row>
    <row r="342" spans="1:22" ht="26.25" x14ac:dyDescent="0.25">
      <c r="A342" s="28" t="s">
        <v>188</v>
      </c>
      <c r="B342" s="35" t="s">
        <v>396</v>
      </c>
      <c r="C342" s="52" t="s">
        <v>878</v>
      </c>
      <c r="D342" s="24">
        <v>0</v>
      </c>
      <c r="E342" s="24">
        <v>0</v>
      </c>
      <c r="F342" s="25" t="s">
        <v>50</v>
      </c>
      <c r="G342" s="24">
        <v>0</v>
      </c>
      <c r="H342" s="24">
        <f t="shared" si="31"/>
        <v>0</v>
      </c>
      <c r="I342" s="24">
        <f t="shared" si="31"/>
        <v>9.9558510000000003E-2</v>
      </c>
      <c r="J342" s="24">
        <v>0</v>
      </c>
      <c r="K342" s="24">
        <f>99.55851/1000</f>
        <v>9.9558510000000003E-2</v>
      </c>
      <c r="L342" s="24">
        <v>0</v>
      </c>
      <c r="M342" s="25">
        <v>0</v>
      </c>
      <c r="N342" s="24">
        <v>0</v>
      </c>
      <c r="O342" s="25">
        <v>0</v>
      </c>
      <c r="P342" s="24">
        <v>0</v>
      </c>
      <c r="Q342" s="25">
        <v>0</v>
      </c>
      <c r="R342" s="25" t="s">
        <v>50</v>
      </c>
      <c r="S342" s="24">
        <f t="shared" si="40"/>
        <v>-9.9558510000000003E-2</v>
      </c>
      <c r="T342" s="24">
        <f t="shared" si="41"/>
        <v>9.9558510000000003E-2</v>
      </c>
      <c r="U342" s="26">
        <v>100</v>
      </c>
      <c r="V342" s="44" t="s">
        <v>713</v>
      </c>
    </row>
    <row r="343" spans="1:22" ht="26.25" x14ac:dyDescent="0.25">
      <c r="A343" s="28" t="s">
        <v>188</v>
      </c>
      <c r="B343" s="35" t="s">
        <v>566</v>
      </c>
      <c r="C343" s="52" t="s">
        <v>879</v>
      </c>
      <c r="D343" s="24">
        <v>0</v>
      </c>
      <c r="E343" s="24">
        <v>0</v>
      </c>
      <c r="F343" s="25" t="s">
        <v>50</v>
      </c>
      <c r="G343" s="24">
        <v>0</v>
      </c>
      <c r="H343" s="24">
        <f t="shared" si="31"/>
        <v>0</v>
      </c>
      <c r="I343" s="24">
        <f t="shared" si="31"/>
        <v>3.7507609999999997E-2</v>
      </c>
      <c r="J343" s="24">
        <v>0</v>
      </c>
      <c r="K343" s="24">
        <v>0</v>
      </c>
      <c r="L343" s="24">
        <v>0</v>
      </c>
      <c r="M343" s="25">
        <f>37.50761/1000</f>
        <v>3.7507609999999997E-2</v>
      </c>
      <c r="N343" s="24">
        <v>0</v>
      </c>
      <c r="O343" s="25">
        <v>0</v>
      </c>
      <c r="P343" s="24">
        <v>0</v>
      </c>
      <c r="Q343" s="25">
        <v>0</v>
      </c>
      <c r="R343" s="25" t="s">
        <v>50</v>
      </c>
      <c r="S343" s="24">
        <f t="shared" si="40"/>
        <v>-3.7507609999999997E-2</v>
      </c>
      <c r="T343" s="24">
        <f t="shared" si="41"/>
        <v>3.7507609999999997E-2</v>
      </c>
      <c r="U343" s="26">
        <v>100</v>
      </c>
      <c r="V343" s="60" t="s">
        <v>713</v>
      </c>
    </row>
    <row r="344" spans="1:22" ht="26.25" x14ac:dyDescent="0.25">
      <c r="A344" s="28" t="s">
        <v>188</v>
      </c>
      <c r="B344" s="35" t="s">
        <v>880</v>
      </c>
      <c r="C344" s="52" t="s">
        <v>881</v>
      </c>
      <c r="D344" s="24">
        <v>0</v>
      </c>
      <c r="E344" s="24">
        <v>0</v>
      </c>
      <c r="F344" s="25" t="s">
        <v>50</v>
      </c>
      <c r="G344" s="24">
        <v>0</v>
      </c>
      <c r="H344" s="24">
        <v>0</v>
      </c>
      <c r="I344" s="24">
        <f t="shared" si="31"/>
        <v>0</v>
      </c>
      <c r="J344" s="24">
        <v>0</v>
      </c>
      <c r="K344" s="24">
        <v>0</v>
      </c>
      <c r="L344" s="24">
        <v>0</v>
      </c>
      <c r="M344" s="25">
        <v>0</v>
      </c>
      <c r="N344" s="24">
        <v>0</v>
      </c>
      <c r="O344" s="25">
        <v>0</v>
      </c>
      <c r="P344" s="24">
        <v>0</v>
      </c>
      <c r="Q344" s="25">
        <v>0</v>
      </c>
      <c r="R344" s="25" t="s">
        <v>50</v>
      </c>
      <c r="S344" s="24">
        <f t="shared" si="40"/>
        <v>0</v>
      </c>
      <c r="T344" s="24">
        <f t="shared" si="41"/>
        <v>0</v>
      </c>
      <c r="U344" s="26">
        <v>0</v>
      </c>
      <c r="V344" s="59" t="s">
        <v>50</v>
      </c>
    </row>
    <row r="345" spans="1:22" ht="26.25" x14ac:dyDescent="0.25">
      <c r="A345" s="28" t="s">
        <v>188</v>
      </c>
      <c r="B345" s="35" t="s">
        <v>882</v>
      </c>
      <c r="C345" s="52" t="s">
        <v>883</v>
      </c>
      <c r="D345" s="24">
        <v>0</v>
      </c>
      <c r="E345" s="24">
        <v>0</v>
      </c>
      <c r="F345" s="25" t="s">
        <v>50</v>
      </c>
      <c r="G345" s="24">
        <v>0</v>
      </c>
      <c r="H345" s="24">
        <v>0</v>
      </c>
      <c r="I345" s="24">
        <f t="shared" si="31"/>
        <v>0</v>
      </c>
      <c r="J345" s="24">
        <v>0</v>
      </c>
      <c r="K345" s="24">
        <v>0</v>
      </c>
      <c r="L345" s="24">
        <v>0</v>
      </c>
      <c r="M345" s="25">
        <v>0</v>
      </c>
      <c r="N345" s="24">
        <v>0</v>
      </c>
      <c r="O345" s="25">
        <v>0</v>
      </c>
      <c r="P345" s="24">
        <v>0</v>
      </c>
      <c r="Q345" s="25">
        <v>0</v>
      </c>
      <c r="R345" s="25" t="s">
        <v>50</v>
      </c>
      <c r="S345" s="24">
        <f t="shared" si="40"/>
        <v>0</v>
      </c>
      <c r="T345" s="24">
        <f t="shared" si="41"/>
        <v>0</v>
      </c>
      <c r="U345" s="26">
        <v>0</v>
      </c>
      <c r="V345" s="59" t="s">
        <v>50</v>
      </c>
    </row>
    <row r="346" spans="1:22" ht="26.25" x14ac:dyDescent="0.25">
      <c r="A346" s="28" t="s">
        <v>188</v>
      </c>
      <c r="B346" s="35" t="s">
        <v>884</v>
      </c>
      <c r="C346" s="52" t="s">
        <v>885</v>
      </c>
      <c r="D346" s="24">
        <v>0</v>
      </c>
      <c r="E346" s="24">
        <v>0</v>
      </c>
      <c r="F346" s="25" t="s">
        <v>50</v>
      </c>
      <c r="G346" s="24">
        <v>0</v>
      </c>
      <c r="H346" s="24">
        <v>0</v>
      </c>
      <c r="I346" s="24">
        <f t="shared" si="31"/>
        <v>0</v>
      </c>
      <c r="J346" s="24">
        <v>0</v>
      </c>
      <c r="K346" s="24">
        <v>0</v>
      </c>
      <c r="L346" s="24">
        <v>0</v>
      </c>
      <c r="M346" s="25">
        <v>0</v>
      </c>
      <c r="N346" s="24">
        <v>0</v>
      </c>
      <c r="O346" s="25">
        <v>0</v>
      </c>
      <c r="P346" s="24">
        <v>0</v>
      </c>
      <c r="Q346" s="25">
        <v>0</v>
      </c>
      <c r="R346" s="25" t="s">
        <v>50</v>
      </c>
      <c r="S346" s="24">
        <f t="shared" si="40"/>
        <v>0</v>
      </c>
      <c r="T346" s="24">
        <f t="shared" si="41"/>
        <v>0</v>
      </c>
      <c r="U346" s="26">
        <v>0</v>
      </c>
      <c r="V346" s="59" t="s">
        <v>50</v>
      </c>
    </row>
    <row r="347" spans="1:22" ht="26.25" x14ac:dyDescent="0.25">
      <c r="A347" s="28" t="s">
        <v>188</v>
      </c>
      <c r="B347" s="35" t="s">
        <v>886</v>
      </c>
      <c r="C347" s="52" t="s">
        <v>887</v>
      </c>
      <c r="D347" s="24">
        <v>0</v>
      </c>
      <c r="E347" s="24">
        <v>0</v>
      </c>
      <c r="F347" s="25" t="s">
        <v>50</v>
      </c>
      <c r="G347" s="24">
        <v>0</v>
      </c>
      <c r="H347" s="24">
        <v>0</v>
      </c>
      <c r="I347" s="24">
        <f t="shared" si="31"/>
        <v>0</v>
      </c>
      <c r="J347" s="24">
        <v>0</v>
      </c>
      <c r="K347" s="24">
        <v>0</v>
      </c>
      <c r="L347" s="24">
        <v>0</v>
      </c>
      <c r="M347" s="25">
        <v>0</v>
      </c>
      <c r="N347" s="24">
        <v>0</v>
      </c>
      <c r="O347" s="25">
        <v>0</v>
      </c>
      <c r="P347" s="24">
        <v>0</v>
      </c>
      <c r="Q347" s="25">
        <v>0</v>
      </c>
      <c r="R347" s="25" t="s">
        <v>50</v>
      </c>
      <c r="S347" s="24">
        <f t="shared" si="40"/>
        <v>0</v>
      </c>
      <c r="T347" s="24">
        <f t="shared" si="41"/>
        <v>0</v>
      </c>
      <c r="U347" s="26">
        <v>0</v>
      </c>
      <c r="V347" s="59" t="s">
        <v>50</v>
      </c>
    </row>
    <row r="348" spans="1:22" ht="26.25" x14ac:dyDescent="0.25">
      <c r="A348" s="28" t="s">
        <v>188</v>
      </c>
      <c r="B348" s="35" t="s">
        <v>888</v>
      </c>
      <c r="C348" s="52" t="s">
        <v>572</v>
      </c>
      <c r="D348" s="24">
        <v>0</v>
      </c>
      <c r="E348" s="24">
        <v>0</v>
      </c>
      <c r="F348" s="25" t="s">
        <v>50</v>
      </c>
      <c r="G348" s="24">
        <v>0</v>
      </c>
      <c r="H348" s="24">
        <v>0</v>
      </c>
      <c r="I348" s="24">
        <f t="shared" si="31"/>
        <v>0</v>
      </c>
      <c r="J348" s="24">
        <v>0</v>
      </c>
      <c r="K348" s="24">
        <v>0</v>
      </c>
      <c r="L348" s="24">
        <v>0</v>
      </c>
      <c r="M348" s="25">
        <v>0</v>
      </c>
      <c r="N348" s="24">
        <v>0</v>
      </c>
      <c r="O348" s="25">
        <v>0</v>
      </c>
      <c r="P348" s="24">
        <v>0</v>
      </c>
      <c r="Q348" s="25">
        <v>0</v>
      </c>
      <c r="R348" s="25" t="s">
        <v>50</v>
      </c>
      <c r="S348" s="24">
        <f t="shared" si="40"/>
        <v>0</v>
      </c>
      <c r="T348" s="24">
        <f t="shared" si="41"/>
        <v>0</v>
      </c>
      <c r="U348" s="26">
        <v>0</v>
      </c>
      <c r="V348" s="59" t="s">
        <v>50</v>
      </c>
    </row>
    <row r="349" spans="1:22" ht="26.25" x14ac:dyDescent="0.25">
      <c r="A349" s="28" t="s">
        <v>188</v>
      </c>
      <c r="B349" s="35" t="s">
        <v>889</v>
      </c>
      <c r="C349" s="52" t="s">
        <v>890</v>
      </c>
      <c r="D349" s="24">
        <v>0</v>
      </c>
      <c r="E349" s="24">
        <v>0</v>
      </c>
      <c r="F349" s="25" t="s">
        <v>50</v>
      </c>
      <c r="G349" s="24">
        <v>0</v>
      </c>
      <c r="H349" s="24">
        <v>0</v>
      </c>
      <c r="I349" s="24">
        <f t="shared" si="31"/>
        <v>0</v>
      </c>
      <c r="J349" s="24">
        <v>0</v>
      </c>
      <c r="K349" s="24">
        <v>0</v>
      </c>
      <c r="L349" s="24">
        <v>0</v>
      </c>
      <c r="M349" s="25">
        <v>0</v>
      </c>
      <c r="N349" s="24">
        <v>0</v>
      </c>
      <c r="O349" s="25">
        <v>0</v>
      </c>
      <c r="P349" s="24">
        <v>0</v>
      </c>
      <c r="Q349" s="25">
        <v>0</v>
      </c>
      <c r="R349" s="25" t="s">
        <v>50</v>
      </c>
      <c r="S349" s="24">
        <f t="shared" si="40"/>
        <v>0</v>
      </c>
      <c r="T349" s="24">
        <f t="shared" si="41"/>
        <v>0</v>
      </c>
      <c r="U349" s="26">
        <v>0</v>
      </c>
      <c r="V349" s="59" t="s">
        <v>50</v>
      </c>
    </row>
    <row r="350" spans="1:22" ht="26.25" x14ac:dyDescent="0.25">
      <c r="A350" s="28" t="s">
        <v>188</v>
      </c>
      <c r="B350" s="35" t="s">
        <v>567</v>
      </c>
      <c r="C350" s="52" t="s">
        <v>568</v>
      </c>
      <c r="D350" s="24">
        <v>0</v>
      </c>
      <c r="E350" s="24">
        <v>0</v>
      </c>
      <c r="F350" s="25" t="s">
        <v>50</v>
      </c>
      <c r="G350" s="24">
        <v>0</v>
      </c>
      <c r="H350" s="24">
        <f t="shared" si="31"/>
        <v>0</v>
      </c>
      <c r="I350" s="24">
        <f t="shared" si="31"/>
        <v>4.5924449999999999E-2</v>
      </c>
      <c r="J350" s="24">
        <v>0</v>
      </c>
      <c r="K350" s="24">
        <v>0</v>
      </c>
      <c r="L350" s="24">
        <v>0</v>
      </c>
      <c r="M350" s="25">
        <f>45.92445/1000</f>
        <v>4.5924449999999999E-2</v>
      </c>
      <c r="N350" s="24">
        <v>0</v>
      </c>
      <c r="O350" s="25">
        <v>0</v>
      </c>
      <c r="P350" s="24">
        <v>0</v>
      </c>
      <c r="Q350" s="25">
        <v>0</v>
      </c>
      <c r="R350" s="25" t="s">
        <v>50</v>
      </c>
      <c r="S350" s="24">
        <f t="shared" si="40"/>
        <v>-4.5924449999999999E-2</v>
      </c>
      <c r="T350" s="24">
        <f t="shared" si="41"/>
        <v>4.5924449999999999E-2</v>
      </c>
      <c r="U350" s="26">
        <v>100</v>
      </c>
      <c r="V350" s="60" t="s">
        <v>414</v>
      </c>
    </row>
    <row r="351" spans="1:22" ht="25.5" x14ac:dyDescent="0.25">
      <c r="A351" s="28" t="s">
        <v>188</v>
      </c>
      <c r="B351" s="35" t="s">
        <v>569</v>
      </c>
      <c r="C351" s="52" t="s">
        <v>570</v>
      </c>
      <c r="D351" s="24">
        <v>0</v>
      </c>
      <c r="E351" s="24">
        <v>0</v>
      </c>
      <c r="F351" s="25" t="s">
        <v>50</v>
      </c>
      <c r="G351" s="24">
        <v>0</v>
      </c>
      <c r="H351" s="24">
        <f t="shared" si="31"/>
        <v>0</v>
      </c>
      <c r="I351" s="24">
        <f t="shared" si="31"/>
        <v>3.683641E-2</v>
      </c>
      <c r="J351" s="24">
        <v>0</v>
      </c>
      <c r="K351" s="24">
        <v>0</v>
      </c>
      <c r="L351" s="24">
        <v>0</v>
      </c>
      <c r="M351" s="25">
        <f>36.83641/1000</f>
        <v>3.683641E-2</v>
      </c>
      <c r="N351" s="24">
        <v>0</v>
      </c>
      <c r="O351" s="25">
        <v>0</v>
      </c>
      <c r="P351" s="24">
        <v>0</v>
      </c>
      <c r="Q351" s="25">
        <v>0</v>
      </c>
      <c r="R351" s="25" t="s">
        <v>50</v>
      </c>
      <c r="S351" s="24">
        <f t="shared" si="40"/>
        <v>-3.683641E-2</v>
      </c>
      <c r="T351" s="24">
        <f t="shared" si="41"/>
        <v>3.683641E-2</v>
      </c>
      <c r="U351" s="26">
        <v>100</v>
      </c>
      <c r="V351" s="60" t="s">
        <v>414</v>
      </c>
    </row>
    <row r="352" spans="1:22" ht="26.25" x14ac:dyDescent="0.25">
      <c r="A352" s="28" t="s">
        <v>188</v>
      </c>
      <c r="B352" s="35" t="s">
        <v>571</v>
      </c>
      <c r="C352" s="52" t="s">
        <v>574</v>
      </c>
      <c r="D352" s="24">
        <v>0</v>
      </c>
      <c r="E352" s="24">
        <v>0</v>
      </c>
      <c r="F352" s="25" t="s">
        <v>50</v>
      </c>
      <c r="G352" s="24">
        <v>0</v>
      </c>
      <c r="H352" s="24">
        <f t="shared" si="31"/>
        <v>0</v>
      </c>
      <c r="I352" s="24">
        <f t="shared" si="31"/>
        <v>1.0531833099999999</v>
      </c>
      <c r="J352" s="24">
        <v>0</v>
      </c>
      <c r="K352" s="24">
        <v>0</v>
      </c>
      <c r="L352" s="24">
        <v>0</v>
      </c>
      <c r="M352" s="25">
        <f>1053.18331/1000</f>
        <v>1.0531833099999999</v>
      </c>
      <c r="N352" s="24">
        <v>0</v>
      </c>
      <c r="O352" s="25">
        <v>0</v>
      </c>
      <c r="P352" s="24">
        <v>0</v>
      </c>
      <c r="Q352" s="25">
        <v>0</v>
      </c>
      <c r="R352" s="25" t="s">
        <v>50</v>
      </c>
      <c r="S352" s="24">
        <f t="shared" si="40"/>
        <v>-1.0531833099999999</v>
      </c>
      <c r="T352" s="24">
        <f t="shared" si="41"/>
        <v>1.0531833099999999</v>
      </c>
      <c r="U352" s="26">
        <v>100</v>
      </c>
      <c r="V352" s="60" t="s">
        <v>713</v>
      </c>
    </row>
    <row r="353" spans="1:22" ht="26.25" x14ac:dyDescent="0.25">
      <c r="A353" s="28" t="s">
        <v>188</v>
      </c>
      <c r="B353" s="35" t="s">
        <v>573</v>
      </c>
      <c r="C353" s="52" t="s">
        <v>576</v>
      </c>
      <c r="D353" s="24">
        <v>0</v>
      </c>
      <c r="E353" s="24">
        <v>0</v>
      </c>
      <c r="F353" s="25" t="s">
        <v>50</v>
      </c>
      <c r="G353" s="24">
        <v>0</v>
      </c>
      <c r="H353" s="24">
        <f t="shared" si="31"/>
        <v>0</v>
      </c>
      <c r="I353" s="24">
        <f t="shared" si="31"/>
        <v>3.8740090000000005E-2</v>
      </c>
      <c r="J353" s="24">
        <v>0</v>
      </c>
      <c r="K353" s="24">
        <v>0</v>
      </c>
      <c r="L353" s="24">
        <v>0</v>
      </c>
      <c r="M353" s="25">
        <f>38.74009/1000</f>
        <v>3.8740090000000005E-2</v>
      </c>
      <c r="N353" s="24">
        <v>0</v>
      </c>
      <c r="O353" s="25">
        <v>0</v>
      </c>
      <c r="P353" s="24">
        <v>0</v>
      </c>
      <c r="Q353" s="25">
        <v>0</v>
      </c>
      <c r="R353" s="25" t="s">
        <v>50</v>
      </c>
      <c r="S353" s="24">
        <f t="shared" si="40"/>
        <v>-3.8740090000000005E-2</v>
      </c>
      <c r="T353" s="24">
        <f t="shared" si="41"/>
        <v>3.8740090000000005E-2</v>
      </c>
      <c r="U353" s="26">
        <v>100</v>
      </c>
      <c r="V353" s="60" t="s">
        <v>713</v>
      </c>
    </row>
    <row r="354" spans="1:22" ht="26.25" x14ac:dyDescent="0.25">
      <c r="A354" s="28" t="s">
        <v>188</v>
      </c>
      <c r="B354" s="35" t="s">
        <v>575</v>
      </c>
      <c r="C354" s="52" t="s">
        <v>578</v>
      </c>
      <c r="D354" s="24">
        <v>0</v>
      </c>
      <c r="E354" s="24">
        <v>0</v>
      </c>
      <c r="F354" s="25" t="s">
        <v>50</v>
      </c>
      <c r="G354" s="24">
        <v>0</v>
      </c>
      <c r="H354" s="24">
        <f t="shared" si="31"/>
        <v>0</v>
      </c>
      <c r="I354" s="24">
        <f t="shared" si="31"/>
        <v>0.33219051999999999</v>
      </c>
      <c r="J354" s="24">
        <v>0</v>
      </c>
      <c r="K354" s="24">
        <v>0</v>
      </c>
      <c r="L354" s="24">
        <v>0</v>
      </c>
      <c r="M354" s="25">
        <f>332.19052/1000</f>
        <v>0.33219051999999999</v>
      </c>
      <c r="N354" s="24">
        <v>0</v>
      </c>
      <c r="O354" s="25">
        <v>0</v>
      </c>
      <c r="P354" s="24">
        <v>0</v>
      </c>
      <c r="Q354" s="25">
        <v>0</v>
      </c>
      <c r="R354" s="25" t="s">
        <v>50</v>
      </c>
      <c r="S354" s="24">
        <f t="shared" si="40"/>
        <v>-0.33219051999999999</v>
      </c>
      <c r="T354" s="24">
        <f t="shared" si="41"/>
        <v>0.33219051999999999</v>
      </c>
      <c r="U354" s="26">
        <v>100</v>
      </c>
      <c r="V354" s="60" t="s">
        <v>414</v>
      </c>
    </row>
    <row r="355" spans="1:22" ht="26.25" x14ac:dyDescent="0.25">
      <c r="A355" s="28" t="s">
        <v>188</v>
      </c>
      <c r="B355" s="35" t="s">
        <v>577</v>
      </c>
      <c r="C355" s="52" t="s">
        <v>580</v>
      </c>
      <c r="D355" s="24">
        <v>0</v>
      </c>
      <c r="E355" s="24">
        <v>0</v>
      </c>
      <c r="F355" s="25" t="s">
        <v>50</v>
      </c>
      <c r="G355" s="24">
        <v>0</v>
      </c>
      <c r="H355" s="24">
        <f t="shared" si="31"/>
        <v>0</v>
      </c>
      <c r="I355" s="24">
        <f t="shared" si="31"/>
        <v>4.2897739999999997E-2</v>
      </c>
      <c r="J355" s="24">
        <v>0</v>
      </c>
      <c r="K355" s="24">
        <v>0</v>
      </c>
      <c r="L355" s="24">
        <v>0</v>
      </c>
      <c r="M355" s="25">
        <f>42.89774/1000</f>
        <v>4.2897739999999997E-2</v>
      </c>
      <c r="N355" s="24">
        <v>0</v>
      </c>
      <c r="O355" s="25">
        <v>0</v>
      </c>
      <c r="P355" s="24">
        <v>0</v>
      </c>
      <c r="Q355" s="25">
        <v>0</v>
      </c>
      <c r="R355" s="25" t="s">
        <v>50</v>
      </c>
      <c r="S355" s="24">
        <f t="shared" si="40"/>
        <v>-4.2897739999999997E-2</v>
      </c>
      <c r="T355" s="24">
        <f t="shared" si="41"/>
        <v>4.2897739999999997E-2</v>
      </c>
      <c r="U355" s="26">
        <v>100</v>
      </c>
      <c r="V355" s="60" t="s">
        <v>414</v>
      </c>
    </row>
    <row r="356" spans="1:22" ht="26.25" x14ac:dyDescent="0.25">
      <c r="A356" s="28" t="s">
        <v>188</v>
      </c>
      <c r="B356" s="35" t="s">
        <v>579</v>
      </c>
      <c r="C356" s="52" t="s">
        <v>582</v>
      </c>
      <c r="D356" s="24">
        <v>0</v>
      </c>
      <c r="E356" s="24">
        <v>0</v>
      </c>
      <c r="F356" s="25" t="s">
        <v>50</v>
      </c>
      <c r="G356" s="24">
        <v>0</v>
      </c>
      <c r="H356" s="24">
        <f t="shared" si="31"/>
        <v>0</v>
      </c>
      <c r="I356" s="24">
        <f t="shared" si="31"/>
        <v>3.3106040000000003E-2</v>
      </c>
      <c r="J356" s="24">
        <v>0</v>
      </c>
      <c r="K356" s="24">
        <v>0</v>
      </c>
      <c r="L356" s="24">
        <v>0</v>
      </c>
      <c r="M356" s="25">
        <f>33.10604/1000</f>
        <v>3.3106040000000003E-2</v>
      </c>
      <c r="N356" s="24">
        <v>0</v>
      </c>
      <c r="O356" s="25">
        <v>0</v>
      </c>
      <c r="P356" s="24">
        <v>0</v>
      </c>
      <c r="Q356" s="25">
        <v>0</v>
      </c>
      <c r="R356" s="25" t="s">
        <v>50</v>
      </c>
      <c r="S356" s="24">
        <f t="shared" si="40"/>
        <v>-3.3106040000000003E-2</v>
      </c>
      <c r="T356" s="24">
        <f t="shared" si="41"/>
        <v>3.3106040000000003E-2</v>
      </c>
      <c r="U356" s="26">
        <v>100</v>
      </c>
      <c r="V356" s="60" t="s">
        <v>714</v>
      </c>
    </row>
    <row r="357" spans="1:22" ht="26.25" x14ac:dyDescent="0.25">
      <c r="A357" s="28" t="s">
        <v>188</v>
      </c>
      <c r="B357" s="35" t="s">
        <v>581</v>
      </c>
      <c r="C357" s="52" t="s">
        <v>584</v>
      </c>
      <c r="D357" s="24">
        <v>0</v>
      </c>
      <c r="E357" s="24">
        <v>0</v>
      </c>
      <c r="F357" s="25" t="s">
        <v>50</v>
      </c>
      <c r="G357" s="24">
        <v>0</v>
      </c>
      <c r="H357" s="24">
        <f t="shared" ref="H357:I445" si="43">J357+L357+N357+P357</f>
        <v>0</v>
      </c>
      <c r="I357" s="24">
        <f t="shared" si="43"/>
        <v>0.10642665999999999</v>
      </c>
      <c r="J357" s="24">
        <v>0</v>
      </c>
      <c r="K357" s="24">
        <v>0</v>
      </c>
      <c r="L357" s="24">
        <v>0</v>
      </c>
      <c r="M357" s="25">
        <f>106.42666/1000</f>
        <v>0.10642665999999999</v>
      </c>
      <c r="N357" s="24">
        <v>0</v>
      </c>
      <c r="O357" s="25">
        <v>0</v>
      </c>
      <c r="P357" s="24">
        <v>0</v>
      </c>
      <c r="Q357" s="25">
        <v>0</v>
      </c>
      <c r="R357" s="25" t="s">
        <v>50</v>
      </c>
      <c r="S357" s="24">
        <f t="shared" si="40"/>
        <v>-0.10642665999999999</v>
      </c>
      <c r="T357" s="24">
        <f t="shared" si="41"/>
        <v>0.10642665999999999</v>
      </c>
      <c r="U357" s="26">
        <v>100</v>
      </c>
      <c r="V357" s="60" t="s">
        <v>414</v>
      </c>
    </row>
    <row r="358" spans="1:22" ht="26.25" x14ac:dyDescent="0.25">
      <c r="A358" s="28" t="s">
        <v>188</v>
      </c>
      <c r="B358" s="35" t="s">
        <v>583</v>
      </c>
      <c r="C358" s="52" t="s">
        <v>586</v>
      </c>
      <c r="D358" s="24">
        <v>0</v>
      </c>
      <c r="E358" s="24">
        <v>0</v>
      </c>
      <c r="F358" s="25" t="s">
        <v>50</v>
      </c>
      <c r="G358" s="24">
        <v>0</v>
      </c>
      <c r="H358" s="24">
        <f t="shared" si="43"/>
        <v>0</v>
      </c>
      <c r="I358" s="24">
        <f t="shared" si="43"/>
        <v>0.19572869000000001</v>
      </c>
      <c r="J358" s="24">
        <v>0</v>
      </c>
      <c r="K358" s="24">
        <v>0</v>
      </c>
      <c r="L358" s="24">
        <v>0</v>
      </c>
      <c r="M358" s="25">
        <f>195.72869/1000</f>
        <v>0.19572869000000001</v>
      </c>
      <c r="N358" s="24">
        <v>0</v>
      </c>
      <c r="O358" s="25">
        <v>0</v>
      </c>
      <c r="P358" s="24">
        <v>0</v>
      </c>
      <c r="Q358" s="25">
        <v>0</v>
      </c>
      <c r="R358" s="25" t="s">
        <v>50</v>
      </c>
      <c r="S358" s="24">
        <f t="shared" si="40"/>
        <v>-0.19572869000000001</v>
      </c>
      <c r="T358" s="24">
        <f t="shared" si="41"/>
        <v>0.19572869000000001</v>
      </c>
      <c r="U358" s="26">
        <v>100</v>
      </c>
      <c r="V358" s="60" t="s">
        <v>414</v>
      </c>
    </row>
    <row r="359" spans="1:22" ht="26.25" x14ac:dyDescent="0.25">
      <c r="A359" s="28" t="s">
        <v>188</v>
      </c>
      <c r="B359" s="35" t="s">
        <v>585</v>
      </c>
      <c r="C359" s="52" t="s">
        <v>683</v>
      </c>
      <c r="D359" s="24">
        <v>0</v>
      </c>
      <c r="E359" s="24">
        <v>0</v>
      </c>
      <c r="F359" s="25" t="s">
        <v>50</v>
      </c>
      <c r="G359" s="24">
        <v>0</v>
      </c>
      <c r="H359" s="24">
        <f t="shared" si="43"/>
        <v>0</v>
      </c>
      <c r="I359" s="24">
        <f t="shared" si="43"/>
        <v>0.10160392</v>
      </c>
      <c r="J359" s="24">
        <v>0</v>
      </c>
      <c r="K359" s="24">
        <v>0</v>
      </c>
      <c r="L359" s="24">
        <v>0</v>
      </c>
      <c r="M359" s="25">
        <f>101.60392/1000</f>
        <v>0.10160392</v>
      </c>
      <c r="N359" s="24">
        <v>0</v>
      </c>
      <c r="O359" s="25">
        <v>0</v>
      </c>
      <c r="P359" s="24">
        <v>0</v>
      </c>
      <c r="Q359" s="25">
        <v>0</v>
      </c>
      <c r="R359" s="25" t="s">
        <v>50</v>
      </c>
      <c r="S359" s="24">
        <f t="shared" si="40"/>
        <v>-0.10160392</v>
      </c>
      <c r="T359" s="24">
        <f t="shared" si="41"/>
        <v>0.10160392</v>
      </c>
      <c r="U359" s="26">
        <v>100</v>
      </c>
      <c r="V359" s="60" t="s">
        <v>414</v>
      </c>
    </row>
    <row r="360" spans="1:22" ht="26.25" x14ac:dyDescent="0.25">
      <c r="A360" s="28" t="s">
        <v>188</v>
      </c>
      <c r="B360" s="35" t="s">
        <v>587</v>
      </c>
      <c r="C360" s="52" t="s">
        <v>105</v>
      </c>
      <c r="D360" s="24">
        <v>0</v>
      </c>
      <c r="E360" s="24">
        <v>0</v>
      </c>
      <c r="F360" s="25" t="s">
        <v>50</v>
      </c>
      <c r="G360" s="24">
        <v>0</v>
      </c>
      <c r="H360" s="24">
        <f t="shared" si="43"/>
        <v>0</v>
      </c>
      <c r="I360" s="24">
        <f t="shared" si="43"/>
        <v>0</v>
      </c>
      <c r="J360" s="24">
        <v>0</v>
      </c>
      <c r="K360" s="24">
        <v>0</v>
      </c>
      <c r="L360" s="24">
        <v>0</v>
      </c>
      <c r="M360" s="25">
        <v>0</v>
      </c>
      <c r="N360" s="24">
        <v>0</v>
      </c>
      <c r="O360" s="25">
        <v>0</v>
      </c>
      <c r="P360" s="24">
        <v>0</v>
      </c>
      <c r="Q360" s="25">
        <v>0</v>
      </c>
      <c r="R360" s="25" t="s">
        <v>50</v>
      </c>
      <c r="S360" s="24">
        <f t="shared" si="40"/>
        <v>0</v>
      </c>
      <c r="T360" s="24">
        <f t="shared" si="41"/>
        <v>0</v>
      </c>
      <c r="U360" s="26">
        <v>0</v>
      </c>
      <c r="V360" s="60" t="s">
        <v>50</v>
      </c>
    </row>
    <row r="361" spans="1:22" ht="38.25" x14ac:dyDescent="0.25">
      <c r="A361" s="28" t="s">
        <v>188</v>
      </c>
      <c r="B361" s="35" t="s">
        <v>682</v>
      </c>
      <c r="C361" s="52" t="s">
        <v>891</v>
      </c>
      <c r="D361" s="24">
        <v>0</v>
      </c>
      <c r="E361" s="24">
        <v>0</v>
      </c>
      <c r="F361" s="25" t="s">
        <v>50</v>
      </c>
      <c r="G361" s="24">
        <v>0</v>
      </c>
      <c r="H361" s="24">
        <f t="shared" si="43"/>
        <v>0</v>
      </c>
      <c r="I361" s="24">
        <f t="shared" si="43"/>
        <v>0.20826410000000001</v>
      </c>
      <c r="J361" s="24">
        <v>0</v>
      </c>
      <c r="K361" s="24">
        <v>0</v>
      </c>
      <c r="L361" s="24">
        <v>0</v>
      </c>
      <c r="M361" s="25">
        <v>0</v>
      </c>
      <c r="N361" s="24">
        <v>0</v>
      </c>
      <c r="O361" s="25">
        <v>0.20826410000000001</v>
      </c>
      <c r="P361" s="24">
        <v>0</v>
      </c>
      <c r="Q361" s="25">
        <v>0</v>
      </c>
      <c r="R361" s="25" t="s">
        <v>50</v>
      </c>
      <c r="S361" s="24">
        <f t="shared" si="40"/>
        <v>-0.20826410000000001</v>
      </c>
      <c r="T361" s="24">
        <f t="shared" si="41"/>
        <v>0.20826410000000001</v>
      </c>
      <c r="U361" s="26">
        <v>100</v>
      </c>
      <c r="V361" s="60" t="s">
        <v>731</v>
      </c>
    </row>
    <row r="362" spans="1:22" ht="38.25" x14ac:dyDescent="0.25">
      <c r="A362" s="28" t="s">
        <v>188</v>
      </c>
      <c r="B362" s="35" t="s">
        <v>684</v>
      </c>
      <c r="C362" s="52" t="s">
        <v>685</v>
      </c>
      <c r="D362" s="24">
        <v>0</v>
      </c>
      <c r="E362" s="24">
        <v>0</v>
      </c>
      <c r="F362" s="25" t="s">
        <v>50</v>
      </c>
      <c r="G362" s="24">
        <v>0</v>
      </c>
      <c r="H362" s="24">
        <f t="shared" si="43"/>
        <v>0</v>
      </c>
      <c r="I362" s="24">
        <f t="shared" si="43"/>
        <v>1.6960851400000001</v>
      </c>
      <c r="J362" s="24">
        <v>0</v>
      </c>
      <c r="K362" s="24">
        <v>0</v>
      </c>
      <c r="L362" s="24">
        <v>0</v>
      </c>
      <c r="M362" s="25">
        <v>0</v>
      </c>
      <c r="N362" s="24">
        <v>0</v>
      </c>
      <c r="O362" s="25">
        <v>1.6960851400000001</v>
      </c>
      <c r="P362" s="24">
        <v>0</v>
      </c>
      <c r="Q362" s="25">
        <v>0</v>
      </c>
      <c r="R362" s="25" t="s">
        <v>50</v>
      </c>
      <c r="S362" s="24">
        <f t="shared" si="40"/>
        <v>-1.6960851400000001</v>
      </c>
      <c r="T362" s="24">
        <f t="shared" si="41"/>
        <v>1.6960851400000001</v>
      </c>
      <c r="U362" s="26">
        <v>100</v>
      </c>
      <c r="V362" s="60" t="s">
        <v>731</v>
      </c>
    </row>
    <row r="363" spans="1:22" ht="25.5" x14ac:dyDescent="0.25">
      <c r="A363" s="28" t="s">
        <v>188</v>
      </c>
      <c r="B363" s="35" t="s">
        <v>686</v>
      </c>
      <c r="C363" s="52" t="s">
        <v>892</v>
      </c>
      <c r="D363" s="24">
        <v>0</v>
      </c>
      <c r="E363" s="24">
        <v>0</v>
      </c>
      <c r="F363" s="25" t="s">
        <v>50</v>
      </c>
      <c r="G363" s="24">
        <v>0</v>
      </c>
      <c r="H363" s="24">
        <f t="shared" si="43"/>
        <v>0</v>
      </c>
      <c r="I363" s="24">
        <f t="shared" si="43"/>
        <v>0.15791926000000001</v>
      </c>
      <c r="J363" s="24">
        <v>0</v>
      </c>
      <c r="K363" s="24">
        <v>0</v>
      </c>
      <c r="L363" s="24">
        <v>0</v>
      </c>
      <c r="M363" s="25">
        <v>0</v>
      </c>
      <c r="N363" s="24">
        <v>0</v>
      </c>
      <c r="O363" s="25">
        <v>0.15791926000000001</v>
      </c>
      <c r="P363" s="24">
        <v>0</v>
      </c>
      <c r="Q363" s="25">
        <v>0</v>
      </c>
      <c r="R363" s="25" t="s">
        <v>50</v>
      </c>
      <c r="S363" s="24">
        <f t="shared" si="40"/>
        <v>-0.15791926000000001</v>
      </c>
      <c r="T363" s="24">
        <f t="shared" si="41"/>
        <v>0.15791926000000001</v>
      </c>
      <c r="U363" s="26">
        <v>100</v>
      </c>
      <c r="V363" s="60" t="s">
        <v>414</v>
      </c>
    </row>
    <row r="364" spans="1:22" x14ac:dyDescent="0.25">
      <c r="A364" s="28" t="s">
        <v>188</v>
      </c>
      <c r="B364" s="35" t="s">
        <v>893</v>
      </c>
      <c r="C364" s="52" t="s">
        <v>894</v>
      </c>
      <c r="D364" s="24">
        <v>0</v>
      </c>
      <c r="E364" s="24">
        <v>0</v>
      </c>
      <c r="F364" s="25" t="s">
        <v>50</v>
      </c>
      <c r="G364" s="24">
        <v>0</v>
      </c>
      <c r="H364" s="24">
        <v>0</v>
      </c>
      <c r="I364" s="24">
        <f t="shared" si="43"/>
        <v>1.03098902</v>
      </c>
      <c r="J364" s="24">
        <v>0</v>
      </c>
      <c r="K364" s="24">
        <v>0</v>
      </c>
      <c r="L364" s="24">
        <v>0</v>
      </c>
      <c r="M364" s="25">
        <v>0</v>
      </c>
      <c r="N364" s="24">
        <v>0</v>
      </c>
      <c r="O364" s="25">
        <v>0</v>
      </c>
      <c r="P364" s="24">
        <v>0</v>
      </c>
      <c r="Q364" s="25">
        <v>1.03098902</v>
      </c>
      <c r="R364" s="25" t="s">
        <v>50</v>
      </c>
      <c r="S364" s="24">
        <f t="shared" si="40"/>
        <v>-1.03098902</v>
      </c>
      <c r="T364" s="24">
        <f t="shared" si="41"/>
        <v>1.03098902</v>
      </c>
      <c r="U364" s="26">
        <v>100</v>
      </c>
      <c r="V364" s="60" t="s">
        <v>713</v>
      </c>
    </row>
    <row r="365" spans="1:22" ht="26.25" x14ac:dyDescent="0.25">
      <c r="A365" s="28" t="s">
        <v>188</v>
      </c>
      <c r="B365" s="35" t="s">
        <v>895</v>
      </c>
      <c r="C365" s="52" t="s">
        <v>896</v>
      </c>
      <c r="D365" s="24">
        <v>0</v>
      </c>
      <c r="E365" s="24">
        <v>0</v>
      </c>
      <c r="F365" s="25" t="s">
        <v>50</v>
      </c>
      <c r="G365" s="24">
        <v>0</v>
      </c>
      <c r="H365" s="24">
        <v>0</v>
      </c>
      <c r="I365" s="24">
        <f t="shared" si="43"/>
        <v>2.5527029999999999E-2</v>
      </c>
      <c r="J365" s="24">
        <v>0</v>
      </c>
      <c r="K365" s="24">
        <v>0</v>
      </c>
      <c r="L365" s="24">
        <v>0</v>
      </c>
      <c r="M365" s="25">
        <v>0</v>
      </c>
      <c r="N365" s="24">
        <v>0</v>
      </c>
      <c r="O365" s="25">
        <v>0</v>
      </c>
      <c r="P365" s="24">
        <v>0</v>
      </c>
      <c r="Q365" s="25">
        <v>2.5527029999999999E-2</v>
      </c>
      <c r="R365" s="25" t="s">
        <v>50</v>
      </c>
      <c r="S365" s="24">
        <f t="shared" si="40"/>
        <v>-2.5527029999999999E-2</v>
      </c>
      <c r="T365" s="24">
        <f t="shared" si="41"/>
        <v>2.5527029999999999E-2</v>
      </c>
      <c r="U365" s="26">
        <v>100</v>
      </c>
      <c r="V365" s="60" t="s">
        <v>713</v>
      </c>
    </row>
    <row r="366" spans="1:22" ht="26.25" x14ac:dyDescent="0.25">
      <c r="A366" s="28" t="s">
        <v>188</v>
      </c>
      <c r="B366" s="35" t="s">
        <v>897</v>
      </c>
      <c r="C366" s="52" t="s">
        <v>898</v>
      </c>
      <c r="D366" s="24">
        <v>0</v>
      </c>
      <c r="E366" s="24">
        <v>0</v>
      </c>
      <c r="F366" s="25" t="s">
        <v>50</v>
      </c>
      <c r="G366" s="24">
        <v>0</v>
      </c>
      <c r="H366" s="24">
        <v>0</v>
      </c>
      <c r="I366" s="24">
        <f t="shared" si="43"/>
        <v>0.13201742999999999</v>
      </c>
      <c r="J366" s="24">
        <v>0</v>
      </c>
      <c r="K366" s="24">
        <v>0</v>
      </c>
      <c r="L366" s="24">
        <v>0</v>
      </c>
      <c r="M366" s="25">
        <v>0</v>
      </c>
      <c r="N366" s="24">
        <v>0</v>
      </c>
      <c r="O366" s="25">
        <v>0</v>
      </c>
      <c r="P366" s="24">
        <v>0</v>
      </c>
      <c r="Q366" s="25">
        <v>0.13201742999999999</v>
      </c>
      <c r="R366" s="25" t="s">
        <v>50</v>
      </c>
      <c r="S366" s="24">
        <f t="shared" si="40"/>
        <v>-0.13201742999999999</v>
      </c>
      <c r="T366" s="24">
        <f t="shared" si="41"/>
        <v>0.13201742999999999</v>
      </c>
      <c r="U366" s="26">
        <v>100</v>
      </c>
      <c r="V366" s="60" t="s">
        <v>713</v>
      </c>
    </row>
    <row r="367" spans="1:22" ht="26.25" x14ac:dyDescent="0.25">
      <c r="A367" s="28" t="s">
        <v>188</v>
      </c>
      <c r="B367" s="35" t="s">
        <v>899</v>
      </c>
      <c r="C367" s="52" t="s">
        <v>900</v>
      </c>
      <c r="D367" s="24">
        <v>0</v>
      </c>
      <c r="E367" s="24">
        <v>0</v>
      </c>
      <c r="F367" s="25" t="s">
        <v>50</v>
      </c>
      <c r="G367" s="24">
        <v>0</v>
      </c>
      <c r="H367" s="24">
        <v>0</v>
      </c>
      <c r="I367" s="24">
        <f t="shared" si="43"/>
        <v>9.777580000000001E-3</v>
      </c>
      <c r="J367" s="24">
        <v>0</v>
      </c>
      <c r="K367" s="24">
        <v>0</v>
      </c>
      <c r="L367" s="24">
        <v>0</v>
      </c>
      <c r="M367" s="25">
        <v>0</v>
      </c>
      <c r="N367" s="24">
        <v>0</v>
      </c>
      <c r="O367" s="25">
        <v>0</v>
      </c>
      <c r="P367" s="24">
        <v>0</v>
      </c>
      <c r="Q367" s="25">
        <v>9.777580000000001E-3</v>
      </c>
      <c r="R367" s="25" t="s">
        <v>50</v>
      </c>
      <c r="S367" s="24">
        <f t="shared" si="40"/>
        <v>-9.777580000000001E-3</v>
      </c>
      <c r="T367" s="24">
        <f t="shared" si="41"/>
        <v>9.777580000000001E-3</v>
      </c>
      <c r="U367" s="26">
        <v>100</v>
      </c>
      <c r="V367" s="60" t="s">
        <v>713</v>
      </c>
    </row>
    <row r="368" spans="1:22" x14ac:dyDescent="0.25">
      <c r="A368" s="28" t="s">
        <v>188</v>
      </c>
      <c r="B368" s="35" t="s">
        <v>901</v>
      </c>
      <c r="C368" s="52" t="s">
        <v>902</v>
      </c>
      <c r="D368" s="24">
        <v>0</v>
      </c>
      <c r="E368" s="24">
        <v>0</v>
      </c>
      <c r="F368" s="25" t="s">
        <v>50</v>
      </c>
      <c r="G368" s="24">
        <v>0</v>
      </c>
      <c r="H368" s="24">
        <v>0</v>
      </c>
      <c r="I368" s="24">
        <f t="shared" si="43"/>
        <v>0</v>
      </c>
      <c r="J368" s="24">
        <v>0</v>
      </c>
      <c r="K368" s="24">
        <v>0</v>
      </c>
      <c r="L368" s="24">
        <v>0</v>
      </c>
      <c r="M368" s="25">
        <v>0</v>
      </c>
      <c r="N368" s="24">
        <v>0</v>
      </c>
      <c r="O368" s="25">
        <v>0</v>
      </c>
      <c r="P368" s="24">
        <v>0</v>
      </c>
      <c r="Q368" s="25">
        <v>0</v>
      </c>
      <c r="R368" s="25" t="s">
        <v>50</v>
      </c>
      <c r="S368" s="24">
        <f t="shared" si="40"/>
        <v>0</v>
      </c>
      <c r="T368" s="24">
        <f t="shared" si="41"/>
        <v>0</v>
      </c>
      <c r="U368" s="26">
        <v>0</v>
      </c>
      <c r="V368" s="59" t="s">
        <v>50</v>
      </c>
    </row>
    <row r="369" spans="1:22" x14ac:dyDescent="0.25">
      <c r="A369" s="28" t="s">
        <v>188</v>
      </c>
      <c r="B369" s="35" t="s">
        <v>903</v>
      </c>
      <c r="C369" s="52" t="s">
        <v>687</v>
      </c>
      <c r="D369" s="24">
        <v>0</v>
      </c>
      <c r="E369" s="24">
        <v>0</v>
      </c>
      <c r="F369" s="25" t="s">
        <v>50</v>
      </c>
      <c r="G369" s="24">
        <v>0</v>
      </c>
      <c r="H369" s="24">
        <v>0</v>
      </c>
      <c r="I369" s="24">
        <f t="shared" si="43"/>
        <v>0</v>
      </c>
      <c r="J369" s="24">
        <v>0</v>
      </c>
      <c r="K369" s="24">
        <v>0</v>
      </c>
      <c r="L369" s="24">
        <v>0</v>
      </c>
      <c r="M369" s="25">
        <v>0</v>
      </c>
      <c r="N369" s="24">
        <v>0</v>
      </c>
      <c r="O369" s="25">
        <v>0</v>
      </c>
      <c r="P369" s="24">
        <v>0</v>
      </c>
      <c r="Q369" s="25">
        <v>0</v>
      </c>
      <c r="R369" s="25" t="s">
        <v>50</v>
      </c>
      <c r="S369" s="24">
        <f t="shared" si="40"/>
        <v>0</v>
      </c>
      <c r="T369" s="24">
        <f t="shared" si="41"/>
        <v>0</v>
      </c>
      <c r="U369" s="26">
        <v>0</v>
      </c>
      <c r="V369" s="59" t="s">
        <v>50</v>
      </c>
    </row>
    <row r="370" spans="1:22" x14ac:dyDescent="0.25">
      <c r="A370" s="28" t="s">
        <v>188</v>
      </c>
      <c r="B370" s="35" t="s">
        <v>904</v>
      </c>
      <c r="C370" s="52" t="s">
        <v>905</v>
      </c>
      <c r="D370" s="24">
        <v>0</v>
      </c>
      <c r="E370" s="24">
        <v>0</v>
      </c>
      <c r="F370" s="25" t="s">
        <v>50</v>
      </c>
      <c r="G370" s="24">
        <v>0</v>
      </c>
      <c r="H370" s="24">
        <v>0</v>
      </c>
      <c r="I370" s="24">
        <f t="shared" si="43"/>
        <v>0</v>
      </c>
      <c r="J370" s="24">
        <v>0</v>
      </c>
      <c r="K370" s="24">
        <v>0</v>
      </c>
      <c r="L370" s="24">
        <v>0</v>
      </c>
      <c r="M370" s="25">
        <v>0</v>
      </c>
      <c r="N370" s="24">
        <v>0</v>
      </c>
      <c r="O370" s="25">
        <v>0</v>
      </c>
      <c r="P370" s="24">
        <v>0</v>
      </c>
      <c r="Q370" s="25">
        <v>0</v>
      </c>
      <c r="R370" s="25" t="s">
        <v>50</v>
      </c>
      <c r="S370" s="24">
        <f t="shared" si="40"/>
        <v>0</v>
      </c>
      <c r="T370" s="24">
        <f t="shared" si="41"/>
        <v>0</v>
      </c>
      <c r="U370" s="26">
        <v>0</v>
      </c>
      <c r="V370" s="59" t="s">
        <v>50</v>
      </c>
    </row>
    <row r="371" spans="1:22" ht="39" x14ac:dyDescent="0.25">
      <c r="A371" s="28" t="s">
        <v>188</v>
      </c>
      <c r="B371" s="35" t="s">
        <v>906</v>
      </c>
      <c r="C371" s="52" t="s">
        <v>907</v>
      </c>
      <c r="D371" s="24">
        <v>0</v>
      </c>
      <c r="E371" s="24">
        <v>0</v>
      </c>
      <c r="F371" s="25" t="s">
        <v>50</v>
      </c>
      <c r="G371" s="24">
        <v>0</v>
      </c>
      <c r="H371" s="24">
        <v>0</v>
      </c>
      <c r="I371" s="24">
        <f t="shared" si="43"/>
        <v>0.70873666000000002</v>
      </c>
      <c r="J371" s="24">
        <v>0</v>
      </c>
      <c r="K371" s="24">
        <v>0</v>
      </c>
      <c r="L371" s="24">
        <v>0</v>
      </c>
      <c r="M371" s="25">
        <v>0</v>
      </c>
      <c r="N371" s="24">
        <v>0</v>
      </c>
      <c r="O371" s="25">
        <v>0</v>
      </c>
      <c r="P371" s="24">
        <v>0</v>
      </c>
      <c r="Q371" s="25">
        <v>0.70873666000000002</v>
      </c>
      <c r="R371" s="25" t="s">
        <v>50</v>
      </c>
      <c r="S371" s="24">
        <f t="shared" si="40"/>
        <v>-0.70873666000000002</v>
      </c>
      <c r="T371" s="24">
        <f t="shared" si="41"/>
        <v>0.70873666000000002</v>
      </c>
      <c r="U371" s="26">
        <v>100</v>
      </c>
      <c r="V371" s="60" t="s">
        <v>713</v>
      </c>
    </row>
    <row r="372" spans="1:22" ht="26.25" x14ac:dyDescent="0.25">
      <c r="A372" s="28" t="s">
        <v>188</v>
      </c>
      <c r="B372" s="35" t="s">
        <v>908</v>
      </c>
      <c r="C372" s="52" t="s">
        <v>909</v>
      </c>
      <c r="D372" s="24">
        <v>0</v>
      </c>
      <c r="E372" s="24">
        <v>0</v>
      </c>
      <c r="F372" s="25" t="s">
        <v>50</v>
      </c>
      <c r="G372" s="24">
        <v>0</v>
      </c>
      <c r="H372" s="24">
        <v>0</v>
      </c>
      <c r="I372" s="24">
        <f t="shared" si="43"/>
        <v>8.967841E-2</v>
      </c>
      <c r="J372" s="24">
        <v>0</v>
      </c>
      <c r="K372" s="24">
        <v>0</v>
      </c>
      <c r="L372" s="24">
        <v>0</v>
      </c>
      <c r="M372" s="25">
        <v>0</v>
      </c>
      <c r="N372" s="24">
        <v>0</v>
      </c>
      <c r="O372" s="25">
        <v>0</v>
      </c>
      <c r="P372" s="24">
        <v>0</v>
      </c>
      <c r="Q372" s="25">
        <v>8.967841E-2</v>
      </c>
      <c r="R372" s="25" t="s">
        <v>50</v>
      </c>
      <c r="S372" s="24">
        <f t="shared" si="40"/>
        <v>-8.967841E-2</v>
      </c>
      <c r="T372" s="24">
        <f t="shared" si="41"/>
        <v>8.967841E-2</v>
      </c>
      <c r="U372" s="26">
        <v>100</v>
      </c>
      <c r="V372" s="60" t="s">
        <v>713</v>
      </c>
    </row>
    <row r="373" spans="1:22" x14ac:dyDescent="0.25">
      <c r="A373" s="28" t="s">
        <v>188</v>
      </c>
      <c r="B373" s="35" t="s">
        <v>910</v>
      </c>
      <c r="C373" s="52" t="s">
        <v>911</v>
      </c>
      <c r="D373" s="24">
        <v>0</v>
      </c>
      <c r="E373" s="24">
        <v>0</v>
      </c>
      <c r="F373" s="25" t="s">
        <v>50</v>
      </c>
      <c r="G373" s="24">
        <v>0</v>
      </c>
      <c r="H373" s="24">
        <v>0</v>
      </c>
      <c r="I373" s="24">
        <f t="shared" si="43"/>
        <v>0</v>
      </c>
      <c r="J373" s="24">
        <v>0</v>
      </c>
      <c r="K373" s="24">
        <v>0</v>
      </c>
      <c r="L373" s="24">
        <v>0</v>
      </c>
      <c r="M373" s="25">
        <v>0</v>
      </c>
      <c r="N373" s="24">
        <v>0</v>
      </c>
      <c r="O373" s="25">
        <v>0</v>
      </c>
      <c r="P373" s="24">
        <v>0</v>
      </c>
      <c r="Q373" s="25">
        <v>0</v>
      </c>
      <c r="R373" s="25" t="s">
        <v>50</v>
      </c>
      <c r="S373" s="24">
        <f t="shared" si="40"/>
        <v>0</v>
      </c>
      <c r="T373" s="24">
        <f t="shared" si="41"/>
        <v>0</v>
      </c>
      <c r="U373" s="26">
        <v>0</v>
      </c>
      <c r="V373" s="59" t="s">
        <v>50</v>
      </c>
    </row>
    <row r="374" spans="1:22" x14ac:dyDescent="0.25">
      <c r="A374" s="28" t="s">
        <v>188</v>
      </c>
      <c r="B374" s="35" t="s">
        <v>912</v>
      </c>
      <c r="C374" s="52" t="s">
        <v>913</v>
      </c>
      <c r="D374" s="24">
        <v>0</v>
      </c>
      <c r="E374" s="24">
        <v>0</v>
      </c>
      <c r="F374" s="25" t="s">
        <v>50</v>
      </c>
      <c r="G374" s="24">
        <v>0</v>
      </c>
      <c r="H374" s="24">
        <v>0</v>
      </c>
      <c r="I374" s="24">
        <f t="shared" si="43"/>
        <v>0</v>
      </c>
      <c r="J374" s="24">
        <v>0</v>
      </c>
      <c r="K374" s="24">
        <v>0</v>
      </c>
      <c r="L374" s="24">
        <v>0</v>
      </c>
      <c r="M374" s="25">
        <v>0</v>
      </c>
      <c r="N374" s="24">
        <v>0</v>
      </c>
      <c r="O374" s="25">
        <v>0</v>
      </c>
      <c r="P374" s="24">
        <v>0</v>
      </c>
      <c r="Q374" s="25">
        <v>0</v>
      </c>
      <c r="R374" s="25" t="s">
        <v>50</v>
      </c>
      <c r="S374" s="24">
        <f t="shared" si="40"/>
        <v>0</v>
      </c>
      <c r="T374" s="24">
        <f t="shared" si="41"/>
        <v>0</v>
      </c>
      <c r="U374" s="26">
        <v>0</v>
      </c>
      <c r="V374" s="59" t="s">
        <v>50</v>
      </c>
    </row>
    <row r="375" spans="1:22" x14ac:dyDescent="0.25">
      <c r="A375" s="28" t="s">
        <v>188</v>
      </c>
      <c r="B375" s="35" t="s">
        <v>914</v>
      </c>
      <c r="C375" s="52" t="s">
        <v>915</v>
      </c>
      <c r="D375" s="24">
        <v>0</v>
      </c>
      <c r="E375" s="24">
        <v>0</v>
      </c>
      <c r="F375" s="25" t="s">
        <v>50</v>
      </c>
      <c r="G375" s="24">
        <v>0</v>
      </c>
      <c r="H375" s="24">
        <v>0</v>
      </c>
      <c r="I375" s="24">
        <f t="shared" si="43"/>
        <v>0</v>
      </c>
      <c r="J375" s="24">
        <v>0</v>
      </c>
      <c r="K375" s="24">
        <v>0</v>
      </c>
      <c r="L375" s="24">
        <v>0</v>
      </c>
      <c r="M375" s="25">
        <v>0</v>
      </c>
      <c r="N375" s="24">
        <v>0</v>
      </c>
      <c r="O375" s="25">
        <v>0</v>
      </c>
      <c r="P375" s="24">
        <v>0</v>
      </c>
      <c r="Q375" s="25">
        <v>0</v>
      </c>
      <c r="R375" s="25" t="s">
        <v>50</v>
      </c>
      <c r="S375" s="24">
        <f t="shared" si="40"/>
        <v>0</v>
      </c>
      <c r="T375" s="24">
        <f t="shared" si="41"/>
        <v>0</v>
      </c>
      <c r="U375" s="26">
        <v>0</v>
      </c>
      <c r="V375" s="59" t="s">
        <v>50</v>
      </c>
    </row>
    <row r="376" spans="1:22" x14ac:dyDescent="0.25">
      <c r="A376" s="28" t="s">
        <v>188</v>
      </c>
      <c r="B376" s="35" t="s">
        <v>916</v>
      </c>
      <c r="C376" s="52" t="s">
        <v>917</v>
      </c>
      <c r="D376" s="24">
        <v>0</v>
      </c>
      <c r="E376" s="24">
        <v>0</v>
      </c>
      <c r="F376" s="25" t="s">
        <v>50</v>
      </c>
      <c r="G376" s="24">
        <v>0</v>
      </c>
      <c r="H376" s="24">
        <v>0</v>
      </c>
      <c r="I376" s="24">
        <f t="shared" si="43"/>
        <v>0</v>
      </c>
      <c r="J376" s="24">
        <v>0</v>
      </c>
      <c r="K376" s="24">
        <v>0</v>
      </c>
      <c r="L376" s="24">
        <v>0</v>
      </c>
      <c r="M376" s="25">
        <v>0</v>
      </c>
      <c r="N376" s="24">
        <v>0</v>
      </c>
      <c r="O376" s="25">
        <v>0</v>
      </c>
      <c r="P376" s="24">
        <v>0</v>
      </c>
      <c r="Q376" s="25">
        <v>0</v>
      </c>
      <c r="R376" s="25" t="s">
        <v>50</v>
      </c>
      <c r="S376" s="24">
        <f t="shared" si="40"/>
        <v>0</v>
      </c>
      <c r="T376" s="24">
        <f t="shared" si="41"/>
        <v>0</v>
      </c>
      <c r="U376" s="26">
        <v>0</v>
      </c>
      <c r="V376" s="59" t="s">
        <v>50</v>
      </c>
    </row>
    <row r="377" spans="1:22" x14ac:dyDescent="0.25">
      <c r="A377" s="28" t="s">
        <v>188</v>
      </c>
      <c r="B377" s="35" t="s">
        <v>918</v>
      </c>
      <c r="C377" s="52" t="s">
        <v>919</v>
      </c>
      <c r="D377" s="24">
        <v>0</v>
      </c>
      <c r="E377" s="24">
        <v>0</v>
      </c>
      <c r="F377" s="25" t="s">
        <v>50</v>
      </c>
      <c r="G377" s="24">
        <v>0</v>
      </c>
      <c r="H377" s="24">
        <v>0</v>
      </c>
      <c r="I377" s="24">
        <f t="shared" si="43"/>
        <v>0</v>
      </c>
      <c r="J377" s="24">
        <v>0</v>
      </c>
      <c r="K377" s="24">
        <v>0</v>
      </c>
      <c r="L377" s="24">
        <v>0</v>
      </c>
      <c r="M377" s="25">
        <v>0</v>
      </c>
      <c r="N377" s="24">
        <v>0</v>
      </c>
      <c r="O377" s="25">
        <v>0</v>
      </c>
      <c r="P377" s="24">
        <v>0</v>
      </c>
      <c r="Q377" s="25">
        <v>0</v>
      </c>
      <c r="R377" s="25" t="s">
        <v>50</v>
      </c>
      <c r="S377" s="24">
        <f t="shared" si="40"/>
        <v>0</v>
      </c>
      <c r="T377" s="24">
        <f t="shared" si="41"/>
        <v>0</v>
      </c>
      <c r="U377" s="26">
        <v>0</v>
      </c>
      <c r="V377" s="59" t="s">
        <v>50</v>
      </c>
    </row>
    <row r="378" spans="1:22" ht="70.5" customHeight="1" x14ac:dyDescent="0.25">
      <c r="A378" s="42" t="s">
        <v>188</v>
      </c>
      <c r="B378" s="27" t="s">
        <v>216</v>
      </c>
      <c r="C378" s="53" t="s">
        <v>217</v>
      </c>
      <c r="D378" s="24">
        <v>0</v>
      </c>
      <c r="E378" s="24">
        <f>21454*1.2/1000000</f>
        <v>2.5744799999999998E-2</v>
      </c>
      <c r="F378" s="25" t="s">
        <v>50</v>
      </c>
      <c r="G378" s="24">
        <v>13.464116699999998</v>
      </c>
      <c r="H378" s="24">
        <f t="shared" si="43"/>
        <v>13.464116699999998</v>
      </c>
      <c r="I378" s="24">
        <f t="shared" si="43"/>
        <v>0</v>
      </c>
      <c r="J378" s="24">
        <v>0.36286970000000002</v>
      </c>
      <c r="K378" s="24">
        <v>0</v>
      </c>
      <c r="L378" s="24">
        <v>13.101246999999999</v>
      </c>
      <c r="M378" s="25">
        <v>0</v>
      </c>
      <c r="N378" s="24">
        <v>0</v>
      </c>
      <c r="O378" s="25">
        <v>0</v>
      </c>
      <c r="P378" s="24">
        <v>0</v>
      </c>
      <c r="Q378" s="25">
        <v>0</v>
      </c>
      <c r="R378" s="25" t="s">
        <v>50</v>
      </c>
      <c r="S378" s="24">
        <f t="shared" si="40"/>
        <v>13.464116699999998</v>
      </c>
      <c r="T378" s="24">
        <f t="shared" si="41"/>
        <v>-13.464116699999998</v>
      </c>
      <c r="U378" s="26">
        <f t="shared" si="42"/>
        <v>-100</v>
      </c>
      <c r="V378" s="59" t="s">
        <v>985</v>
      </c>
    </row>
    <row r="379" spans="1:22" ht="26.25" x14ac:dyDescent="0.25">
      <c r="A379" s="42" t="s">
        <v>188</v>
      </c>
      <c r="B379" s="27" t="s">
        <v>218</v>
      </c>
      <c r="C379" s="53" t="s">
        <v>219</v>
      </c>
      <c r="D379" s="24">
        <v>3.506754962962963E-2</v>
      </c>
      <c r="E379" s="24">
        <f>20624.46*1.2/1000000</f>
        <v>2.4749351999999999E-2</v>
      </c>
      <c r="F379" s="25" t="s">
        <v>50</v>
      </c>
      <c r="G379" s="24">
        <v>0.23670595999999999</v>
      </c>
      <c r="H379" s="24">
        <f t="shared" si="43"/>
        <v>0.23670595999999999</v>
      </c>
      <c r="I379" s="24">
        <f t="shared" si="43"/>
        <v>0.23086553999999998</v>
      </c>
      <c r="J379" s="24">
        <v>2.6619959999999998E-2</v>
      </c>
      <c r="K379" s="24">
        <v>0</v>
      </c>
      <c r="L379" s="24">
        <v>0</v>
      </c>
      <c r="M379" s="25">
        <v>0</v>
      </c>
      <c r="N379" s="24">
        <v>0.21008599999999999</v>
      </c>
      <c r="O379" s="25">
        <v>0</v>
      </c>
      <c r="P379" s="24">
        <v>0</v>
      </c>
      <c r="Q379" s="25">
        <v>0.23086553999999998</v>
      </c>
      <c r="R379" s="25" t="s">
        <v>50</v>
      </c>
      <c r="S379" s="24">
        <f t="shared" si="40"/>
        <v>5.8404200000000128E-3</v>
      </c>
      <c r="T379" s="24">
        <f t="shared" si="41"/>
        <v>-5.8404200000000128E-3</v>
      </c>
      <c r="U379" s="26">
        <f t="shared" si="42"/>
        <v>-2.4673734450961859</v>
      </c>
      <c r="V379" s="59" t="s">
        <v>50</v>
      </c>
    </row>
    <row r="380" spans="1:22" ht="31.5" customHeight="1" x14ac:dyDescent="0.25">
      <c r="A380" s="34" t="s">
        <v>188</v>
      </c>
      <c r="B380" s="35" t="s">
        <v>220</v>
      </c>
      <c r="C380" s="58" t="s">
        <v>221</v>
      </c>
      <c r="D380" s="24">
        <v>0.20556164148148146</v>
      </c>
      <c r="E380" s="24">
        <f>52094.06*1.2/1000000</f>
        <v>6.2512871999999997E-2</v>
      </c>
      <c r="F380" s="25" t="s">
        <v>50</v>
      </c>
      <c r="G380" s="24">
        <v>1.3875410800000001</v>
      </c>
      <c r="H380" s="24">
        <f t="shared" si="43"/>
        <v>1.3875410800000001</v>
      </c>
      <c r="I380" s="24">
        <f t="shared" si="43"/>
        <v>0.97054854000000002</v>
      </c>
      <c r="J380" s="24">
        <v>0.12888007999999998</v>
      </c>
      <c r="K380" s="24">
        <v>0</v>
      </c>
      <c r="L380" s="24">
        <v>0</v>
      </c>
      <c r="M380" s="25">
        <v>0</v>
      </c>
      <c r="N380" s="24">
        <v>1.258661</v>
      </c>
      <c r="O380" s="25">
        <v>0</v>
      </c>
      <c r="P380" s="24">
        <v>0</v>
      </c>
      <c r="Q380" s="25">
        <v>0.97054854000000002</v>
      </c>
      <c r="R380" s="25" t="s">
        <v>50</v>
      </c>
      <c r="S380" s="24">
        <f t="shared" si="40"/>
        <v>0.41699254000000008</v>
      </c>
      <c r="T380" s="24">
        <f t="shared" si="41"/>
        <v>-0.41699254000000008</v>
      </c>
      <c r="U380" s="26">
        <f t="shared" si="42"/>
        <v>-30.052626622052884</v>
      </c>
      <c r="V380" s="59" t="s">
        <v>986</v>
      </c>
    </row>
    <row r="381" spans="1:22" ht="33.75" customHeight="1" x14ac:dyDescent="0.25">
      <c r="A381" s="34" t="s">
        <v>188</v>
      </c>
      <c r="B381" s="35" t="s">
        <v>222</v>
      </c>
      <c r="C381" s="58" t="s">
        <v>223</v>
      </c>
      <c r="D381" s="24">
        <v>5.4338920000000006E-2</v>
      </c>
      <c r="E381" s="24">
        <v>0</v>
      </c>
      <c r="F381" s="25" t="s">
        <v>50</v>
      </c>
      <c r="G381" s="24">
        <v>0.36678770999999999</v>
      </c>
      <c r="H381" s="24">
        <f t="shared" si="43"/>
        <v>0.36678770999999999</v>
      </c>
      <c r="I381" s="24">
        <f t="shared" si="43"/>
        <v>0.34827891999999999</v>
      </c>
      <c r="J381" s="24">
        <v>4.2026710000000002E-2</v>
      </c>
      <c r="K381" s="24">
        <v>0</v>
      </c>
      <c r="L381" s="24">
        <v>0.32476099999999997</v>
      </c>
      <c r="M381" s="25">
        <v>0</v>
      </c>
      <c r="N381" s="24">
        <v>0</v>
      </c>
      <c r="O381" s="25">
        <v>0.34827891999999999</v>
      </c>
      <c r="P381" s="24">
        <v>0</v>
      </c>
      <c r="Q381" s="25">
        <v>0</v>
      </c>
      <c r="R381" s="25" t="s">
        <v>50</v>
      </c>
      <c r="S381" s="24">
        <f t="shared" si="40"/>
        <v>1.8508789999999997E-2</v>
      </c>
      <c r="T381" s="24">
        <f t="shared" si="41"/>
        <v>-1.8508789999999997E-2</v>
      </c>
      <c r="U381" s="26">
        <f t="shared" si="42"/>
        <v>-5.0461859804408391</v>
      </c>
      <c r="V381" s="59" t="s">
        <v>50</v>
      </c>
    </row>
    <row r="382" spans="1:22" ht="26.25" x14ac:dyDescent="0.25">
      <c r="A382" s="34" t="s">
        <v>188</v>
      </c>
      <c r="B382" s="35" t="s">
        <v>224</v>
      </c>
      <c r="C382" s="58" t="s">
        <v>225</v>
      </c>
      <c r="D382" s="24">
        <v>0.49775125925925923</v>
      </c>
      <c r="E382" s="24">
        <v>0</v>
      </c>
      <c r="F382" s="25" t="s">
        <v>50</v>
      </c>
      <c r="G382" s="24">
        <v>3.3598210000000002</v>
      </c>
      <c r="H382" s="24">
        <f t="shared" si="43"/>
        <v>3.3598210000000002</v>
      </c>
      <c r="I382" s="24">
        <f t="shared" si="43"/>
        <v>2.8664380899999999</v>
      </c>
      <c r="J382" s="24">
        <v>0.243507</v>
      </c>
      <c r="K382" s="24">
        <v>0</v>
      </c>
      <c r="L382" s="24">
        <v>3.116314</v>
      </c>
      <c r="M382" s="25">
        <v>0</v>
      </c>
      <c r="N382" s="24">
        <v>0</v>
      </c>
      <c r="O382" s="25">
        <v>0</v>
      </c>
      <c r="P382" s="24">
        <v>0</v>
      </c>
      <c r="Q382" s="25">
        <v>2.8664380899999999</v>
      </c>
      <c r="R382" s="25" t="s">
        <v>50</v>
      </c>
      <c r="S382" s="24">
        <f t="shared" si="40"/>
        <v>0.49338291000000023</v>
      </c>
      <c r="T382" s="24">
        <f t="shared" si="41"/>
        <v>-0.49338291000000023</v>
      </c>
      <c r="U382" s="26">
        <f t="shared" si="42"/>
        <v>-14.684797493676001</v>
      </c>
      <c r="V382" s="59" t="s">
        <v>50</v>
      </c>
    </row>
    <row r="383" spans="1:22" ht="26.25" x14ac:dyDescent="0.25">
      <c r="A383" s="34" t="s">
        <v>188</v>
      </c>
      <c r="B383" s="35" t="s">
        <v>226</v>
      </c>
      <c r="C383" s="58" t="s">
        <v>227</v>
      </c>
      <c r="D383" s="24">
        <v>0.97318860000000007</v>
      </c>
      <c r="E383" s="24">
        <v>0</v>
      </c>
      <c r="F383" s="25" t="s">
        <v>50</v>
      </c>
      <c r="G383" s="24">
        <v>6.5690230500000002</v>
      </c>
      <c r="H383" s="24">
        <f t="shared" si="43"/>
        <v>6.5690230500000002</v>
      </c>
      <c r="I383" s="24">
        <f t="shared" si="43"/>
        <v>1.3189296699999999</v>
      </c>
      <c r="J383" s="24">
        <v>0.32039305000000001</v>
      </c>
      <c r="K383" s="24">
        <v>0</v>
      </c>
      <c r="L383" s="24">
        <v>6.2486300000000004</v>
      </c>
      <c r="M383" s="25">
        <v>0</v>
      </c>
      <c r="N383" s="24">
        <v>0</v>
      </c>
      <c r="O383" s="25">
        <v>0</v>
      </c>
      <c r="P383" s="24">
        <v>0</v>
      </c>
      <c r="Q383" s="25">
        <v>1.3189296699999999</v>
      </c>
      <c r="R383" s="25" t="s">
        <v>50</v>
      </c>
      <c r="S383" s="24">
        <f t="shared" si="40"/>
        <v>5.25009338</v>
      </c>
      <c r="T383" s="24">
        <f t="shared" si="41"/>
        <v>-5.25009338</v>
      </c>
      <c r="U383" s="26">
        <f t="shared" si="42"/>
        <v>-79.921981397218573</v>
      </c>
      <c r="V383" s="59" t="s">
        <v>986</v>
      </c>
    </row>
    <row r="384" spans="1:22" ht="26.25" x14ac:dyDescent="0.25">
      <c r="A384" s="34" t="s">
        <v>188</v>
      </c>
      <c r="B384" s="35" t="s">
        <v>228</v>
      </c>
      <c r="C384" s="58" t="s">
        <v>229</v>
      </c>
      <c r="D384" s="24">
        <v>0.97318815555555549</v>
      </c>
      <c r="E384" s="24">
        <v>0</v>
      </c>
      <c r="F384" s="25" t="s">
        <v>50</v>
      </c>
      <c r="G384" s="24">
        <v>6.5690200499999998</v>
      </c>
      <c r="H384" s="24">
        <f t="shared" si="43"/>
        <v>6.5690200499999998</v>
      </c>
      <c r="I384" s="24">
        <f t="shared" si="43"/>
        <v>1.3261519600000002</v>
      </c>
      <c r="J384" s="24">
        <v>0.32039204999999998</v>
      </c>
      <c r="K384" s="24">
        <v>0</v>
      </c>
      <c r="L384" s="24">
        <v>6.2486280000000001</v>
      </c>
      <c r="M384" s="25">
        <v>0</v>
      </c>
      <c r="N384" s="24">
        <v>0</v>
      </c>
      <c r="O384" s="25">
        <v>0</v>
      </c>
      <c r="P384" s="24">
        <v>0</v>
      </c>
      <c r="Q384" s="25">
        <v>1.3261519600000002</v>
      </c>
      <c r="R384" s="25" t="s">
        <v>50</v>
      </c>
      <c r="S384" s="24">
        <f t="shared" si="40"/>
        <v>5.24286809</v>
      </c>
      <c r="T384" s="24">
        <f t="shared" si="41"/>
        <v>-5.24286809</v>
      </c>
      <c r="U384" s="26">
        <f t="shared" si="42"/>
        <v>-79.81202751847286</v>
      </c>
      <c r="V384" s="59" t="s">
        <v>986</v>
      </c>
    </row>
    <row r="385" spans="1:22" ht="26.25" x14ac:dyDescent="0.25">
      <c r="A385" s="34" t="s">
        <v>188</v>
      </c>
      <c r="B385" s="35" t="s">
        <v>230</v>
      </c>
      <c r="C385" s="58" t="s">
        <v>231</v>
      </c>
      <c r="D385" s="24">
        <v>0.82734550962962961</v>
      </c>
      <c r="E385" s="24">
        <v>0</v>
      </c>
      <c r="F385" s="25" t="s">
        <v>50</v>
      </c>
      <c r="G385" s="24">
        <v>5.5845821899999999</v>
      </c>
      <c r="H385" s="24">
        <f t="shared" si="43"/>
        <v>5.5845821899999999</v>
      </c>
      <c r="I385" s="24">
        <f t="shared" si="43"/>
        <v>2.81611243</v>
      </c>
      <c r="J385" s="24">
        <v>0.30900519000000004</v>
      </c>
      <c r="K385" s="24">
        <v>0</v>
      </c>
      <c r="L385" s="24">
        <v>5.2755770000000002</v>
      </c>
      <c r="M385" s="25">
        <v>0</v>
      </c>
      <c r="N385" s="24">
        <v>0</v>
      </c>
      <c r="O385" s="25">
        <v>0</v>
      </c>
      <c r="P385" s="24">
        <v>0</v>
      </c>
      <c r="Q385" s="25">
        <v>2.81611243</v>
      </c>
      <c r="R385" s="25" t="s">
        <v>50</v>
      </c>
      <c r="S385" s="24">
        <f t="shared" si="40"/>
        <v>2.7684697599999999</v>
      </c>
      <c r="T385" s="24">
        <f t="shared" si="41"/>
        <v>-2.7684697599999999</v>
      </c>
      <c r="U385" s="26">
        <f t="shared" si="42"/>
        <v>-49.573444634002243</v>
      </c>
      <c r="V385" s="59" t="s">
        <v>986</v>
      </c>
    </row>
    <row r="386" spans="1:22" ht="26.25" x14ac:dyDescent="0.25">
      <c r="A386" s="34" t="s">
        <v>188</v>
      </c>
      <c r="B386" s="35" t="s">
        <v>232</v>
      </c>
      <c r="C386" s="58" t="s">
        <v>233</v>
      </c>
      <c r="D386" s="24">
        <v>8.8375727407407428E-2</v>
      </c>
      <c r="E386" s="24">
        <v>0</v>
      </c>
      <c r="F386" s="25" t="s">
        <v>50</v>
      </c>
      <c r="G386" s="24">
        <v>0.59653615999999998</v>
      </c>
      <c r="H386" s="24">
        <f t="shared" si="43"/>
        <v>0.59653615999999998</v>
      </c>
      <c r="I386" s="24">
        <f t="shared" si="43"/>
        <v>0.63181476000000003</v>
      </c>
      <c r="J386" s="24">
        <v>6.6653160000000003E-2</v>
      </c>
      <c r="K386" s="24">
        <v>0</v>
      </c>
      <c r="L386" s="24">
        <v>0.52988299999999999</v>
      </c>
      <c r="M386" s="25">
        <v>0</v>
      </c>
      <c r="N386" s="24">
        <v>0</v>
      </c>
      <c r="O386" s="25">
        <v>0</v>
      </c>
      <c r="P386" s="24">
        <v>0</v>
      </c>
      <c r="Q386" s="25">
        <v>0.63181476000000003</v>
      </c>
      <c r="R386" s="25" t="s">
        <v>50</v>
      </c>
      <c r="S386" s="24">
        <f t="shared" si="40"/>
        <v>-3.5278600000000049E-2</v>
      </c>
      <c r="T386" s="24">
        <f t="shared" si="41"/>
        <v>3.5278600000000049E-2</v>
      </c>
      <c r="U386" s="26">
        <f t="shared" si="42"/>
        <v>5.9139080521120491</v>
      </c>
      <c r="V386" s="59" t="s">
        <v>50</v>
      </c>
    </row>
    <row r="387" spans="1:22" ht="26.25" x14ac:dyDescent="0.25">
      <c r="A387" s="34" t="s">
        <v>188</v>
      </c>
      <c r="B387" s="35" t="s">
        <v>234</v>
      </c>
      <c r="C387" s="58" t="s">
        <v>235</v>
      </c>
      <c r="D387" s="24">
        <v>0.55904088888888881</v>
      </c>
      <c r="E387" s="24">
        <f>191460.19*1.2/1000000</f>
        <v>0.229752228</v>
      </c>
      <c r="F387" s="25" t="s">
        <v>50</v>
      </c>
      <c r="G387" s="24">
        <v>3.7735260000000008</v>
      </c>
      <c r="H387" s="24">
        <f t="shared" si="43"/>
        <v>3.7735260000000008</v>
      </c>
      <c r="I387" s="24">
        <f t="shared" si="43"/>
        <v>1.6349096300000001</v>
      </c>
      <c r="J387" s="24">
        <v>0.22469900000000001</v>
      </c>
      <c r="K387" s="24">
        <v>0</v>
      </c>
      <c r="L387" s="24">
        <v>3.5488270000000006</v>
      </c>
      <c r="M387" s="25">
        <v>0</v>
      </c>
      <c r="N387" s="24">
        <v>0</v>
      </c>
      <c r="O387" s="25">
        <v>0</v>
      </c>
      <c r="P387" s="24">
        <v>0</v>
      </c>
      <c r="Q387" s="25">
        <v>1.6349096300000001</v>
      </c>
      <c r="R387" s="25" t="s">
        <v>50</v>
      </c>
      <c r="S387" s="24">
        <f t="shared" si="40"/>
        <v>2.1386163700000007</v>
      </c>
      <c r="T387" s="24">
        <f t="shared" si="41"/>
        <v>-2.1386163700000007</v>
      </c>
      <c r="U387" s="26">
        <f t="shared" si="42"/>
        <v>-56.674218489550626</v>
      </c>
      <c r="V387" s="59" t="s">
        <v>986</v>
      </c>
    </row>
    <row r="388" spans="1:22" ht="33" customHeight="1" x14ac:dyDescent="0.25">
      <c r="A388" s="34" t="s">
        <v>188</v>
      </c>
      <c r="B388" s="35" t="s">
        <v>236</v>
      </c>
      <c r="C388" s="58" t="s">
        <v>237</v>
      </c>
      <c r="D388" s="24">
        <v>0.34671750074074076</v>
      </c>
      <c r="E388" s="24">
        <f>26283.04*1.2/1000000</f>
        <v>3.1539648000000003E-2</v>
      </c>
      <c r="F388" s="25" t="s">
        <v>50</v>
      </c>
      <c r="G388" s="24">
        <v>2.3403431299999999</v>
      </c>
      <c r="H388" s="24">
        <f t="shared" si="43"/>
        <v>2.3403431299999999</v>
      </c>
      <c r="I388" s="24">
        <f t="shared" si="43"/>
        <v>2.4042566799999996</v>
      </c>
      <c r="J388" s="24">
        <v>0.19690313000000001</v>
      </c>
      <c r="K388" s="24">
        <v>0</v>
      </c>
      <c r="L388" s="24">
        <v>2.14344</v>
      </c>
      <c r="M388" s="25">
        <v>0</v>
      </c>
      <c r="N388" s="24">
        <v>0</v>
      </c>
      <c r="O388" s="25">
        <v>0</v>
      </c>
      <c r="P388" s="24">
        <v>0</v>
      </c>
      <c r="Q388" s="25">
        <v>2.4042566799999996</v>
      </c>
      <c r="R388" s="25" t="s">
        <v>50</v>
      </c>
      <c r="S388" s="24">
        <f t="shared" si="40"/>
        <v>-6.3913549999999653E-2</v>
      </c>
      <c r="T388" s="24">
        <f t="shared" si="41"/>
        <v>6.3913549999999653E-2</v>
      </c>
      <c r="U388" s="26">
        <f t="shared" si="42"/>
        <v>2.7309478332777388</v>
      </c>
      <c r="V388" s="59" t="s">
        <v>50</v>
      </c>
    </row>
    <row r="389" spans="1:22" ht="40.5" customHeight="1" x14ac:dyDescent="0.25">
      <c r="A389" s="34" t="s">
        <v>188</v>
      </c>
      <c r="B389" s="35" t="s">
        <v>238</v>
      </c>
      <c r="C389" s="58" t="s">
        <v>239</v>
      </c>
      <c r="D389" s="24">
        <v>0.19880503703703703</v>
      </c>
      <c r="E389" s="24">
        <f>25112.69*1.2/1000000</f>
        <v>3.0135227999999997E-2</v>
      </c>
      <c r="F389" s="25" t="s">
        <v>50</v>
      </c>
      <c r="G389" s="24">
        <v>1.341934</v>
      </c>
      <c r="H389" s="24">
        <f t="shared" si="43"/>
        <v>1.341934</v>
      </c>
      <c r="I389" s="24">
        <f t="shared" si="43"/>
        <v>1.4390597600000001</v>
      </c>
      <c r="J389" s="24">
        <v>0.18693299999999999</v>
      </c>
      <c r="K389" s="24">
        <v>0</v>
      </c>
      <c r="L389" s="24">
        <v>1.1550009999999999</v>
      </c>
      <c r="M389" s="25">
        <v>0</v>
      </c>
      <c r="N389" s="24">
        <v>0</v>
      </c>
      <c r="O389" s="25">
        <v>0</v>
      </c>
      <c r="P389" s="24">
        <v>0</v>
      </c>
      <c r="Q389" s="25">
        <v>1.4390597600000001</v>
      </c>
      <c r="R389" s="25" t="s">
        <v>50</v>
      </c>
      <c r="S389" s="24">
        <f t="shared" si="40"/>
        <v>-9.7125760000000172E-2</v>
      </c>
      <c r="T389" s="24">
        <f t="shared" si="41"/>
        <v>9.7125760000000172E-2</v>
      </c>
      <c r="U389" s="26">
        <f t="shared" si="42"/>
        <v>7.2377449263525904</v>
      </c>
      <c r="V389" s="59" t="s">
        <v>50</v>
      </c>
    </row>
    <row r="390" spans="1:22" ht="71.25" customHeight="1" x14ac:dyDescent="0.25">
      <c r="A390" s="34" t="s">
        <v>188</v>
      </c>
      <c r="B390" s="35" t="s">
        <v>240</v>
      </c>
      <c r="C390" s="58" t="s">
        <v>241</v>
      </c>
      <c r="D390" s="24">
        <v>0.21986253185185189</v>
      </c>
      <c r="E390" s="24">
        <v>0</v>
      </c>
      <c r="F390" s="25" t="s">
        <v>50</v>
      </c>
      <c r="G390" s="24">
        <v>1.48407209</v>
      </c>
      <c r="H390" s="24">
        <f t="shared" si="43"/>
        <v>1.48407209</v>
      </c>
      <c r="I390" s="24">
        <f t="shared" si="43"/>
        <v>0</v>
      </c>
      <c r="J390" s="24">
        <v>0.13281809</v>
      </c>
      <c r="K390" s="24">
        <v>0</v>
      </c>
      <c r="L390" s="24">
        <v>1.351254</v>
      </c>
      <c r="M390" s="25">
        <v>0</v>
      </c>
      <c r="N390" s="24">
        <v>0</v>
      </c>
      <c r="O390" s="25">
        <v>0</v>
      </c>
      <c r="P390" s="24">
        <v>0</v>
      </c>
      <c r="Q390" s="25">
        <v>0</v>
      </c>
      <c r="R390" s="25" t="s">
        <v>50</v>
      </c>
      <c r="S390" s="24">
        <f t="shared" si="40"/>
        <v>1.48407209</v>
      </c>
      <c r="T390" s="24">
        <f t="shared" si="41"/>
        <v>-1.48407209</v>
      </c>
      <c r="U390" s="26">
        <f t="shared" si="42"/>
        <v>-100</v>
      </c>
      <c r="V390" s="59" t="s">
        <v>985</v>
      </c>
    </row>
    <row r="391" spans="1:22" ht="51" x14ac:dyDescent="0.25">
      <c r="A391" s="34" t="s">
        <v>188</v>
      </c>
      <c r="B391" s="35" t="s">
        <v>242</v>
      </c>
      <c r="C391" s="58" t="s">
        <v>243</v>
      </c>
      <c r="D391" s="24">
        <v>0.31874235851851856</v>
      </c>
      <c r="E391" s="24">
        <v>0</v>
      </c>
      <c r="F391" s="25" t="s">
        <v>50</v>
      </c>
      <c r="G391" s="24">
        <v>2.1515109199999998</v>
      </c>
      <c r="H391" s="24">
        <f t="shared" si="43"/>
        <v>2.1515109199999998</v>
      </c>
      <c r="I391" s="24">
        <f t="shared" si="43"/>
        <v>0</v>
      </c>
      <c r="J391" s="24">
        <v>0.15336992000000002</v>
      </c>
      <c r="K391" s="24">
        <v>0</v>
      </c>
      <c r="L391" s="24">
        <v>1.9981409999999999</v>
      </c>
      <c r="M391" s="25">
        <v>0</v>
      </c>
      <c r="N391" s="24">
        <v>0</v>
      </c>
      <c r="O391" s="25">
        <v>0</v>
      </c>
      <c r="P391" s="24">
        <v>0</v>
      </c>
      <c r="Q391" s="25">
        <v>0</v>
      </c>
      <c r="R391" s="25" t="s">
        <v>50</v>
      </c>
      <c r="S391" s="24">
        <f t="shared" si="40"/>
        <v>2.1515109199999998</v>
      </c>
      <c r="T391" s="24">
        <f t="shared" si="41"/>
        <v>-2.1515109199999998</v>
      </c>
      <c r="U391" s="26">
        <f t="shared" si="42"/>
        <v>-100</v>
      </c>
      <c r="V391" s="59" t="s">
        <v>985</v>
      </c>
    </row>
    <row r="392" spans="1:22" ht="26.25" x14ac:dyDescent="0.25">
      <c r="A392" s="34" t="s">
        <v>188</v>
      </c>
      <c r="B392" s="35" t="s">
        <v>244</v>
      </c>
      <c r="C392" s="58" t="s">
        <v>245</v>
      </c>
      <c r="D392" s="24">
        <v>0.20338900888888889</v>
      </c>
      <c r="E392" s="24">
        <v>0</v>
      </c>
      <c r="F392" s="25" t="s">
        <v>50</v>
      </c>
      <c r="G392" s="24">
        <v>1.3728758100000003</v>
      </c>
      <c r="H392" s="24">
        <f t="shared" si="43"/>
        <v>1.3728758100000003</v>
      </c>
      <c r="I392" s="24">
        <f t="shared" si="43"/>
        <v>2.1559863199999998</v>
      </c>
      <c r="J392" s="24">
        <v>9.9187810000000001E-2</v>
      </c>
      <c r="K392" s="24">
        <v>0</v>
      </c>
      <c r="L392" s="24">
        <v>0</v>
      </c>
      <c r="M392" s="25">
        <v>0</v>
      </c>
      <c r="N392" s="24">
        <v>1.2736880000000002</v>
      </c>
      <c r="O392" s="25">
        <v>0</v>
      </c>
      <c r="P392" s="24">
        <v>0</v>
      </c>
      <c r="Q392" s="25">
        <v>2.1559863199999998</v>
      </c>
      <c r="R392" s="25" t="s">
        <v>50</v>
      </c>
      <c r="S392" s="24">
        <f t="shared" si="40"/>
        <v>-0.78311050999999954</v>
      </c>
      <c r="T392" s="24">
        <f t="shared" si="41"/>
        <v>0.78311050999999954</v>
      </c>
      <c r="U392" s="26">
        <f t="shared" si="42"/>
        <v>57.041613254151457</v>
      </c>
      <c r="V392" s="60" t="s">
        <v>990</v>
      </c>
    </row>
    <row r="393" spans="1:22" ht="26.25" x14ac:dyDescent="0.25">
      <c r="A393" s="34" t="s">
        <v>188</v>
      </c>
      <c r="B393" s="35" t="s">
        <v>246</v>
      </c>
      <c r="C393" s="58" t="s">
        <v>247</v>
      </c>
      <c r="D393" s="24">
        <v>0.18951197629629629</v>
      </c>
      <c r="E393" s="24">
        <v>0</v>
      </c>
      <c r="F393" s="25" t="s">
        <v>50</v>
      </c>
      <c r="G393" s="24">
        <v>1.2792058399999999</v>
      </c>
      <c r="H393" s="24">
        <f t="shared" si="43"/>
        <v>1.2792058399999999</v>
      </c>
      <c r="I393" s="24">
        <f t="shared" si="43"/>
        <v>0.70994197999999997</v>
      </c>
      <c r="J393" s="24">
        <v>0.10255083999999999</v>
      </c>
      <c r="K393" s="24">
        <v>0</v>
      </c>
      <c r="L393" s="24">
        <v>0</v>
      </c>
      <c r="M393" s="25">
        <v>0</v>
      </c>
      <c r="N393" s="24">
        <v>1.176655</v>
      </c>
      <c r="O393" s="25">
        <v>0</v>
      </c>
      <c r="P393" s="24">
        <v>0</v>
      </c>
      <c r="Q393" s="25">
        <v>0.70994197999999997</v>
      </c>
      <c r="R393" s="25" t="s">
        <v>50</v>
      </c>
      <c r="S393" s="24">
        <f t="shared" si="40"/>
        <v>0.56926385999999995</v>
      </c>
      <c r="T393" s="24">
        <f t="shared" si="41"/>
        <v>-0.56926385999999995</v>
      </c>
      <c r="U393" s="26">
        <f t="shared" si="42"/>
        <v>-44.501349368448786</v>
      </c>
      <c r="V393" s="60" t="s">
        <v>986</v>
      </c>
    </row>
    <row r="394" spans="1:22" ht="51" x14ac:dyDescent="0.25">
      <c r="A394" s="34" t="s">
        <v>188</v>
      </c>
      <c r="B394" s="35" t="s">
        <v>248</v>
      </c>
      <c r="C394" s="58" t="s">
        <v>249</v>
      </c>
      <c r="D394" s="24">
        <v>0.51635596444444454</v>
      </c>
      <c r="E394" s="24">
        <v>0</v>
      </c>
      <c r="F394" s="25" t="s">
        <v>50</v>
      </c>
      <c r="G394" s="24">
        <v>3.4854027599999999</v>
      </c>
      <c r="H394" s="24">
        <f t="shared" si="43"/>
        <v>3.4854027599999999</v>
      </c>
      <c r="I394" s="24">
        <f t="shared" si="43"/>
        <v>0</v>
      </c>
      <c r="J394" s="24">
        <v>0.23501675999999999</v>
      </c>
      <c r="K394" s="24">
        <v>0</v>
      </c>
      <c r="L394" s="24">
        <v>0</v>
      </c>
      <c r="M394" s="25">
        <v>0</v>
      </c>
      <c r="N394" s="24">
        <v>3.2503859999999998</v>
      </c>
      <c r="O394" s="25">
        <v>0</v>
      </c>
      <c r="P394" s="24">
        <v>0</v>
      </c>
      <c r="Q394" s="25">
        <v>0</v>
      </c>
      <c r="R394" s="25" t="s">
        <v>50</v>
      </c>
      <c r="S394" s="24">
        <f t="shared" si="40"/>
        <v>3.4854027599999999</v>
      </c>
      <c r="T394" s="24">
        <f t="shared" si="41"/>
        <v>-3.4854027599999999</v>
      </c>
      <c r="U394" s="26">
        <f t="shared" si="42"/>
        <v>-100</v>
      </c>
      <c r="V394" s="59" t="s">
        <v>985</v>
      </c>
    </row>
    <row r="395" spans="1:22" ht="26.25" x14ac:dyDescent="0.25">
      <c r="A395" s="34" t="s">
        <v>188</v>
      </c>
      <c r="B395" s="35" t="s">
        <v>250</v>
      </c>
      <c r="C395" s="58" t="s">
        <v>251</v>
      </c>
      <c r="D395" s="24">
        <v>0.34051856444444445</v>
      </c>
      <c r="E395" s="24">
        <v>0</v>
      </c>
      <c r="F395" s="25" t="s">
        <v>50</v>
      </c>
      <c r="G395" s="24">
        <v>2.2985003099999997</v>
      </c>
      <c r="H395" s="24">
        <f t="shared" si="43"/>
        <v>2.2985003099999997</v>
      </c>
      <c r="I395" s="24">
        <f t="shared" si="43"/>
        <v>1.1773243799999999</v>
      </c>
      <c r="J395" s="24">
        <v>0.15972231000000001</v>
      </c>
      <c r="K395" s="24">
        <v>0</v>
      </c>
      <c r="L395" s="24">
        <v>0</v>
      </c>
      <c r="M395" s="25">
        <v>0</v>
      </c>
      <c r="N395" s="24">
        <v>2.1387779999999998</v>
      </c>
      <c r="O395" s="25">
        <v>0</v>
      </c>
      <c r="P395" s="24">
        <v>0</v>
      </c>
      <c r="Q395" s="25">
        <v>1.1773243799999999</v>
      </c>
      <c r="R395" s="25" t="s">
        <v>50</v>
      </c>
      <c r="S395" s="24">
        <f t="shared" si="40"/>
        <v>1.1211759299999997</v>
      </c>
      <c r="T395" s="24">
        <f t="shared" si="41"/>
        <v>-1.1211759299999997</v>
      </c>
      <c r="U395" s="26">
        <f t="shared" si="42"/>
        <v>-48.778585111437287</v>
      </c>
      <c r="V395" s="59" t="s">
        <v>986</v>
      </c>
    </row>
    <row r="396" spans="1:22" ht="26.25" x14ac:dyDescent="0.25">
      <c r="A396" s="34" t="s">
        <v>188</v>
      </c>
      <c r="B396" s="35" t="s">
        <v>252</v>
      </c>
      <c r="C396" s="58" t="s">
        <v>253</v>
      </c>
      <c r="D396" s="24">
        <v>0.27003597777777777</v>
      </c>
      <c r="E396" s="24">
        <f>50477.82*1.2/1000000</f>
        <v>6.0573384000000001E-2</v>
      </c>
      <c r="F396" s="25" t="s">
        <v>50</v>
      </c>
      <c r="G396" s="24">
        <v>1.82274285</v>
      </c>
      <c r="H396" s="24">
        <f t="shared" si="43"/>
        <v>1.82274285</v>
      </c>
      <c r="I396" s="24">
        <f t="shared" si="43"/>
        <v>0.95478874999999996</v>
      </c>
      <c r="J396" s="24">
        <v>0.10479285000000001</v>
      </c>
      <c r="K396" s="24">
        <v>0</v>
      </c>
      <c r="L396" s="24">
        <v>1.7179500000000001</v>
      </c>
      <c r="M396" s="25">
        <f>315.86021/1000</f>
        <v>0.31586020999999997</v>
      </c>
      <c r="N396" s="24">
        <v>0</v>
      </c>
      <c r="O396" s="25">
        <v>0.32336228</v>
      </c>
      <c r="P396" s="24">
        <v>0</v>
      </c>
      <c r="Q396" s="25">
        <v>0.31556625999999999</v>
      </c>
      <c r="R396" s="25" t="s">
        <v>50</v>
      </c>
      <c r="S396" s="24">
        <f t="shared" si="40"/>
        <v>0.86795410000000006</v>
      </c>
      <c r="T396" s="24">
        <f t="shared" si="41"/>
        <v>-0.86795410000000006</v>
      </c>
      <c r="U396" s="26">
        <f t="shared" si="42"/>
        <v>-47.618022476401435</v>
      </c>
      <c r="V396" s="59" t="s">
        <v>986</v>
      </c>
    </row>
    <row r="397" spans="1:22" ht="31.5" customHeight="1" x14ac:dyDescent="0.25">
      <c r="A397" s="34" t="s">
        <v>188</v>
      </c>
      <c r="B397" s="35" t="s">
        <v>254</v>
      </c>
      <c r="C397" s="58" t="s">
        <v>255</v>
      </c>
      <c r="D397" s="24">
        <v>0.20831691999999996</v>
      </c>
      <c r="E397" s="24">
        <f>42570.25*1.2/1000000</f>
        <v>5.1084299999999992E-2</v>
      </c>
      <c r="F397" s="25" t="s">
        <v>50</v>
      </c>
      <c r="G397" s="24">
        <v>1.4061392100000001</v>
      </c>
      <c r="H397" s="24">
        <f t="shared" si="43"/>
        <v>1.4061392100000001</v>
      </c>
      <c r="I397" s="24">
        <f t="shared" si="43"/>
        <v>1.4524304400000001</v>
      </c>
      <c r="J397" s="24">
        <v>0.10778221</v>
      </c>
      <c r="K397" s="24">
        <v>0</v>
      </c>
      <c r="L397" s="24">
        <v>1.298357</v>
      </c>
      <c r="M397" s="25">
        <f>345.81767/1000</f>
        <v>0.34581767000000002</v>
      </c>
      <c r="N397" s="24">
        <v>0</v>
      </c>
      <c r="O397" s="25">
        <v>0.24966662000000001</v>
      </c>
      <c r="P397" s="24">
        <v>0</v>
      </c>
      <c r="Q397" s="25">
        <v>0.85694614999999996</v>
      </c>
      <c r="R397" s="25" t="s">
        <v>50</v>
      </c>
      <c r="S397" s="24">
        <f t="shared" si="40"/>
        <v>-4.6291230000000017E-2</v>
      </c>
      <c r="T397" s="24">
        <f t="shared" si="41"/>
        <v>4.6291230000000017E-2</v>
      </c>
      <c r="U397" s="26">
        <f t="shared" si="42"/>
        <v>3.2920801632435825</v>
      </c>
      <c r="V397" s="59" t="s">
        <v>50</v>
      </c>
    </row>
    <row r="398" spans="1:22" ht="51" x14ac:dyDescent="0.25">
      <c r="A398" s="34" t="s">
        <v>188</v>
      </c>
      <c r="B398" s="35" t="s">
        <v>256</v>
      </c>
      <c r="C398" s="58" t="s">
        <v>257</v>
      </c>
      <c r="D398" s="24">
        <v>1.6221620296296297</v>
      </c>
      <c r="E398" s="24">
        <f>434687.7*1.2/1000000</f>
        <v>0.52162523999999999</v>
      </c>
      <c r="F398" s="25" t="s">
        <v>50</v>
      </c>
      <c r="G398" s="24">
        <v>10.949593700000001</v>
      </c>
      <c r="H398" s="24">
        <f t="shared" si="43"/>
        <v>10.949593700000001</v>
      </c>
      <c r="I398" s="24">
        <f t="shared" si="43"/>
        <v>0</v>
      </c>
      <c r="J398" s="24">
        <v>0.40913769999999999</v>
      </c>
      <c r="K398" s="24">
        <v>0</v>
      </c>
      <c r="L398" s="24">
        <v>0</v>
      </c>
      <c r="M398" s="25">
        <v>0</v>
      </c>
      <c r="N398" s="24">
        <v>0</v>
      </c>
      <c r="O398" s="25">
        <v>0</v>
      </c>
      <c r="P398" s="24">
        <v>10.540456000000001</v>
      </c>
      <c r="Q398" s="25">
        <v>0</v>
      </c>
      <c r="R398" s="25" t="s">
        <v>50</v>
      </c>
      <c r="S398" s="24">
        <f t="shared" si="40"/>
        <v>10.949593700000001</v>
      </c>
      <c r="T398" s="24">
        <f t="shared" si="41"/>
        <v>-10.949593700000001</v>
      </c>
      <c r="U398" s="26">
        <f t="shared" si="42"/>
        <v>-100</v>
      </c>
      <c r="V398" s="59" t="s">
        <v>985</v>
      </c>
    </row>
    <row r="399" spans="1:22" ht="26.25" x14ac:dyDescent="0.25">
      <c r="A399" s="34" t="s">
        <v>188</v>
      </c>
      <c r="B399" s="35" t="s">
        <v>397</v>
      </c>
      <c r="C399" s="65" t="s">
        <v>223</v>
      </c>
      <c r="D399" s="24">
        <v>0</v>
      </c>
      <c r="E399" s="24">
        <v>0</v>
      </c>
      <c r="F399" s="25" t="s">
        <v>50</v>
      </c>
      <c r="G399" s="24">
        <v>0</v>
      </c>
      <c r="H399" s="24">
        <f t="shared" si="43"/>
        <v>0</v>
      </c>
      <c r="I399" s="24">
        <f t="shared" si="43"/>
        <v>0.21535507000000001</v>
      </c>
      <c r="J399" s="24">
        <v>0</v>
      </c>
      <c r="K399" s="24">
        <f>215.35507/1000</f>
        <v>0.21535507000000001</v>
      </c>
      <c r="L399" s="24">
        <v>0</v>
      </c>
      <c r="M399" s="25">
        <v>0</v>
      </c>
      <c r="N399" s="24">
        <v>0</v>
      </c>
      <c r="O399" s="25">
        <v>0</v>
      </c>
      <c r="P399" s="24">
        <v>0</v>
      </c>
      <c r="Q399" s="25">
        <v>0</v>
      </c>
      <c r="R399" s="25" t="s">
        <v>50</v>
      </c>
      <c r="S399" s="24">
        <f t="shared" si="40"/>
        <v>-0.21535507000000001</v>
      </c>
      <c r="T399" s="24">
        <f t="shared" si="41"/>
        <v>0.21535507000000001</v>
      </c>
      <c r="U399" s="26">
        <v>100</v>
      </c>
      <c r="V399" s="60" t="s">
        <v>414</v>
      </c>
    </row>
    <row r="400" spans="1:22" ht="26.25" x14ac:dyDescent="0.25">
      <c r="A400" s="34" t="s">
        <v>188</v>
      </c>
      <c r="B400" s="35" t="s">
        <v>398</v>
      </c>
      <c r="C400" s="65" t="s">
        <v>225</v>
      </c>
      <c r="D400" s="24">
        <v>0</v>
      </c>
      <c r="E400" s="24">
        <v>0</v>
      </c>
      <c r="F400" s="25" t="s">
        <v>50</v>
      </c>
      <c r="G400" s="24">
        <v>0</v>
      </c>
      <c r="H400" s="24">
        <f t="shared" si="43"/>
        <v>0</v>
      </c>
      <c r="I400" s="24">
        <f t="shared" si="43"/>
        <v>0.15917719999999999</v>
      </c>
      <c r="J400" s="24">
        <v>0</v>
      </c>
      <c r="K400" s="24">
        <f>159.1772/1000</f>
        <v>0.15917719999999999</v>
      </c>
      <c r="L400" s="24">
        <v>0</v>
      </c>
      <c r="M400" s="25">
        <v>0</v>
      </c>
      <c r="N400" s="24">
        <v>0</v>
      </c>
      <c r="O400" s="25">
        <v>0</v>
      </c>
      <c r="P400" s="24">
        <v>0</v>
      </c>
      <c r="Q400" s="25">
        <v>0</v>
      </c>
      <c r="R400" s="25" t="s">
        <v>50</v>
      </c>
      <c r="S400" s="24">
        <f t="shared" si="40"/>
        <v>-0.15917719999999999</v>
      </c>
      <c r="T400" s="24">
        <f t="shared" si="41"/>
        <v>0.15917719999999999</v>
      </c>
      <c r="U400" s="26">
        <v>100</v>
      </c>
      <c r="V400" s="60" t="s">
        <v>414</v>
      </c>
    </row>
    <row r="401" spans="1:22" ht="25.5" x14ac:dyDescent="0.25">
      <c r="A401" s="34" t="s">
        <v>188</v>
      </c>
      <c r="B401" s="35" t="s">
        <v>688</v>
      </c>
      <c r="C401" s="65" t="s">
        <v>980</v>
      </c>
      <c r="D401" s="24">
        <v>0</v>
      </c>
      <c r="E401" s="24">
        <v>0</v>
      </c>
      <c r="F401" s="25" t="s">
        <v>50</v>
      </c>
      <c r="G401" s="24">
        <v>0</v>
      </c>
      <c r="H401" s="24">
        <f t="shared" si="43"/>
        <v>0</v>
      </c>
      <c r="I401" s="24">
        <f t="shared" si="43"/>
        <v>0.26138597000000002</v>
      </c>
      <c r="J401" s="24">
        <v>0</v>
      </c>
      <c r="K401" s="24">
        <v>0</v>
      </c>
      <c r="L401" s="24">
        <v>0</v>
      </c>
      <c r="M401" s="25">
        <v>0.26138597000000002</v>
      </c>
      <c r="N401" s="24">
        <v>0</v>
      </c>
      <c r="O401" s="25">
        <v>0</v>
      </c>
      <c r="P401" s="24">
        <v>0</v>
      </c>
      <c r="Q401" s="25">
        <v>0</v>
      </c>
      <c r="R401" s="25" t="s">
        <v>50</v>
      </c>
      <c r="S401" s="24">
        <f t="shared" ref="S401:S464" si="44">G401-I401</f>
        <v>-0.26138597000000002</v>
      </c>
      <c r="T401" s="24">
        <f t="shared" ref="T401:T464" si="45">(K401+M401+O401+Q401)-(J401+L401+N401+P401)</f>
        <v>0.26138597000000002</v>
      </c>
      <c r="U401" s="26">
        <v>100</v>
      </c>
      <c r="V401" s="60" t="s">
        <v>414</v>
      </c>
    </row>
    <row r="402" spans="1:22" ht="38.25" x14ac:dyDescent="0.25">
      <c r="A402" s="34" t="s">
        <v>188</v>
      </c>
      <c r="B402" s="35" t="s">
        <v>401</v>
      </c>
      <c r="C402" s="65" t="s">
        <v>402</v>
      </c>
      <c r="D402" s="24">
        <v>0</v>
      </c>
      <c r="E402" s="24">
        <f>1669838.71*1.2/1000000</f>
        <v>2.0038064519999996</v>
      </c>
      <c r="F402" s="25" t="s">
        <v>50</v>
      </c>
      <c r="G402" s="24">
        <v>0</v>
      </c>
      <c r="H402" s="24">
        <f t="shared" si="43"/>
        <v>0</v>
      </c>
      <c r="I402" s="24">
        <f t="shared" si="43"/>
        <v>2.3693221000000002</v>
      </c>
      <c r="J402" s="24">
        <v>0</v>
      </c>
      <c r="K402" s="24">
        <f>2325.18492/1000</f>
        <v>2.3251849200000003</v>
      </c>
      <c r="L402" s="24">
        <v>0</v>
      </c>
      <c r="M402" s="25">
        <f>44.13718/1000</f>
        <v>4.4137179999999998E-2</v>
      </c>
      <c r="N402" s="24">
        <v>0</v>
      </c>
      <c r="O402" s="25">
        <v>0</v>
      </c>
      <c r="P402" s="24">
        <v>0</v>
      </c>
      <c r="Q402" s="25">
        <v>0</v>
      </c>
      <c r="R402" s="25" t="s">
        <v>50</v>
      </c>
      <c r="S402" s="24">
        <f t="shared" si="44"/>
        <v>-2.3693221000000002</v>
      </c>
      <c r="T402" s="24">
        <f t="shared" si="45"/>
        <v>2.3693221000000002</v>
      </c>
      <c r="U402" s="26">
        <v>100</v>
      </c>
      <c r="V402" s="60" t="s">
        <v>715</v>
      </c>
    </row>
    <row r="403" spans="1:22" ht="26.25" x14ac:dyDescent="0.25">
      <c r="A403" s="34" t="s">
        <v>188</v>
      </c>
      <c r="B403" s="35" t="s">
        <v>403</v>
      </c>
      <c r="C403" s="65" t="s">
        <v>404</v>
      </c>
      <c r="D403" s="24">
        <v>0</v>
      </c>
      <c r="E403" s="24">
        <f>1399947.52*1.2/1000000</f>
        <v>1.679937024</v>
      </c>
      <c r="F403" s="25" t="s">
        <v>50</v>
      </c>
      <c r="G403" s="24">
        <v>0</v>
      </c>
      <c r="H403" s="24">
        <f t="shared" si="43"/>
        <v>0</v>
      </c>
      <c r="I403" s="24">
        <f t="shared" si="43"/>
        <v>2.1942462700000003</v>
      </c>
      <c r="J403" s="24">
        <v>0</v>
      </c>
      <c r="K403" s="24">
        <f>2104.78578/1000</f>
        <v>2.1047857800000003</v>
      </c>
      <c r="L403" s="24">
        <v>0</v>
      </c>
      <c r="M403" s="25">
        <f>89.46049/1000</f>
        <v>8.946048999999999E-2</v>
      </c>
      <c r="N403" s="24">
        <v>0</v>
      </c>
      <c r="O403" s="25">
        <v>0</v>
      </c>
      <c r="P403" s="24">
        <v>0</v>
      </c>
      <c r="Q403" s="25">
        <v>0</v>
      </c>
      <c r="R403" s="25" t="s">
        <v>50</v>
      </c>
      <c r="S403" s="24">
        <f t="shared" si="44"/>
        <v>-2.1942462700000003</v>
      </c>
      <c r="T403" s="24">
        <f t="shared" si="45"/>
        <v>2.1942462700000003</v>
      </c>
      <c r="U403" s="26">
        <v>100</v>
      </c>
      <c r="V403" s="60" t="s">
        <v>716</v>
      </c>
    </row>
    <row r="404" spans="1:22" ht="26.25" x14ac:dyDescent="0.25">
      <c r="A404" s="34" t="s">
        <v>188</v>
      </c>
      <c r="B404" s="35" t="s">
        <v>977</v>
      </c>
      <c r="C404" s="65" t="s">
        <v>978</v>
      </c>
      <c r="D404" s="24">
        <v>0</v>
      </c>
      <c r="E404" s="24">
        <v>0</v>
      </c>
      <c r="F404" s="25" t="s">
        <v>50</v>
      </c>
      <c r="G404" s="24">
        <v>0</v>
      </c>
      <c r="H404" s="24">
        <v>0</v>
      </c>
      <c r="I404" s="24">
        <f t="shared" si="43"/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5">
        <v>0</v>
      </c>
      <c r="R404" s="25" t="s">
        <v>50</v>
      </c>
      <c r="S404" s="24">
        <f t="shared" si="44"/>
        <v>0</v>
      </c>
      <c r="T404" s="24">
        <f t="shared" si="45"/>
        <v>0</v>
      </c>
      <c r="U404" s="26">
        <v>0</v>
      </c>
      <c r="V404" s="59" t="s">
        <v>50</v>
      </c>
    </row>
    <row r="405" spans="1:22" ht="26.25" x14ac:dyDescent="0.25">
      <c r="A405" s="34" t="s">
        <v>188</v>
      </c>
      <c r="B405" s="35" t="s">
        <v>588</v>
      </c>
      <c r="C405" s="65" t="s">
        <v>589</v>
      </c>
      <c r="D405" s="24">
        <v>0</v>
      </c>
      <c r="E405" s="24">
        <v>0</v>
      </c>
      <c r="F405" s="25" t="s">
        <v>50</v>
      </c>
      <c r="G405" s="24">
        <v>0</v>
      </c>
      <c r="H405" s="24">
        <f t="shared" si="43"/>
        <v>0</v>
      </c>
      <c r="I405" s="24">
        <f t="shared" si="43"/>
        <v>0.15551553999999998</v>
      </c>
      <c r="J405" s="24">
        <v>0</v>
      </c>
      <c r="K405" s="24">
        <v>0</v>
      </c>
      <c r="L405" s="24">
        <v>0</v>
      </c>
      <c r="M405" s="25">
        <f>155.51554/1000</f>
        <v>0.15551553999999998</v>
      </c>
      <c r="N405" s="24">
        <v>0</v>
      </c>
      <c r="O405" s="25">
        <v>0</v>
      </c>
      <c r="P405" s="24">
        <v>0</v>
      </c>
      <c r="Q405" s="25">
        <v>0</v>
      </c>
      <c r="R405" s="25" t="s">
        <v>50</v>
      </c>
      <c r="S405" s="24">
        <f t="shared" si="44"/>
        <v>-0.15551553999999998</v>
      </c>
      <c r="T405" s="24">
        <f t="shared" si="45"/>
        <v>0.15551553999999998</v>
      </c>
      <c r="U405" s="26">
        <v>100</v>
      </c>
      <c r="V405" s="60" t="s">
        <v>717</v>
      </c>
    </row>
    <row r="406" spans="1:22" ht="26.25" x14ac:dyDescent="0.25">
      <c r="A406" s="34" t="s">
        <v>188</v>
      </c>
      <c r="B406" s="35" t="s">
        <v>590</v>
      </c>
      <c r="C406" s="65" t="s">
        <v>591</v>
      </c>
      <c r="D406" s="24">
        <v>0</v>
      </c>
      <c r="E406" s="24">
        <v>0</v>
      </c>
      <c r="F406" s="25" t="s">
        <v>50</v>
      </c>
      <c r="G406" s="24">
        <v>0</v>
      </c>
      <c r="H406" s="24">
        <f t="shared" si="43"/>
        <v>0</v>
      </c>
      <c r="I406" s="24">
        <f t="shared" si="43"/>
        <v>0.10091878</v>
      </c>
      <c r="J406" s="24">
        <v>0</v>
      </c>
      <c r="K406" s="24">
        <v>0</v>
      </c>
      <c r="L406" s="24">
        <v>0</v>
      </c>
      <c r="M406" s="25">
        <f>100.91878/1000</f>
        <v>0.10091878</v>
      </c>
      <c r="N406" s="24">
        <v>0</v>
      </c>
      <c r="O406" s="25">
        <v>0</v>
      </c>
      <c r="P406" s="24">
        <v>0</v>
      </c>
      <c r="Q406" s="25">
        <v>0</v>
      </c>
      <c r="R406" s="25" t="s">
        <v>50</v>
      </c>
      <c r="S406" s="24">
        <f t="shared" si="44"/>
        <v>-0.10091878</v>
      </c>
      <c r="T406" s="24">
        <f t="shared" si="45"/>
        <v>0.10091878</v>
      </c>
      <c r="U406" s="26">
        <v>100</v>
      </c>
      <c r="V406" s="60" t="s">
        <v>717</v>
      </c>
    </row>
    <row r="407" spans="1:22" ht="26.25" x14ac:dyDescent="0.25">
      <c r="A407" s="34" t="s">
        <v>188</v>
      </c>
      <c r="B407" s="35" t="s">
        <v>592</v>
      </c>
      <c r="C407" s="65" t="s">
        <v>593</v>
      </c>
      <c r="D407" s="24">
        <v>0</v>
      </c>
      <c r="E407" s="24">
        <v>0</v>
      </c>
      <c r="F407" s="25" t="s">
        <v>50</v>
      </c>
      <c r="G407" s="24">
        <v>0</v>
      </c>
      <c r="H407" s="24">
        <f t="shared" si="43"/>
        <v>0</v>
      </c>
      <c r="I407" s="24">
        <f t="shared" si="43"/>
        <v>0.11427668000000001</v>
      </c>
      <c r="J407" s="24">
        <v>0</v>
      </c>
      <c r="K407" s="24">
        <v>0</v>
      </c>
      <c r="L407" s="24">
        <v>0</v>
      </c>
      <c r="M407" s="25">
        <f>114.27668/1000</f>
        <v>0.11427668000000001</v>
      </c>
      <c r="N407" s="24">
        <v>0</v>
      </c>
      <c r="O407" s="25">
        <v>0</v>
      </c>
      <c r="P407" s="24">
        <v>0</v>
      </c>
      <c r="Q407" s="25">
        <v>0</v>
      </c>
      <c r="R407" s="25" t="s">
        <v>50</v>
      </c>
      <c r="S407" s="24">
        <f t="shared" si="44"/>
        <v>-0.11427668000000001</v>
      </c>
      <c r="T407" s="24">
        <f t="shared" si="45"/>
        <v>0.11427668000000001</v>
      </c>
      <c r="U407" s="26">
        <v>100</v>
      </c>
      <c r="V407" s="60" t="s">
        <v>717</v>
      </c>
    </row>
    <row r="408" spans="1:22" x14ac:dyDescent="0.25">
      <c r="A408" s="34" t="s">
        <v>188</v>
      </c>
      <c r="B408" s="35" t="s">
        <v>923</v>
      </c>
      <c r="C408" s="65" t="s">
        <v>924</v>
      </c>
      <c r="D408" s="24">
        <v>0</v>
      </c>
      <c r="E408" s="24">
        <v>0</v>
      </c>
      <c r="F408" s="25" t="s">
        <v>50</v>
      </c>
      <c r="G408" s="24">
        <v>0</v>
      </c>
      <c r="H408" s="24">
        <v>0</v>
      </c>
      <c r="I408" s="24">
        <f t="shared" si="43"/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5">
        <v>0</v>
      </c>
      <c r="R408" s="25" t="s">
        <v>50</v>
      </c>
      <c r="S408" s="24">
        <f t="shared" si="44"/>
        <v>0</v>
      </c>
      <c r="T408" s="24">
        <f t="shared" si="45"/>
        <v>0</v>
      </c>
      <c r="U408" s="26">
        <v>0</v>
      </c>
      <c r="V408" s="59" t="s">
        <v>50</v>
      </c>
    </row>
    <row r="409" spans="1:22" ht="52.5" customHeight="1" x14ac:dyDescent="0.25">
      <c r="A409" s="34" t="s">
        <v>188</v>
      </c>
      <c r="B409" s="35" t="s">
        <v>689</v>
      </c>
      <c r="C409" s="65" t="s">
        <v>920</v>
      </c>
      <c r="D409" s="24">
        <v>0</v>
      </c>
      <c r="E409" s="24">
        <v>0</v>
      </c>
      <c r="F409" s="25" t="s">
        <v>50</v>
      </c>
      <c r="G409" s="24">
        <v>0</v>
      </c>
      <c r="H409" s="24">
        <f t="shared" si="43"/>
        <v>0</v>
      </c>
      <c r="I409" s="24">
        <f t="shared" si="43"/>
        <v>0.17094988</v>
      </c>
      <c r="J409" s="24">
        <v>0</v>
      </c>
      <c r="K409" s="24">
        <v>0</v>
      </c>
      <c r="L409" s="24">
        <v>0</v>
      </c>
      <c r="M409" s="25">
        <v>0</v>
      </c>
      <c r="N409" s="24">
        <v>0</v>
      </c>
      <c r="O409" s="25">
        <v>0.17094988</v>
      </c>
      <c r="P409" s="24">
        <v>0</v>
      </c>
      <c r="Q409" s="25">
        <v>0</v>
      </c>
      <c r="R409" s="25" t="s">
        <v>50</v>
      </c>
      <c r="S409" s="24">
        <f t="shared" si="44"/>
        <v>-0.17094988</v>
      </c>
      <c r="T409" s="24">
        <f t="shared" si="45"/>
        <v>0.17094988</v>
      </c>
      <c r="U409" s="26">
        <v>100</v>
      </c>
      <c r="V409" s="60" t="s">
        <v>414</v>
      </c>
    </row>
    <row r="410" spans="1:22" ht="39" customHeight="1" x14ac:dyDescent="0.25">
      <c r="A410" s="34" t="s">
        <v>188</v>
      </c>
      <c r="B410" s="35" t="s">
        <v>921</v>
      </c>
      <c r="C410" s="65" t="s">
        <v>922</v>
      </c>
      <c r="D410" s="24">
        <v>0</v>
      </c>
      <c r="E410" s="24">
        <v>0</v>
      </c>
      <c r="F410" s="25" t="s">
        <v>50</v>
      </c>
      <c r="G410" s="24">
        <v>0</v>
      </c>
      <c r="H410" s="24">
        <v>0</v>
      </c>
      <c r="I410" s="24">
        <f t="shared" si="43"/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5">
        <v>0</v>
      </c>
      <c r="R410" s="25" t="s">
        <v>50</v>
      </c>
      <c r="S410" s="24">
        <f t="shared" si="44"/>
        <v>0</v>
      </c>
      <c r="T410" s="24">
        <f t="shared" si="45"/>
        <v>0</v>
      </c>
      <c r="U410" s="26">
        <v>0</v>
      </c>
      <c r="V410" s="59" t="s">
        <v>50</v>
      </c>
    </row>
    <row r="411" spans="1:22" ht="25.5" customHeight="1" x14ac:dyDescent="0.25">
      <c r="A411" s="34" t="s">
        <v>188</v>
      </c>
      <c r="B411" s="35" t="s">
        <v>595</v>
      </c>
      <c r="C411" s="65" t="s">
        <v>594</v>
      </c>
      <c r="D411" s="24">
        <v>0</v>
      </c>
      <c r="E411" s="24">
        <v>0</v>
      </c>
      <c r="F411" s="25" t="s">
        <v>50</v>
      </c>
      <c r="G411" s="24">
        <v>0</v>
      </c>
      <c r="H411" s="24">
        <f t="shared" si="43"/>
        <v>0</v>
      </c>
      <c r="I411" s="24">
        <f t="shared" si="43"/>
        <v>7.6202370000000005E-2</v>
      </c>
      <c r="J411" s="24">
        <v>0</v>
      </c>
      <c r="K411" s="24">
        <v>0</v>
      </c>
      <c r="L411" s="24">
        <v>0</v>
      </c>
      <c r="M411" s="25">
        <f>76.20237/1000</f>
        <v>7.6202370000000005E-2</v>
      </c>
      <c r="N411" s="24">
        <v>0</v>
      </c>
      <c r="O411" s="25">
        <v>0</v>
      </c>
      <c r="P411" s="24">
        <v>0</v>
      </c>
      <c r="Q411" s="25">
        <v>0</v>
      </c>
      <c r="R411" s="25" t="s">
        <v>50</v>
      </c>
      <c r="S411" s="24">
        <f t="shared" si="44"/>
        <v>-7.6202370000000005E-2</v>
      </c>
      <c r="T411" s="24">
        <f t="shared" si="45"/>
        <v>7.6202370000000005E-2</v>
      </c>
      <c r="U411" s="26">
        <v>100</v>
      </c>
      <c r="V411" s="60" t="s">
        <v>983</v>
      </c>
    </row>
    <row r="412" spans="1:22" ht="26.25" x14ac:dyDescent="0.25">
      <c r="A412" s="34" t="s">
        <v>188</v>
      </c>
      <c r="B412" s="35" t="s">
        <v>596</v>
      </c>
      <c r="C412" s="65" t="s">
        <v>597</v>
      </c>
      <c r="D412" s="24">
        <v>0</v>
      </c>
      <c r="E412" s="24">
        <v>0</v>
      </c>
      <c r="F412" s="25" t="s">
        <v>50</v>
      </c>
      <c r="G412" s="24">
        <v>0</v>
      </c>
      <c r="H412" s="24">
        <f t="shared" si="43"/>
        <v>0</v>
      </c>
      <c r="I412" s="24">
        <f t="shared" si="43"/>
        <v>2.7083800000000002E-2</v>
      </c>
      <c r="J412" s="24">
        <v>0</v>
      </c>
      <c r="K412" s="24">
        <v>0</v>
      </c>
      <c r="L412" s="24">
        <v>0</v>
      </c>
      <c r="M412" s="25">
        <f>27.0838/1000</f>
        <v>2.7083800000000002E-2</v>
      </c>
      <c r="N412" s="24">
        <v>0</v>
      </c>
      <c r="O412" s="25">
        <v>0</v>
      </c>
      <c r="P412" s="24">
        <v>0</v>
      </c>
      <c r="Q412" s="25">
        <v>0</v>
      </c>
      <c r="R412" s="25" t="s">
        <v>50</v>
      </c>
      <c r="S412" s="24">
        <f t="shared" si="44"/>
        <v>-2.7083800000000002E-2</v>
      </c>
      <c r="T412" s="24">
        <f t="shared" si="45"/>
        <v>2.7083800000000002E-2</v>
      </c>
      <c r="U412" s="26">
        <v>100</v>
      </c>
      <c r="V412" s="60" t="s">
        <v>717</v>
      </c>
    </row>
    <row r="413" spans="1:22" ht="26.25" x14ac:dyDescent="0.25">
      <c r="A413" s="34" t="s">
        <v>188</v>
      </c>
      <c r="B413" s="35" t="s">
        <v>598</v>
      </c>
      <c r="C413" s="65" t="s">
        <v>599</v>
      </c>
      <c r="D413" s="24">
        <v>0</v>
      </c>
      <c r="E413" s="24">
        <v>0</v>
      </c>
      <c r="F413" s="25" t="s">
        <v>50</v>
      </c>
      <c r="G413" s="24">
        <v>0</v>
      </c>
      <c r="H413" s="24">
        <f t="shared" si="43"/>
        <v>0</v>
      </c>
      <c r="I413" s="24">
        <f t="shared" si="43"/>
        <v>6.3698100000000001E-3</v>
      </c>
      <c r="J413" s="24">
        <v>0</v>
      </c>
      <c r="K413" s="24">
        <v>0</v>
      </c>
      <c r="L413" s="24">
        <v>0</v>
      </c>
      <c r="M413" s="25">
        <f>6.36981/1000</f>
        <v>6.3698100000000001E-3</v>
      </c>
      <c r="N413" s="24">
        <v>0</v>
      </c>
      <c r="O413" s="25">
        <v>0</v>
      </c>
      <c r="P413" s="24">
        <v>0</v>
      </c>
      <c r="Q413" s="25">
        <v>0</v>
      </c>
      <c r="R413" s="25" t="s">
        <v>50</v>
      </c>
      <c r="S413" s="24">
        <f t="shared" si="44"/>
        <v>-6.3698100000000001E-3</v>
      </c>
      <c r="T413" s="24">
        <f t="shared" si="45"/>
        <v>6.3698100000000001E-3</v>
      </c>
      <c r="U413" s="26">
        <v>100</v>
      </c>
      <c r="V413" s="60" t="s">
        <v>717</v>
      </c>
    </row>
    <row r="414" spans="1:22" ht="37.5" customHeight="1" x14ac:dyDescent="0.25">
      <c r="A414" s="34" t="s">
        <v>188</v>
      </c>
      <c r="B414" s="35" t="s">
        <v>600</v>
      </c>
      <c r="C414" s="65" t="s">
        <v>925</v>
      </c>
      <c r="D414" s="24">
        <v>0</v>
      </c>
      <c r="E414" s="24">
        <v>0</v>
      </c>
      <c r="F414" s="25" t="s">
        <v>50</v>
      </c>
      <c r="G414" s="24">
        <v>0</v>
      </c>
      <c r="H414" s="24">
        <f t="shared" si="43"/>
        <v>0</v>
      </c>
      <c r="I414" s="24">
        <f t="shared" si="43"/>
        <v>7.233887E-2</v>
      </c>
      <c r="J414" s="24">
        <v>0</v>
      </c>
      <c r="K414" s="24">
        <v>0</v>
      </c>
      <c r="L414" s="24">
        <v>0</v>
      </c>
      <c r="M414" s="25">
        <f>72.33887/1000</f>
        <v>7.233887E-2</v>
      </c>
      <c r="N414" s="24">
        <v>0</v>
      </c>
      <c r="O414" s="25">
        <v>0</v>
      </c>
      <c r="P414" s="24">
        <v>0</v>
      </c>
      <c r="Q414" s="25">
        <v>0</v>
      </c>
      <c r="R414" s="25" t="s">
        <v>50</v>
      </c>
      <c r="S414" s="24">
        <f t="shared" si="44"/>
        <v>-7.233887E-2</v>
      </c>
      <c r="T414" s="24">
        <f t="shared" si="45"/>
        <v>7.233887E-2</v>
      </c>
      <c r="U414" s="26">
        <v>100</v>
      </c>
      <c r="V414" s="60" t="s">
        <v>414</v>
      </c>
    </row>
    <row r="415" spans="1:22" ht="37.5" customHeight="1" x14ac:dyDescent="0.25">
      <c r="A415" s="34" t="s">
        <v>188</v>
      </c>
      <c r="B415" s="35" t="s">
        <v>602</v>
      </c>
      <c r="C415" s="65" t="s">
        <v>601</v>
      </c>
      <c r="D415" s="24">
        <v>0</v>
      </c>
      <c r="E415" s="24">
        <v>0</v>
      </c>
      <c r="F415" s="25" t="s">
        <v>50</v>
      </c>
      <c r="G415" s="24">
        <v>0</v>
      </c>
      <c r="H415" s="24">
        <f t="shared" si="43"/>
        <v>0</v>
      </c>
      <c r="I415" s="24">
        <f t="shared" si="43"/>
        <v>0.12006351</v>
      </c>
      <c r="J415" s="24">
        <v>0</v>
      </c>
      <c r="K415" s="24">
        <v>0</v>
      </c>
      <c r="L415" s="24">
        <v>0</v>
      </c>
      <c r="M415" s="25">
        <f>120.06351/1000</f>
        <v>0.12006351</v>
      </c>
      <c r="N415" s="24">
        <v>0</v>
      </c>
      <c r="O415" s="25">
        <v>0</v>
      </c>
      <c r="P415" s="24">
        <v>0</v>
      </c>
      <c r="Q415" s="25">
        <v>0</v>
      </c>
      <c r="R415" s="25" t="s">
        <v>50</v>
      </c>
      <c r="S415" s="24">
        <f t="shared" si="44"/>
        <v>-0.12006351</v>
      </c>
      <c r="T415" s="24">
        <f t="shared" si="45"/>
        <v>0.12006351</v>
      </c>
      <c r="U415" s="26">
        <v>100</v>
      </c>
      <c r="V415" s="60" t="s">
        <v>414</v>
      </c>
    </row>
    <row r="416" spans="1:22" ht="37.5" customHeight="1" x14ac:dyDescent="0.25">
      <c r="A416" s="34" t="s">
        <v>188</v>
      </c>
      <c r="B416" s="35" t="s">
        <v>604</v>
      </c>
      <c r="C416" s="65" t="s">
        <v>603</v>
      </c>
      <c r="D416" s="24">
        <v>0</v>
      </c>
      <c r="E416" s="24">
        <v>0</v>
      </c>
      <c r="F416" s="25" t="s">
        <v>50</v>
      </c>
      <c r="G416" s="24">
        <v>0</v>
      </c>
      <c r="H416" s="24">
        <f t="shared" si="43"/>
        <v>0</v>
      </c>
      <c r="I416" s="24">
        <f t="shared" si="43"/>
        <v>0.19347269</v>
      </c>
      <c r="J416" s="24">
        <v>0</v>
      </c>
      <c r="K416" s="24">
        <v>0</v>
      </c>
      <c r="L416" s="24">
        <v>0</v>
      </c>
      <c r="M416" s="25">
        <f>193.47269/1000</f>
        <v>0.19347269</v>
      </c>
      <c r="N416" s="24">
        <v>0</v>
      </c>
      <c r="O416" s="25">
        <v>0</v>
      </c>
      <c r="P416" s="24">
        <v>0</v>
      </c>
      <c r="Q416" s="25">
        <v>0</v>
      </c>
      <c r="R416" s="25" t="s">
        <v>50</v>
      </c>
      <c r="S416" s="24">
        <f t="shared" si="44"/>
        <v>-0.19347269</v>
      </c>
      <c r="T416" s="24">
        <f t="shared" si="45"/>
        <v>0.19347269</v>
      </c>
      <c r="U416" s="26">
        <v>100</v>
      </c>
      <c r="V416" s="60" t="s">
        <v>414</v>
      </c>
    </row>
    <row r="417" spans="1:22" ht="37.5" customHeight="1" x14ac:dyDescent="0.25">
      <c r="A417" s="34" t="s">
        <v>188</v>
      </c>
      <c r="B417" s="35" t="s">
        <v>690</v>
      </c>
      <c r="C417" s="65" t="s">
        <v>605</v>
      </c>
      <c r="D417" s="24">
        <v>0</v>
      </c>
      <c r="E417" s="24">
        <v>0</v>
      </c>
      <c r="F417" s="25" t="s">
        <v>50</v>
      </c>
      <c r="G417" s="24">
        <v>0</v>
      </c>
      <c r="H417" s="24">
        <f t="shared" si="43"/>
        <v>0</v>
      </c>
      <c r="I417" s="24">
        <f t="shared" si="43"/>
        <v>0.36422356</v>
      </c>
      <c r="J417" s="24">
        <v>0</v>
      </c>
      <c r="K417" s="24">
        <v>0</v>
      </c>
      <c r="L417" s="24">
        <v>0</v>
      </c>
      <c r="M417" s="25">
        <v>0</v>
      </c>
      <c r="N417" s="24">
        <v>0</v>
      </c>
      <c r="O417" s="25">
        <v>0.36422356</v>
      </c>
      <c r="P417" s="24">
        <v>0</v>
      </c>
      <c r="Q417" s="25">
        <v>0</v>
      </c>
      <c r="R417" s="25" t="s">
        <v>50</v>
      </c>
      <c r="S417" s="24">
        <f t="shared" si="44"/>
        <v>-0.36422356</v>
      </c>
      <c r="T417" s="24">
        <f t="shared" si="45"/>
        <v>0.36422356</v>
      </c>
      <c r="U417" s="26">
        <v>100</v>
      </c>
      <c r="V417" s="60" t="s">
        <v>414</v>
      </c>
    </row>
    <row r="418" spans="1:22" ht="37.5" customHeight="1" x14ac:dyDescent="0.25">
      <c r="A418" s="34" t="s">
        <v>188</v>
      </c>
      <c r="B418" s="35" t="s">
        <v>692</v>
      </c>
      <c r="C418" s="65" t="s">
        <v>691</v>
      </c>
      <c r="D418" s="24">
        <v>0</v>
      </c>
      <c r="E418" s="24">
        <v>0</v>
      </c>
      <c r="F418" s="25" t="s">
        <v>50</v>
      </c>
      <c r="G418" s="24">
        <v>0</v>
      </c>
      <c r="H418" s="24">
        <f t="shared" si="43"/>
        <v>0</v>
      </c>
      <c r="I418" s="24">
        <f t="shared" si="43"/>
        <v>0.18864391000000003</v>
      </c>
      <c r="J418" s="24">
        <v>0</v>
      </c>
      <c r="K418" s="24">
        <v>0</v>
      </c>
      <c r="L418" s="24">
        <v>0</v>
      </c>
      <c r="M418" s="25">
        <v>0</v>
      </c>
      <c r="N418" s="24">
        <v>0</v>
      </c>
      <c r="O418" s="25">
        <v>0.18864391000000003</v>
      </c>
      <c r="P418" s="24">
        <v>0</v>
      </c>
      <c r="Q418" s="25">
        <v>0</v>
      </c>
      <c r="R418" s="25" t="s">
        <v>50</v>
      </c>
      <c r="S418" s="24">
        <f t="shared" si="44"/>
        <v>-0.18864391000000003</v>
      </c>
      <c r="T418" s="24">
        <f t="shared" si="45"/>
        <v>0.18864391000000003</v>
      </c>
      <c r="U418" s="26">
        <v>100</v>
      </c>
      <c r="V418" s="60" t="s">
        <v>414</v>
      </c>
    </row>
    <row r="419" spans="1:22" ht="37.5" customHeight="1" x14ac:dyDescent="0.25">
      <c r="A419" s="34" t="s">
        <v>188</v>
      </c>
      <c r="B419" s="35" t="s">
        <v>694</v>
      </c>
      <c r="C419" s="65" t="s">
        <v>926</v>
      </c>
      <c r="D419" s="24">
        <v>0</v>
      </c>
      <c r="E419" s="24">
        <v>0</v>
      </c>
      <c r="F419" s="25" t="s">
        <v>50</v>
      </c>
      <c r="G419" s="24">
        <v>0</v>
      </c>
      <c r="H419" s="24">
        <f t="shared" si="43"/>
        <v>0</v>
      </c>
      <c r="I419" s="24">
        <f t="shared" si="43"/>
        <v>0.17223198000000001</v>
      </c>
      <c r="J419" s="24">
        <v>0</v>
      </c>
      <c r="K419" s="24">
        <v>0</v>
      </c>
      <c r="L419" s="24">
        <v>0</v>
      </c>
      <c r="M419" s="25">
        <v>0</v>
      </c>
      <c r="N419" s="24">
        <v>0</v>
      </c>
      <c r="O419" s="25">
        <v>0.17223198000000001</v>
      </c>
      <c r="P419" s="24">
        <v>0</v>
      </c>
      <c r="Q419" s="25">
        <v>0</v>
      </c>
      <c r="R419" s="25" t="s">
        <v>50</v>
      </c>
      <c r="S419" s="24">
        <f t="shared" si="44"/>
        <v>-0.17223198000000001</v>
      </c>
      <c r="T419" s="24">
        <f t="shared" si="45"/>
        <v>0.17223198000000001</v>
      </c>
      <c r="U419" s="26">
        <v>100</v>
      </c>
      <c r="V419" s="60" t="s">
        <v>414</v>
      </c>
    </row>
    <row r="420" spans="1:22" ht="37.5" customHeight="1" x14ac:dyDescent="0.25">
      <c r="A420" s="34" t="s">
        <v>188</v>
      </c>
      <c r="B420" s="35" t="s">
        <v>927</v>
      </c>
      <c r="C420" s="65" t="s">
        <v>693</v>
      </c>
      <c r="D420" s="24">
        <v>0</v>
      </c>
      <c r="E420" s="24">
        <v>0</v>
      </c>
      <c r="F420" s="25" t="s">
        <v>50</v>
      </c>
      <c r="G420" s="24">
        <v>0</v>
      </c>
      <c r="H420" s="24">
        <v>0</v>
      </c>
      <c r="I420" s="24">
        <f t="shared" si="43"/>
        <v>5.0791389999999999E-2</v>
      </c>
      <c r="J420" s="24">
        <v>0</v>
      </c>
      <c r="K420" s="24">
        <v>0</v>
      </c>
      <c r="L420" s="24">
        <v>0</v>
      </c>
      <c r="M420" s="25">
        <v>0</v>
      </c>
      <c r="N420" s="24">
        <v>0</v>
      </c>
      <c r="O420" s="25">
        <v>0</v>
      </c>
      <c r="P420" s="24">
        <v>0</v>
      </c>
      <c r="Q420" s="25">
        <v>5.0791389999999999E-2</v>
      </c>
      <c r="R420" s="25" t="s">
        <v>50</v>
      </c>
      <c r="S420" s="24">
        <f t="shared" si="44"/>
        <v>-5.0791389999999999E-2</v>
      </c>
      <c r="T420" s="24">
        <f t="shared" si="45"/>
        <v>5.0791389999999999E-2</v>
      </c>
      <c r="U420" s="26">
        <v>100</v>
      </c>
      <c r="V420" s="60" t="s">
        <v>414</v>
      </c>
    </row>
    <row r="421" spans="1:22" ht="37.5" customHeight="1" x14ac:dyDescent="0.25">
      <c r="A421" s="34" t="s">
        <v>188</v>
      </c>
      <c r="B421" s="35" t="s">
        <v>928</v>
      </c>
      <c r="C421" s="65" t="s">
        <v>695</v>
      </c>
      <c r="D421" s="24">
        <v>0</v>
      </c>
      <c r="E421" s="24">
        <v>0</v>
      </c>
      <c r="F421" s="25" t="s">
        <v>50</v>
      </c>
      <c r="G421" s="24">
        <v>0</v>
      </c>
      <c r="H421" s="24">
        <v>0</v>
      </c>
      <c r="I421" s="24">
        <f t="shared" si="43"/>
        <v>0</v>
      </c>
      <c r="J421" s="24">
        <v>0</v>
      </c>
      <c r="K421" s="24">
        <v>0</v>
      </c>
      <c r="L421" s="24">
        <v>0</v>
      </c>
      <c r="M421" s="25">
        <v>0</v>
      </c>
      <c r="N421" s="24">
        <v>0</v>
      </c>
      <c r="O421" s="25">
        <v>0</v>
      </c>
      <c r="P421" s="24">
        <v>0</v>
      </c>
      <c r="Q421" s="25">
        <v>0</v>
      </c>
      <c r="R421" s="25" t="s">
        <v>50</v>
      </c>
      <c r="S421" s="24">
        <f t="shared" si="44"/>
        <v>0</v>
      </c>
      <c r="T421" s="24">
        <f t="shared" si="45"/>
        <v>0</v>
      </c>
      <c r="U421" s="26">
        <v>100</v>
      </c>
      <c r="V421" s="60" t="s">
        <v>414</v>
      </c>
    </row>
    <row r="422" spans="1:22" ht="38.25" customHeight="1" x14ac:dyDescent="0.25">
      <c r="A422" s="34" t="s">
        <v>188</v>
      </c>
      <c r="B422" s="35" t="s">
        <v>929</v>
      </c>
      <c r="C422" s="65" t="s">
        <v>930</v>
      </c>
      <c r="D422" s="24">
        <v>0</v>
      </c>
      <c r="E422" s="24">
        <v>0</v>
      </c>
      <c r="F422" s="25" t="s">
        <v>50</v>
      </c>
      <c r="G422" s="24">
        <v>0</v>
      </c>
      <c r="H422" s="24">
        <v>0</v>
      </c>
      <c r="I422" s="24">
        <f t="shared" si="43"/>
        <v>0.28262407000000001</v>
      </c>
      <c r="J422" s="24">
        <v>0</v>
      </c>
      <c r="K422" s="24">
        <v>0</v>
      </c>
      <c r="L422" s="24">
        <v>0</v>
      </c>
      <c r="M422" s="25">
        <v>0</v>
      </c>
      <c r="N422" s="24">
        <v>0</v>
      </c>
      <c r="O422" s="25">
        <v>0</v>
      </c>
      <c r="P422" s="24">
        <v>0</v>
      </c>
      <c r="Q422" s="25">
        <v>0.28262407000000001</v>
      </c>
      <c r="R422" s="25" t="s">
        <v>50</v>
      </c>
      <c r="S422" s="24">
        <f t="shared" si="44"/>
        <v>-0.28262407000000001</v>
      </c>
      <c r="T422" s="24">
        <f t="shared" si="45"/>
        <v>0.28262407000000001</v>
      </c>
      <c r="U422" s="26">
        <v>100</v>
      </c>
      <c r="V422" s="60" t="s">
        <v>414</v>
      </c>
    </row>
    <row r="423" spans="1:22" ht="38.25" customHeight="1" x14ac:dyDescent="0.25">
      <c r="A423" s="34" t="s">
        <v>188</v>
      </c>
      <c r="B423" s="35" t="s">
        <v>931</v>
      </c>
      <c r="C423" s="65" t="s">
        <v>932</v>
      </c>
      <c r="D423" s="24">
        <v>0</v>
      </c>
      <c r="E423" s="24">
        <v>0</v>
      </c>
      <c r="F423" s="25" t="s">
        <v>50</v>
      </c>
      <c r="G423" s="24">
        <v>0</v>
      </c>
      <c r="H423" s="24">
        <v>0</v>
      </c>
      <c r="I423" s="24">
        <f t="shared" si="43"/>
        <v>4.9132429999999998E-2</v>
      </c>
      <c r="J423" s="24">
        <v>0</v>
      </c>
      <c r="K423" s="24">
        <v>0</v>
      </c>
      <c r="L423" s="24">
        <v>0</v>
      </c>
      <c r="M423" s="25">
        <v>0</v>
      </c>
      <c r="N423" s="24">
        <v>0</v>
      </c>
      <c r="O423" s="25">
        <v>0</v>
      </c>
      <c r="P423" s="24">
        <v>0</v>
      </c>
      <c r="Q423" s="25">
        <v>4.9132429999999998E-2</v>
      </c>
      <c r="R423" s="25" t="s">
        <v>50</v>
      </c>
      <c r="S423" s="24">
        <f t="shared" si="44"/>
        <v>-4.9132429999999998E-2</v>
      </c>
      <c r="T423" s="24">
        <f t="shared" si="45"/>
        <v>4.9132429999999998E-2</v>
      </c>
      <c r="U423" s="26">
        <v>100</v>
      </c>
      <c r="V423" s="60" t="s">
        <v>414</v>
      </c>
    </row>
    <row r="424" spans="1:22" ht="38.25" customHeight="1" x14ac:dyDescent="0.25">
      <c r="A424" s="34" t="s">
        <v>188</v>
      </c>
      <c r="B424" s="35" t="s">
        <v>933</v>
      </c>
      <c r="C424" s="65" t="s">
        <v>400</v>
      </c>
      <c r="D424" s="24">
        <v>0</v>
      </c>
      <c r="E424" s="24">
        <v>0</v>
      </c>
      <c r="F424" s="25" t="s">
        <v>50</v>
      </c>
      <c r="G424" s="24">
        <v>0</v>
      </c>
      <c r="H424" s="24">
        <v>0</v>
      </c>
      <c r="I424" s="24">
        <f t="shared" si="43"/>
        <v>0.24118352999999998</v>
      </c>
      <c r="J424" s="24">
        <v>0</v>
      </c>
      <c r="K424" s="24">
        <v>0</v>
      </c>
      <c r="L424" s="24">
        <v>0</v>
      </c>
      <c r="M424" s="25">
        <v>0.24118352999999998</v>
      </c>
      <c r="N424" s="24">
        <v>0</v>
      </c>
      <c r="O424" s="25">
        <v>0</v>
      </c>
      <c r="P424" s="24">
        <v>0</v>
      </c>
      <c r="Q424" s="25">
        <v>0</v>
      </c>
      <c r="R424" s="25" t="s">
        <v>50</v>
      </c>
      <c r="S424" s="24">
        <f t="shared" si="44"/>
        <v>-0.24118352999999998</v>
      </c>
      <c r="T424" s="24">
        <f t="shared" si="45"/>
        <v>0.24118352999999998</v>
      </c>
      <c r="U424" s="26">
        <v>100</v>
      </c>
      <c r="V424" s="60" t="s">
        <v>414</v>
      </c>
    </row>
    <row r="425" spans="1:22" ht="38.25" customHeight="1" x14ac:dyDescent="0.25">
      <c r="A425" s="34" t="s">
        <v>188</v>
      </c>
      <c r="B425" s="35" t="s">
        <v>934</v>
      </c>
      <c r="C425" s="65" t="s">
        <v>935</v>
      </c>
      <c r="D425" s="24">
        <v>0</v>
      </c>
      <c r="E425" s="24">
        <v>0</v>
      </c>
      <c r="F425" s="25" t="s">
        <v>50</v>
      </c>
      <c r="G425" s="24">
        <v>0</v>
      </c>
      <c r="H425" s="24">
        <v>0</v>
      </c>
      <c r="I425" s="24">
        <f t="shared" si="43"/>
        <v>0</v>
      </c>
      <c r="J425" s="24">
        <v>0</v>
      </c>
      <c r="K425" s="24">
        <v>0</v>
      </c>
      <c r="L425" s="24">
        <v>0</v>
      </c>
      <c r="M425" s="25">
        <v>0</v>
      </c>
      <c r="N425" s="24">
        <v>0</v>
      </c>
      <c r="O425" s="25">
        <v>0</v>
      </c>
      <c r="P425" s="24">
        <v>0</v>
      </c>
      <c r="Q425" s="25">
        <v>0</v>
      </c>
      <c r="R425" s="25" t="s">
        <v>50</v>
      </c>
      <c r="S425" s="24">
        <f t="shared" si="44"/>
        <v>0</v>
      </c>
      <c r="T425" s="24">
        <f t="shared" si="45"/>
        <v>0</v>
      </c>
      <c r="U425" s="26">
        <v>0</v>
      </c>
      <c r="V425" s="59" t="s">
        <v>50</v>
      </c>
    </row>
    <row r="426" spans="1:22" ht="38.25" customHeight="1" x14ac:dyDescent="0.25">
      <c r="A426" s="34" t="s">
        <v>188</v>
      </c>
      <c r="B426" s="35" t="s">
        <v>936</v>
      </c>
      <c r="C426" s="65" t="s">
        <v>937</v>
      </c>
      <c r="D426" s="24">
        <v>0</v>
      </c>
      <c r="E426" s="24">
        <v>0</v>
      </c>
      <c r="F426" s="25" t="s">
        <v>50</v>
      </c>
      <c r="G426" s="24">
        <v>0</v>
      </c>
      <c r="H426" s="24">
        <v>0</v>
      </c>
      <c r="I426" s="24">
        <f t="shared" si="43"/>
        <v>0</v>
      </c>
      <c r="J426" s="24">
        <v>0</v>
      </c>
      <c r="K426" s="24">
        <v>0</v>
      </c>
      <c r="L426" s="24">
        <v>0</v>
      </c>
      <c r="M426" s="25">
        <v>0</v>
      </c>
      <c r="N426" s="24">
        <v>0</v>
      </c>
      <c r="O426" s="25">
        <v>0</v>
      </c>
      <c r="P426" s="24">
        <v>0</v>
      </c>
      <c r="Q426" s="25">
        <v>0</v>
      </c>
      <c r="R426" s="25" t="s">
        <v>50</v>
      </c>
      <c r="S426" s="24">
        <f t="shared" si="44"/>
        <v>0</v>
      </c>
      <c r="T426" s="24">
        <f t="shared" si="45"/>
        <v>0</v>
      </c>
      <c r="U426" s="26">
        <v>0</v>
      </c>
      <c r="V426" s="59" t="s">
        <v>50</v>
      </c>
    </row>
    <row r="427" spans="1:22" ht="38.25" customHeight="1" x14ac:dyDescent="0.25">
      <c r="A427" s="34" t="s">
        <v>188</v>
      </c>
      <c r="B427" s="35" t="s">
        <v>938</v>
      </c>
      <c r="C427" s="65" t="s">
        <v>939</v>
      </c>
      <c r="D427" s="24">
        <v>0</v>
      </c>
      <c r="E427" s="24">
        <v>0</v>
      </c>
      <c r="F427" s="25" t="s">
        <v>50</v>
      </c>
      <c r="G427" s="24">
        <v>0</v>
      </c>
      <c r="H427" s="24">
        <v>0</v>
      </c>
      <c r="I427" s="24">
        <f t="shared" si="43"/>
        <v>0</v>
      </c>
      <c r="J427" s="24">
        <v>0</v>
      </c>
      <c r="K427" s="24">
        <v>0</v>
      </c>
      <c r="L427" s="24">
        <v>0</v>
      </c>
      <c r="M427" s="25">
        <v>0</v>
      </c>
      <c r="N427" s="24">
        <v>0</v>
      </c>
      <c r="O427" s="25">
        <v>0</v>
      </c>
      <c r="P427" s="24">
        <v>0</v>
      </c>
      <c r="Q427" s="25">
        <v>0</v>
      </c>
      <c r="R427" s="25" t="s">
        <v>50</v>
      </c>
      <c r="S427" s="24">
        <f t="shared" si="44"/>
        <v>0</v>
      </c>
      <c r="T427" s="24">
        <f t="shared" si="45"/>
        <v>0</v>
      </c>
      <c r="U427" s="26">
        <v>0</v>
      </c>
      <c r="V427" s="59" t="s">
        <v>50</v>
      </c>
    </row>
    <row r="428" spans="1:22" ht="38.25" customHeight="1" x14ac:dyDescent="0.25">
      <c r="A428" s="34" t="s">
        <v>188</v>
      </c>
      <c r="B428" s="35" t="s">
        <v>940</v>
      </c>
      <c r="C428" s="65" t="s">
        <v>941</v>
      </c>
      <c r="D428" s="24">
        <v>0</v>
      </c>
      <c r="E428" s="24">
        <v>0</v>
      </c>
      <c r="F428" s="25" t="s">
        <v>50</v>
      </c>
      <c r="G428" s="24">
        <v>0</v>
      </c>
      <c r="H428" s="24">
        <v>0</v>
      </c>
      <c r="I428" s="24">
        <f t="shared" si="43"/>
        <v>0</v>
      </c>
      <c r="J428" s="24">
        <v>0</v>
      </c>
      <c r="K428" s="24">
        <v>0</v>
      </c>
      <c r="L428" s="24">
        <v>0</v>
      </c>
      <c r="M428" s="25">
        <v>0</v>
      </c>
      <c r="N428" s="24">
        <v>0</v>
      </c>
      <c r="O428" s="25">
        <v>0</v>
      </c>
      <c r="P428" s="24">
        <v>0</v>
      </c>
      <c r="Q428" s="25">
        <v>0</v>
      </c>
      <c r="R428" s="25" t="s">
        <v>50</v>
      </c>
      <c r="S428" s="24">
        <f t="shared" si="44"/>
        <v>0</v>
      </c>
      <c r="T428" s="24">
        <f t="shared" si="45"/>
        <v>0</v>
      </c>
      <c r="U428" s="26">
        <v>0</v>
      </c>
      <c r="V428" s="59" t="s">
        <v>50</v>
      </c>
    </row>
    <row r="429" spans="1:22" ht="38.25" customHeight="1" x14ac:dyDescent="0.25">
      <c r="A429" s="34" t="s">
        <v>188</v>
      </c>
      <c r="B429" s="35" t="s">
        <v>942</v>
      </c>
      <c r="C429" s="65" t="s">
        <v>943</v>
      </c>
      <c r="D429" s="24">
        <v>0</v>
      </c>
      <c r="E429" s="24">
        <v>0</v>
      </c>
      <c r="F429" s="25" t="s">
        <v>50</v>
      </c>
      <c r="G429" s="24">
        <v>0</v>
      </c>
      <c r="H429" s="24">
        <v>0</v>
      </c>
      <c r="I429" s="24">
        <f t="shared" si="43"/>
        <v>0</v>
      </c>
      <c r="J429" s="24">
        <v>0</v>
      </c>
      <c r="K429" s="24">
        <v>0</v>
      </c>
      <c r="L429" s="24">
        <v>0</v>
      </c>
      <c r="M429" s="25">
        <v>0</v>
      </c>
      <c r="N429" s="24">
        <v>0</v>
      </c>
      <c r="O429" s="25">
        <v>0</v>
      </c>
      <c r="P429" s="24">
        <v>0</v>
      </c>
      <c r="Q429" s="25">
        <v>0</v>
      </c>
      <c r="R429" s="25" t="s">
        <v>50</v>
      </c>
      <c r="S429" s="24">
        <f t="shared" si="44"/>
        <v>0</v>
      </c>
      <c r="T429" s="24">
        <f t="shared" si="45"/>
        <v>0</v>
      </c>
      <c r="U429" s="26">
        <v>0</v>
      </c>
      <c r="V429" s="59" t="s">
        <v>50</v>
      </c>
    </row>
    <row r="430" spans="1:22" s="3" customFormat="1" ht="25.5" x14ac:dyDescent="0.25">
      <c r="A430" s="14" t="s">
        <v>258</v>
      </c>
      <c r="B430" s="19" t="s">
        <v>259</v>
      </c>
      <c r="C430" s="49" t="s">
        <v>52</v>
      </c>
      <c r="D430" s="16">
        <v>0</v>
      </c>
      <c r="E430" s="16">
        <v>0</v>
      </c>
      <c r="F430" s="17" t="s">
        <v>50</v>
      </c>
      <c r="G430" s="16">
        <v>0</v>
      </c>
      <c r="H430" s="16">
        <f t="shared" si="43"/>
        <v>0</v>
      </c>
      <c r="I430" s="16">
        <f t="shared" si="43"/>
        <v>0</v>
      </c>
      <c r="J430" s="16">
        <v>0</v>
      </c>
      <c r="K430" s="16">
        <v>0</v>
      </c>
      <c r="L430" s="16">
        <v>0</v>
      </c>
      <c r="M430" s="17">
        <v>0</v>
      </c>
      <c r="N430" s="16">
        <v>0</v>
      </c>
      <c r="O430" s="17">
        <v>0</v>
      </c>
      <c r="P430" s="16">
        <v>0</v>
      </c>
      <c r="Q430" s="17">
        <v>0</v>
      </c>
      <c r="R430" s="17" t="s">
        <v>50</v>
      </c>
      <c r="S430" s="16">
        <f t="shared" si="44"/>
        <v>0</v>
      </c>
      <c r="T430" s="16">
        <f t="shared" si="45"/>
        <v>0</v>
      </c>
      <c r="U430" s="18">
        <v>0</v>
      </c>
      <c r="V430" s="48" t="s">
        <v>50</v>
      </c>
    </row>
    <row r="431" spans="1:22" s="3" customFormat="1" ht="25.5" x14ac:dyDescent="0.25">
      <c r="A431" s="14" t="s">
        <v>30</v>
      </c>
      <c r="B431" s="19" t="s">
        <v>260</v>
      </c>
      <c r="C431" s="49" t="s">
        <v>52</v>
      </c>
      <c r="D431" s="16">
        <v>0</v>
      </c>
      <c r="E431" s="16">
        <v>0</v>
      </c>
      <c r="F431" s="17" t="s">
        <v>50</v>
      </c>
      <c r="G431" s="16">
        <v>0</v>
      </c>
      <c r="H431" s="16">
        <f t="shared" si="43"/>
        <v>0</v>
      </c>
      <c r="I431" s="16">
        <f t="shared" si="43"/>
        <v>0</v>
      </c>
      <c r="J431" s="16">
        <v>0</v>
      </c>
      <c r="K431" s="16">
        <v>0</v>
      </c>
      <c r="L431" s="16">
        <v>0</v>
      </c>
      <c r="M431" s="17">
        <v>0</v>
      </c>
      <c r="N431" s="16">
        <v>0</v>
      </c>
      <c r="O431" s="17">
        <v>0</v>
      </c>
      <c r="P431" s="16">
        <v>0</v>
      </c>
      <c r="Q431" s="17">
        <v>0</v>
      </c>
      <c r="R431" s="17" t="s">
        <v>50</v>
      </c>
      <c r="S431" s="16">
        <f t="shared" si="44"/>
        <v>0</v>
      </c>
      <c r="T431" s="16">
        <f t="shared" si="45"/>
        <v>0</v>
      </c>
      <c r="U431" s="18">
        <v>0</v>
      </c>
      <c r="V431" s="48" t="s">
        <v>50</v>
      </c>
    </row>
    <row r="432" spans="1:22" s="3" customFormat="1" ht="25.5" x14ac:dyDescent="0.25">
      <c r="A432" s="14" t="s">
        <v>31</v>
      </c>
      <c r="B432" s="19" t="s">
        <v>261</v>
      </c>
      <c r="C432" s="49" t="s">
        <v>52</v>
      </c>
      <c r="D432" s="16">
        <v>0</v>
      </c>
      <c r="E432" s="16">
        <v>0</v>
      </c>
      <c r="F432" s="17" t="s">
        <v>50</v>
      </c>
      <c r="G432" s="16">
        <v>0</v>
      </c>
      <c r="H432" s="16">
        <f t="shared" si="43"/>
        <v>0</v>
      </c>
      <c r="I432" s="16">
        <f t="shared" si="43"/>
        <v>0</v>
      </c>
      <c r="J432" s="16">
        <v>0</v>
      </c>
      <c r="K432" s="16">
        <v>0</v>
      </c>
      <c r="L432" s="16">
        <v>0</v>
      </c>
      <c r="M432" s="17">
        <v>0</v>
      </c>
      <c r="N432" s="16">
        <v>0</v>
      </c>
      <c r="O432" s="17">
        <v>0</v>
      </c>
      <c r="P432" s="16">
        <v>0</v>
      </c>
      <c r="Q432" s="17">
        <v>0</v>
      </c>
      <c r="R432" s="17" t="s">
        <v>50</v>
      </c>
      <c r="S432" s="16">
        <f t="shared" si="44"/>
        <v>0</v>
      </c>
      <c r="T432" s="16">
        <f t="shared" si="45"/>
        <v>0</v>
      </c>
      <c r="U432" s="18">
        <v>0</v>
      </c>
      <c r="V432" s="48" t="s">
        <v>50</v>
      </c>
    </row>
    <row r="433" spans="1:22" s="3" customFormat="1" ht="25.5" x14ac:dyDescent="0.25">
      <c r="A433" s="14" t="s">
        <v>32</v>
      </c>
      <c r="B433" s="19" t="s">
        <v>262</v>
      </c>
      <c r="C433" s="49" t="s">
        <v>52</v>
      </c>
      <c r="D433" s="16">
        <v>0</v>
      </c>
      <c r="E433" s="16">
        <v>0</v>
      </c>
      <c r="F433" s="17" t="s">
        <v>50</v>
      </c>
      <c r="G433" s="16">
        <v>0</v>
      </c>
      <c r="H433" s="16">
        <f t="shared" si="43"/>
        <v>0</v>
      </c>
      <c r="I433" s="16">
        <f t="shared" si="43"/>
        <v>0</v>
      </c>
      <c r="J433" s="16">
        <v>0</v>
      </c>
      <c r="K433" s="16">
        <v>0</v>
      </c>
      <c r="L433" s="16">
        <v>0</v>
      </c>
      <c r="M433" s="17">
        <v>0</v>
      </c>
      <c r="N433" s="16">
        <v>0</v>
      </c>
      <c r="O433" s="17">
        <v>0</v>
      </c>
      <c r="P433" s="16">
        <v>0</v>
      </c>
      <c r="Q433" s="17">
        <v>0</v>
      </c>
      <c r="R433" s="17" t="s">
        <v>50</v>
      </c>
      <c r="S433" s="16">
        <f t="shared" si="44"/>
        <v>0</v>
      </c>
      <c r="T433" s="16">
        <f t="shared" si="45"/>
        <v>0</v>
      </c>
      <c r="U433" s="18">
        <v>0</v>
      </c>
      <c r="V433" s="48" t="s">
        <v>50</v>
      </c>
    </row>
    <row r="434" spans="1:22" s="3" customFormat="1" ht="25.5" x14ac:dyDescent="0.25">
      <c r="A434" s="14" t="s">
        <v>33</v>
      </c>
      <c r="B434" s="19" t="s">
        <v>263</v>
      </c>
      <c r="C434" s="49" t="s">
        <v>52</v>
      </c>
      <c r="D434" s="16">
        <v>0</v>
      </c>
      <c r="E434" s="16">
        <v>0</v>
      </c>
      <c r="F434" s="17" t="s">
        <v>50</v>
      </c>
      <c r="G434" s="16">
        <v>0</v>
      </c>
      <c r="H434" s="16">
        <f t="shared" si="43"/>
        <v>0</v>
      </c>
      <c r="I434" s="16">
        <f t="shared" si="43"/>
        <v>0</v>
      </c>
      <c r="J434" s="16">
        <v>0</v>
      </c>
      <c r="K434" s="16">
        <v>0</v>
      </c>
      <c r="L434" s="16">
        <v>0</v>
      </c>
      <c r="M434" s="17">
        <v>0</v>
      </c>
      <c r="N434" s="16">
        <v>0</v>
      </c>
      <c r="O434" s="17">
        <v>0</v>
      </c>
      <c r="P434" s="16">
        <v>0</v>
      </c>
      <c r="Q434" s="17">
        <v>0</v>
      </c>
      <c r="R434" s="17" t="s">
        <v>50</v>
      </c>
      <c r="S434" s="16">
        <f t="shared" si="44"/>
        <v>0</v>
      </c>
      <c r="T434" s="16">
        <f t="shared" si="45"/>
        <v>0</v>
      </c>
      <c r="U434" s="18">
        <v>0</v>
      </c>
      <c r="V434" s="48" t="s">
        <v>50</v>
      </c>
    </row>
    <row r="435" spans="1:22" s="3" customFormat="1" ht="25.5" x14ac:dyDescent="0.25">
      <c r="A435" s="14" t="s">
        <v>34</v>
      </c>
      <c r="B435" s="19" t="s">
        <v>264</v>
      </c>
      <c r="C435" s="49" t="s">
        <v>52</v>
      </c>
      <c r="D435" s="16">
        <v>0</v>
      </c>
      <c r="E435" s="16">
        <v>0</v>
      </c>
      <c r="F435" s="17" t="s">
        <v>50</v>
      </c>
      <c r="G435" s="16">
        <v>0</v>
      </c>
      <c r="H435" s="16">
        <f t="shared" si="43"/>
        <v>0</v>
      </c>
      <c r="I435" s="16">
        <f t="shared" si="43"/>
        <v>0</v>
      </c>
      <c r="J435" s="16">
        <v>0</v>
      </c>
      <c r="K435" s="16">
        <v>0</v>
      </c>
      <c r="L435" s="16">
        <v>0</v>
      </c>
      <c r="M435" s="17">
        <v>0</v>
      </c>
      <c r="N435" s="16">
        <v>0</v>
      </c>
      <c r="O435" s="17">
        <v>0</v>
      </c>
      <c r="P435" s="16">
        <v>0</v>
      </c>
      <c r="Q435" s="17">
        <v>0</v>
      </c>
      <c r="R435" s="17" t="s">
        <v>50</v>
      </c>
      <c r="S435" s="16">
        <f t="shared" si="44"/>
        <v>0</v>
      </c>
      <c r="T435" s="16">
        <f t="shared" si="45"/>
        <v>0</v>
      </c>
      <c r="U435" s="18">
        <v>0</v>
      </c>
      <c r="V435" s="48" t="s">
        <v>50</v>
      </c>
    </row>
    <row r="436" spans="1:22" s="3" customFormat="1" ht="25.5" x14ac:dyDescent="0.25">
      <c r="A436" s="14" t="s">
        <v>35</v>
      </c>
      <c r="B436" s="19" t="s">
        <v>265</v>
      </c>
      <c r="C436" s="49" t="s">
        <v>52</v>
      </c>
      <c r="D436" s="16">
        <v>0</v>
      </c>
      <c r="E436" s="16">
        <v>0</v>
      </c>
      <c r="F436" s="17" t="s">
        <v>50</v>
      </c>
      <c r="G436" s="16">
        <v>0</v>
      </c>
      <c r="H436" s="16">
        <f t="shared" si="43"/>
        <v>0</v>
      </c>
      <c r="I436" s="16">
        <f t="shared" si="43"/>
        <v>0</v>
      </c>
      <c r="J436" s="16">
        <v>0</v>
      </c>
      <c r="K436" s="16">
        <v>0</v>
      </c>
      <c r="L436" s="16">
        <v>0</v>
      </c>
      <c r="M436" s="17">
        <v>0</v>
      </c>
      <c r="N436" s="16">
        <v>0</v>
      </c>
      <c r="O436" s="17">
        <v>0</v>
      </c>
      <c r="P436" s="16">
        <v>0</v>
      </c>
      <c r="Q436" s="17">
        <v>0</v>
      </c>
      <c r="R436" s="17" t="s">
        <v>50</v>
      </c>
      <c r="S436" s="16">
        <f t="shared" si="44"/>
        <v>0</v>
      </c>
      <c r="T436" s="16">
        <f t="shared" si="45"/>
        <v>0</v>
      </c>
      <c r="U436" s="18">
        <v>0</v>
      </c>
      <c r="V436" s="48" t="s">
        <v>50</v>
      </c>
    </row>
    <row r="437" spans="1:22" s="3" customFormat="1" ht="25.5" x14ac:dyDescent="0.25">
      <c r="A437" s="14" t="s">
        <v>36</v>
      </c>
      <c r="B437" s="19" t="s">
        <v>266</v>
      </c>
      <c r="C437" s="49" t="s">
        <v>52</v>
      </c>
      <c r="D437" s="16">
        <v>0</v>
      </c>
      <c r="E437" s="16">
        <v>0</v>
      </c>
      <c r="F437" s="17" t="s">
        <v>50</v>
      </c>
      <c r="G437" s="16">
        <v>0</v>
      </c>
      <c r="H437" s="16">
        <f t="shared" si="43"/>
        <v>0</v>
      </c>
      <c r="I437" s="16">
        <f t="shared" si="43"/>
        <v>0</v>
      </c>
      <c r="J437" s="16">
        <v>0</v>
      </c>
      <c r="K437" s="16">
        <v>0</v>
      </c>
      <c r="L437" s="16">
        <v>0</v>
      </c>
      <c r="M437" s="17">
        <v>0</v>
      </c>
      <c r="N437" s="16">
        <v>0</v>
      </c>
      <c r="O437" s="17">
        <v>0</v>
      </c>
      <c r="P437" s="16">
        <v>0</v>
      </c>
      <c r="Q437" s="17">
        <v>0</v>
      </c>
      <c r="R437" s="17" t="s">
        <v>50</v>
      </c>
      <c r="S437" s="16">
        <f t="shared" si="44"/>
        <v>0</v>
      </c>
      <c r="T437" s="16">
        <f t="shared" si="45"/>
        <v>0</v>
      </c>
      <c r="U437" s="18">
        <v>0</v>
      </c>
      <c r="V437" s="48" t="s">
        <v>50</v>
      </c>
    </row>
    <row r="438" spans="1:22" s="3" customFormat="1" ht="25.5" x14ac:dyDescent="0.25">
      <c r="A438" s="14" t="s">
        <v>37</v>
      </c>
      <c r="B438" s="19" t="s">
        <v>267</v>
      </c>
      <c r="C438" s="49" t="s">
        <v>52</v>
      </c>
      <c r="D438" s="16">
        <v>0</v>
      </c>
      <c r="E438" s="16">
        <v>0</v>
      </c>
      <c r="F438" s="17" t="s">
        <v>50</v>
      </c>
      <c r="G438" s="16">
        <v>0</v>
      </c>
      <c r="H438" s="16">
        <f t="shared" si="43"/>
        <v>0</v>
      </c>
      <c r="I438" s="16">
        <f t="shared" si="43"/>
        <v>0</v>
      </c>
      <c r="J438" s="16">
        <v>0</v>
      </c>
      <c r="K438" s="16">
        <v>0</v>
      </c>
      <c r="L438" s="16">
        <v>0</v>
      </c>
      <c r="M438" s="17">
        <v>0</v>
      </c>
      <c r="N438" s="16">
        <v>0</v>
      </c>
      <c r="O438" s="17">
        <v>0</v>
      </c>
      <c r="P438" s="16">
        <v>0</v>
      </c>
      <c r="Q438" s="17">
        <v>0</v>
      </c>
      <c r="R438" s="17" t="s">
        <v>50</v>
      </c>
      <c r="S438" s="16">
        <f t="shared" si="44"/>
        <v>0</v>
      </c>
      <c r="T438" s="16">
        <f t="shared" si="45"/>
        <v>0</v>
      </c>
      <c r="U438" s="18">
        <v>0</v>
      </c>
      <c r="V438" s="48" t="s">
        <v>50</v>
      </c>
    </row>
    <row r="439" spans="1:22" s="3" customFormat="1" ht="38.25" x14ac:dyDescent="0.25">
      <c r="A439" s="14" t="s">
        <v>268</v>
      </c>
      <c r="B439" s="19" t="s">
        <v>269</v>
      </c>
      <c r="C439" s="49" t="s">
        <v>52</v>
      </c>
      <c r="D439" s="16">
        <v>0</v>
      </c>
      <c r="E439" s="16">
        <v>0</v>
      </c>
      <c r="F439" s="17" t="s">
        <v>50</v>
      </c>
      <c r="G439" s="16">
        <v>0</v>
      </c>
      <c r="H439" s="16">
        <f t="shared" si="43"/>
        <v>0</v>
      </c>
      <c r="I439" s="16">
        <f t="shared" si="43"/>
        <v>0</v>
      </c>
      <c r="J439" s="16">
        <v>0</v>
      </c>
      <c r="K439" s="16">
        <v>0</v>
      </c>
      <c r="L439" s="16">
        <v>0</v>
      </c>
      <c r="M439" s="17">
        <v>0</v>
      </c>
      <c r="N439" s="16">
        <v>0</v>
      </c>
      <c r="O439" s="17">
        <v>0</v>
      </c>
      <c r="P439" s="16">
        <v>0</v>
      </c>
      <c r="Q439" s="17">
        <v>0</v>
      </c>
      <c r="R439" s="17" t="s">
        <v>50</v>
      </c>
      <c r="S439" s="16">
        <f t="shared" si="44"/>
        <v>0</v>
      </c>
      <c r="T439" s="16">
        <f t="shared" si="45"/>
        <v>0</v>
      </c>
      <c r="U439" s="18">
        <v>0</v>
      </c>
      <c r="V439" s="48" t="s">
        <v>50</v>
      </c>
    </row>
    <row r="440" spans="1:22" s="3" customFormat="1" ht="25.5" x14ac:dyDescent="0.25">
      <c r="A440" s="14" t="s">
        <v>270</v>
      </c>
      <c r="B440" s="19" t="s">
        <v>271</v>
      </c>
      <c r="C440" s="49" t="s">
        <v>52</v>
      </c>
      <c r="D440" s="16">
        <v>0</v>
      </c>
      <c r="E440" s="16">
        <v>0</v>
      </c>
      <c r="F440" s="17" t="s">
        <v>50</v>
      </c>
      <c r="G440" s="16">
        <v>16.731524740000001</v>
      </c>
      <c r="H440" s="16">
        <f t="shared" si="43"/>
        <v>16.731524740000001</v>
      </c>
      <c r="I440" s="16">
        <f t="shared" si="43"/>
        <v>8.6722960399999991</v>
      </c>
      <c r="J440" s="16">
        <v>0.58259816999999992</v>
      </c>
      <c r="K440" s="16">
        <v>0</v>
      </c>
      <c r="L440" s="16">
        <v>9.2198265699999986</v>
      </c>
      <c r="M440" s="17">
        <v>0</v>
      </c>
      <c r="N440" s="16">
        <v>6.9291000000000009</v>
      </c>
      <c r="O440" s="17">
        <v>0</v>
      </c>
      <c r="P440" s="16">
        <v>0</v>
      </c>
      <c r="Q440" s="17">
        <f>Q441+Q442</f>
        <v>8.6722960399999991</v>
      </c>
      <c r="R440" s="17" t="s">
        <v>50</v>
      </c>
      <c r="S440" s="16">
        <f t="shared" si="44"/>
        <v>8.059228700000002</v>
      </c>
      <c r="T440" s="16">
        <f t="shared" si="45"/>
        <v>-8.059228700000002</v>
      </c>
      <c r="U440" s="18">
        <f t="shared" ref="U440:U464" si="46">(K440+M440+O440+Q440)/(J440+L440+N440+P440)*100-100</f>
        <v>-48.167927461702462</v>
      </c>
      <c r="V440" s="48" t="s">
        <v>50</v>
      </c>
    </row>
    <row r="441" spans="1:22" s="3" customFormat="1" ht="25.5" x14ac:dyDescent="0.25">
      <c r="A441" s="14" t="s">
        <v>272</v>
      </c>
      <c r="B441" s="19" t="s">
        <v>273</v>
      </c>
      <c r="C441" s="49" t="s">
        <v>52</v>
      </c>
      <c r="D441" s="16">
        <v>0</v>
      </c>
      <c r="E441" s="16">
        <v>0</v>
      </c>
      <c r="F441" s="17" t="s">
        <v>50</v>
      </c>
      <c r="G441" s="16">
        <v>0</v>
      </c>
      <c r="H441" s="16">
        <f t="shared" si="43"/>
        <v>0</v>
      </c>
      <c r="I441" s="16">
        <f t="shared" si="43"/>
        <v>0</v>
      </c>
      <c r="J441" s="16">
        <v>0</v>
      </c>
      <c r="K441" s="16">
        <v>0</v>
      </c>
      <c r="L441" s="16">
        <v>0</v>
      </c>
      <c r="M441" s="17">
        <v>0</v>
      </c>
      <c r="N441" s="16">
        <v>0</v>
      </c>
      <c r="O441" s="17">
        <v>0</v>
      </c>
      <c r="P441" s="16">
        <v>0</v>
      </c>
      <c r="Q441" s="17">
        <v>0</v>
      </c>
      <c r="R441" s="17" t="s">
        <v>50</v>
      </c>
      <c r="S441" s="16">
        <f t="shared" si="44"/>
        <v>0</v>
      </c>
      <c r="T441" s="16">
        <f t="shared" si="45"/>
        <v>0</v>
      </c>
      <c r="U441" s="18">
        <v>0</v>
      </c>
      <c r="V441" s="48" t="s">
        <v>50</v>
      </c>
    </row>
    <row r="442" spans="1:22" s="3" customFormat="1" ht="25.5" x14ac:dyDescent="0.25">
      <c r="A442" s="14" t="s">
        <v>274</v>
      </c>
      <c r="B442" s="19" t="s">
        <v>275</v>
      </c>
      <c r="C442" s="49" t="s">
        <v>52</v>
      </c>
      <c r="D442" s="16">
        <v>0.15210833333333335</v>
      </c>
      <c r="E442" s="16">
        <f>SUM(E443:E445)</f>
        <v>0</v>
      </c>
      <c r="F442" s="17" t="s">
        <v>50</v>
      </c>
      <c r="G442" s="16">
        <v>9.8024247399999993</v>
      </c>
      <c r="H442" s="16">
        <f t="shared" si="43"/>
        <v>9.8024247399999993</v>
      </c>
      <c r="I442" s="16">
        <f t="shared" si="43"/>
        <v>8.6722960399999991</v>
      </c>
      <c r="J442" s="16">
        <v>0.58259816999999992</v>
      </c>
      <c r="K442" s="16">
        <f>SUM(K443:K445)</f>
        <v>0</v>
      </c>
      <c r="L442" s="16">
        <v>9.2198265699999986</v>
      </c>
      <c r="M442" s="17">
        <f>SUM(M443:M445)</f>
        <v>0</v>
      </c>
      <c r="N442" s="16">
        <f>N443+N444+N445</f>
        <v>0</v>
      </c>
      <c r="O442" s="17">
        <f>SUM(O443:O445)</f>
        <v>0</v>
      </c>
      <c r="P442" s="16">
        <v>0</v>
      </c>
      <c r="Q442" s="17">
        <f>Q443+Q444+Q445</f>
        <v>8.6722960399999991</v>
      </c>
      <c r="R442" s="17" t="s">
        <v>50</v>
      </c>
      <c r="S442" s="16">
        <f t="shared" si="44"/>
        <v>1.1301287000000002</v>
      </c>
      <c r="T442" s="16">
        <f t="shared" si="45"/>
        <v>-1.1301287000000002</v>
      </c>
      <c r="U442" s="18">
        <f t="shared" si="46"/>
        <v>-11.529072958738169</v>
      </c>
      <c r="V442" s="48" t="s">
        <v>50</v>
      </c>
    </row>
    <row r="443" spans="1:22" x14ac:dyDescent="0.25">
      <c r="A443" s="34" t="s">
        <v>274</v>
      </c>
      <c r="B443" s="29" t="s">
        <v>276</v>
      </c>
      <c r="C443" s="54" t="s">
        <v>277</v>
      </c>
      <c r="D443" s="24">
        <v>0</v>
      </c>
      <c r="E443" s="24">
        <v>0</v>
      </c>
      <c r="F443" s="25" t="s">
        <v>50</v>
      </c>
      <c r="G443" s="24">
        <v>9.2198265699999986</v>
      </c>
      <c r="H443" s="24">
        <f t="shared" si="43"/>
        <v>9.2198265699999986</v>
      </c>
      <c r="I443" s="24">
        <f t="shared" si="43"/>
        <v>8.6722960399999991</v>
      </c>
      <c r="J443" s="24">
        <v>0</v>
      </c>
      <c r="K443" s="24">
        <v>0</v>
      </c>
      <c r="L443" s="24">
        <v>9.2198265699999986</v>
      </c>
      <c r="M443" s="25">
        <v>0</v>
      </c>
      <c r="N443" s="24">
        <v>0</v>
      </c>
      <c r="O443" s="25">
        <v>0</v>
      </c>
      <c r="P443" s="24">
        <v>0</v>
      </c>
      <c r="Q443" s="25">
        <v>8.6722960399999991</v>
      </c>
      <c r="R443" s="25" t="s">
        <v>50</v>
      </c>
      <c r="S443" s="24">
        <f t="shared" si="44"/>
        <v>0.54753052999999952</v>
      </c>
      <c r="T443" s="24">
        <f t="shared" si="45"/>
        <v>-0.54753052999999952</v>
      </c>
      <c r="U443" s="26">
        <f t="shared" si="46"/>
        <v>-5.9386207087841001</v>
      </c>
      <c r="V443" s="59" t="s">
        <v>50</v>
      </c>
    </row>
    <row r="444" spans="1:22" ht="25.5" x14ac:dyDescent="0.25">
      <c r="A444" s="34" t="s">
        <v>274</v>
      </c>
      <c r="B444" s="29" t="s">
        <v>278</v>
      </c>
      <c r="C444" s="54" t="s">
        <v>279</v>
      </c>
      <c r="D444" s="24">
        <v>6.3966666666666672E-2</v>
      </c>
      <c r="E444" s="24">
        <v>0</v>
      </c>
      <c r="F444" s="25" t="s">
        <v>50</v>
      </c>
      <c r="G444" s="24">
        <v>0.245</v>
      </c>
      <c r="H444" s="24">
        <f t="shared" si="43"/>
        <v>0.245</v>
      </c>
      <c r="I444" s="24">
        <f t="shared" si="43"/>
        <v>0</v>
      </c>
      <c r="J444" s="24">
        <v>0.245</v>
      </c>
      <c r="K444" s="24">
        <v>0</v>
      </c>
      <c r="L444" s="24">
        <v>0</v>
      </c>
      <c r="M444" s="25">
        <v>0</v>
      </c>
      <c r="N444" s="24">
        <v>0</v>
      </c>
      <c r="O444" s="25">
        <v>0</v>
      </c>
      <c r="P444" s="24">
        <v>0</v>
      </c>
      <c r="Q444" s="25">
        <v>0</v>
      </c>
      <c r="R444" s="25" t="s">
        <v>50</v>
      </c>
      <c r="S444" s="24">
        <f t="shared" si="44"/>
        <v>0.245</v>
      </c>
      <c r="T444" s="24">
        <f t="shared" si="45"/>
        <v>-0.245</v>
      </c>
      <c r="U444" s="26">
        <f t="shared" si="46"/>
        <v>-100</v>
      </c>
      <c r="V444" s="59" t="s">
        <v>991</v>
      </c>
    </row>
    <row r="445" spans="1:22" ht="25.5" x14ac:dyDescent="0.25">
      <c r="A445" s="34" t="s">
        <v>274</v>
      </c>
      <c r="B445" s="29" t="s">
        <v>280</v>
      </c>
      <c r="C445" s="54" t="s">
        <v>281</v>
      </c>
      <c r="D445" s="24">
        <v>8.8141666666666674E-2</v>
      </c>
      <c r="E445" s="24">
        <v>0</v>
      </c>
      <c r="F445" s="25" t="s">
        <v>50</v>
      </c>
      <c r="G445" s="24">
        <v>0.33759816999999998</v>
      </c>
      <c r="H445" s="24">
        <f t="shared" si="43"/>
        <v>0.33759816999999998</v>
      </c>
      <c r="I445" s="24">
        <f t="shared" si="43"/>
        <v>0</v>
      </c>
      <c r="J445" s="24">
        <v>0.33759816999999998</v>
      </c>
      <c r="K445" s="24">
        <v>0</v>
      </c>
      <c r="L445" s="24">
        <v>0</v>
      </c>
      <c r="M445" s="25">
        <v>0</v>
      </c>
      <c r="N445" s="24">
        <v>0</v>
      </c>
      <c r="O445" s="25">
        <v>0</v>
      </c>
      <c r="P445" s="24">
        <v>0</v>
      </c>
      <c r="Q445" s="25">
        <v>0</v>
      </c>
      <c r="R445" s="25" t="s">
        <v>50</v>
      </c>
      <c r="S445" s="24">
        <f t="shared" si="44"/>
        <v>0.33759816999999998</v>
      </c>
      <c r="T445" s="24">
        <f t="shared" si="45"/>
        <v>-0.33759816999999998</v>
      </c>
      <c r="U445" s="26">
        <f t="shared" si="46"/>
        <v>-100</v>
      </c>
      <c r="V445" s="59" t="s">
        <v>991</v>
      </c>
    </row>
    <row r="446" spans="1:22" s="3" customFormat="1" ht="38.25" x14ac:dyDescent="0.25">
      <c r="A446" s="14" t="s">
        <v>38</v>
      </c>
      <c r="B446" s="19" t="s">
        <v>282</v>
      </c>
      <c r="C446" s="49" t="s">
        <v>52</v>
      </c>
      <c r="D446" s="16">
        <v>0</v>
      </c>
      <c r="E446" s="16">
        <v>0</v>
      </c>
      <c r="F446" s="17" t="s">
        <v>50</v>
      </c>
      <c r="G446" s="16">
        <v>0</v>
      </c>
      <c r="H446" s="16">
        <f t="shared" ref="H446:I507" si="47">J446+L446+N446+P446</f>
        <v>0</v>
      </c>
      <c r="I446" s="16">
        <f t="shared" si="47"/>
        <v>0</v>
      </c>
      <c r="J446" s="16">
        <v>0</v>
      </c>
      <c r="K446" s="16">
        <v>0</v>
      </c>
      <c r="L446" s="16">
        <v>0</v>
      </c>
      <c r="M446" s="17">
        <v>0</v>
      </c>
      <c r="N446" s="16">
        <v>0</v>
      </c>
      <c r="O446" s="17">
        <v>0</v>
      </c>
      <c r="P446" s="16">
        <v>0</v>
      </c>
      <c r="Q446" s="17">
        <v>0</v>
      </c>
      <c r="R446" s="17" t="s">
        <v>50</v>
      </c>
      <c r="S446" s="16">
        <f t="shared" si="44"/>
        <v>0</v>
      </c>
      <c r="T446" s="16">
        <f t="shared" si="45"/>
        <v>0</v>
      </c>
      <c r="U446" s="18">
        <v>0</v>
      </c>
      <c r="V446" s="48" t="s">
        <v>50</v>
      </c>
    </row>
    <row r="447" spans="1:22" s="3" customFormat="1" ht="38.25" x14ac:dyDescent="0.25">
      <c r="A447" s="14" t="s">
        <v>283</v>
      </c>
      <c r="B447" s="19" t="s">
        <v>284</v>
      </c>
      <c r="C447" s="49" t="s">
        <v>52</v>
      </c>
      <c r="D447" s="16">
        <v>0</v>
      </c>
      <c r="E447" s="16">
        <v>0</v>
      </c>
      <c r="F447" s="17" t="s">
        <v>50</v>
      </c>
      <c r="G447" s="16">
        <v>0</v>
      </c>
      <c r="H447" s="16">
        <f t="shared" si="47"/>
        <v>0</v>
      </c>
      <c r="I447" s="16">
        <f t="shared" si="47"/>
        <v>0</v>
      </c>
      <c r="J447" s="16">
        <v>0</v>
      </c>
      <c r="K447" s="16">
        <v>0</v>
      </c>
      <c r="L447" s="16">
        <v>0</v>
      </c>
      <c r="M447" s="17">
        <v>0</v>
      </c>
      <c r="N447" s="16">
        <v>0</v>
      </c>
      <c r="O447" s="17">
        <v>0</v>
      </c>
      <c r="P447" s="16">
        <v>0</v>
      </c>
      <c r="Q447" s="17">
        <v>0</v>
      </c>
      <c r="R447" s="17" t="s">
        <v>50</v>
      </c>
      <c r="S447" s="16">
        <f t="shared" si="44"/>
        <v>0</v>
      </c>
      <c r="T447" s="16">
        <f t="shared" si="45"/>
        <v>0</v>
      </c>
      <c r="U447" s="18">
        <v>0</v>
      </c>
      <c r="V447" s="48" t="s">
        <v>50</v>
      </c>
    </row>
    <row r="448" spans="1:22" s="3" customFormat="1" ht="38.25" x14ac:dyDescent="0.25">
      <c r="A448" s="14" t="s">
        <v>285</v>
      </c>
      <c r="B448" s="19" t="s">
        <v>286</v>
      </c>
      <c r="C448" s="49" t="s">
        <v>52</v>
      </c>
      <c r="D448" s="16">
        <v>0</v>
      </c>
      <c r="E448" s="16">
        <v>0</v>
      </c>
      <c r="F448" s="17" t="s">
        <v>50</v>
      </c>
      <c r="G448" s="16">
        <v>0</v>
      </c>
      <c r="H448" s="16">
        <f t="shared" si="47"/>
        <v>0</v>
      </c>
      <c r="I448" s="16">
        <f t="shared" si="47"/>
        <v>0</v>
      </c>
      <c r="J448" s="16">
        <v>0</v>
      </c>
      <c r="K448" s="16">
        <v>0</v>
      </c>
      <c r="L448" s="16">
        <v>0</v>
      </c>
      <c r="M448" s="17">
        <v>0</v>
      </c>
      <c r="N448" s="16">
        <v>0</v>
      </c>
      <c r="O448" s="17">
        <v>0</v>
      </c>
      <c r="P448" s="16">
        <v>0</v>
      </c>
      <c r="Q448" s="17">
        <v>0</v>
      </c>
      <c r="R448" s="17" t="s">
        <v>50</v>
      </c>
      <c r="S448" s="16">
        <f t="shared" si="44"/>
        <v>0</v>
      </c>
      <c r="T448" s="16">
        <f t="shared" si="45"/>
        <v>0</v>
      </c>
      <c r="U448" s="18">
        <v>0</v>
      </c>
      <c r="V448" s="48" t="s">
        <v>50</v>
      </c>
    </row>
    <row r="449" spans="1:22" s="3" customFormat="1" ht="25.5" x14ac:dyDescent="0.25">
      <c r="A449" s="14" t="s">
        <v>39</v>
      </c>
      <c r="B449" s="19" t="s">
        <v>287</v>
      </c>
      <c r="C449" s="49" t="s">
        <v>52</v>
      </c>
      <c r="D449" s="16">
        <v>3.7325568633156565</v>
      </c>
      <c r="E449" s="16">
        <f>SUM(E450:E474)</f>
        <v>1.1462098439999999</v>
      </c>
      <c r="F449" s="17" t="s">
        <v>50</v>
      </c>
      <c r="G449" s="16">
        <v>24.219407979544428</v>
      </c>
      <c r="H449" s="16">
        <f t="shared" si="47"/>
        <v>24.219407979544428</v>
      </c>
      <c r="I449" s="16">
        <f t="shared" si="47"/>
        <v>42.871311410000004</v>
      </c>
      <c r="J449" s="16">
        <f>SUM(J450:J500)</f>
        <v>1.4124602974576277</v>
      </c>
      <c r="K449" s="16">
        <f t="shared" ref="K449:Q449" si="48">SUM(K450:K500)</f>
        <v>0.86449767</v>
      </c>
      <c r="L449" s="16">
        <f t="shared" si="48"/>
        <v>4.3464498694915248</v>
      </c>
      <c r="M449" s="16">
        <f t="shared" si="48"/>
        <v>3.2460601500000004</v>
      </c>
      <c r="N449" s="16">
        <f t="shared" si="48"/>
        <v>15.021621629491531</v>
      </c>
      <c r="O449" s="16">
        <f t="shared" si="48"/>
        <v>2.4464661700000003</v>
      </c>
      <c r="P449" s="16">
        <f t="shared" si="48"/>
        <v>3.4388761831037424</v>
      </c>
      <c r="Q449" s="16">
        <f t="shared" si="48"/>
        <v>36.314287419999999</v>
      </c>
      <c r="R449" s="17" t="s">
        <v>50</v>
      </c>
      <c r="S449" s="16">
        <f t="shared" si="44"/>
        <v>-18.651903430455576</v>
      </c>
      <c r="T449" s="16">
        <f t="shared" si="45"/>
        <v>18.651903430455576</v>
      </c>
      <c r="U449" s="18">
        <f t="shared" si="46"/>
        <v>77.012218656248194</v>
      </c>
      <c r="V449" s="48" t="s">
        <v>50</v>
      </c>
    </row>
    <row r="450" spans="1:22" ht="36" customHeight="1" x14ac:dyDescent="0.25">
      <c r="A450" s="22" t="s">
        <v>39</v>
      </c>
      <c r="B450" s="32" t="s">
        <v>515</v>
      </c>
      <c r="C450" s="51" t="s">
        <v>516</v>
      </c>
      <c r="D450" s="24">
        <v>0</v>
      </c>
      <c r="E450" s="24">
        <f>15117*1.2/1000000</f>
        <v>1.8140399999999997E-2</v>
      </c>
      <c r="F450" s="25" t="s">
        <v>50</v>
      </c>
      <c r="G450" s="24">
        <v>0</v>
      </c>
      <c r="H450" s="24">
        <f t="shared" si="47"/>
        <v>0</v>
      </c>
      <c r="I450" s="24">
        <f t="shared" si="47"/>
        <v>0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5">
        <v>0</v>
      </c>
      <c r="P450" s="24">
        <v>0</v>
      </c>
      <c r="Q450" s="25">
        <v>0</v>
      </c>
      <c r="R450" s="25" t="s">
        <v>50</v>
      </c>
      <c r="S450" s="24">
        <f t="shared" si="44"/>
        <v>0</v>
      </c>
      <c r="T450" s="24">
        <f t="shared" si="45"/>
        <v>0</v>
      </c>
      <c r="U450" s="26">
        <v>0</v>
      </c>
      <c r="V450" s="44" t="s">
        <v>50</v>
      </c>
    </row>
    <row r="451" spans="1:22" ht="36" customHeight="1" x14ac:dyDescent="0.25">
      <c r="A451" s="22" t="s">
        <v>39</v>
      </c>
      <c r="B451" s="32" t="s">
        <v>517</v>
      </c>
      <c r="C451" s="51" t="s">
        <v>518</v>
      </c>
      <c r="D451" s="24">
        <v>0</v>
      </c>
      <c r="E451" s="24">
        <f>299495.2*1.2/1000000</f>
        <v>0.35939423999999998</v>
      </c>
      <c r="F451" s="25" t="s">
        <v>50</v>
      </c>
      <c r="G451" s="24">
        <v>0</v>
      </c>
      <c r="H451" s="24">
        <f t="shared" si="47"/>
        <v>0</v>
      </c>
      <c r="I451" s="24">
        <f t="shared" si="47"/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5">
        <v>0</v>
      </c>
      <c r="P451" s="24">
        <v>0</v>
      </c>
      <c r="Q451" s="25">
        <v>0</v>
      </c>
      <c r="R451" s="25" t="s">
        <v>50</v>
      </c>
      <c r="S451" s="24">
        <f t="shared" si="44"/>
        <v>0</v>
      </c>
      <c r="T451" s="24">
        <f t="shared" si="45"/>
        <v>0</v>
      </c>
      <c r="U451" s="26">
        <v>0</v>
      </c>
      <c r="V451" s="44" t="s">
        <v>50</v>
      </c>
    </row>
    <row r="452" spans="1:22" ht="36" customHeight="1" x14ac:dyDescent="0.25">
      <c r="A452" s="22" t="s">
        <v>39</v>
      </c>
      <c r="B452" s="32" t="s">
        <v>519</v>
      </c>
      <c r="C452" s="51" t="s">
        <v>520</v>
      </c>
      <c r="D452" s="24">
        <v>0</v>
      </c>
      <c r="E452" s="24">
        <f>15577*1.2/1000000</f>
        <v>1.8692399999999998E-2</v>
      </c>
      <c r="F452" s="25" t="s">
        <v>50</v>
      </c>
      <c r="G452" s="24">
        <v>0</v>
      </c>
      <c r="H452" s="24">
        <f t="shared" si="47"/>
        <v>0</v>
      </c>
      <c r="I452" s="24">
        <f t="shared" si="47"/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5">
        <v>0</v>
      </c>
      <c r="P452" s="24">
        <v>0</v>
      </c>
      <c r="Q452" s="25">
        <v>0</v>
      </c>
      <c r="R452" s="25" t="s">
        <v>50</v>
      </c>
      <c r="S452" s="24">
        <f t="shared" si="44"/>
        <v>0</v>
      </c>
      <c r="T452" s="24">
        <f t="shared" si="45"/>
        <v>0</v>
      </c>
      <c r="U452" s="26">
        <v>0</v>
      </c>
      <c r="V452" s="44" t="s">
        <v>50</v>
      </c>
    </row>
    <row r="453" spans="1:22" ht="36" customHeight="1" x14ac:dyDescent="0.25">
      <c r="A453" s="22" t="s">
        <v>39</v>
      </c>
      <c r="B453" s="32" t="s">
        <v>521</v>
      </c>
      <c r="C453" s="51" t="s">
        <v>522</v>
      </c>
      <c r="D453" s="24">
        <v>0</v>
      </c>
      <c r="E453" s="24">
        <f>45913.89*1.2/1000000</f>
        <v>5.5096667999999994E-2</v>
      </c>
      <c r="F453" s="25" t="s">
        <v>50</v>
      </c>
      <c r="G453" s="24">
        <v>0</v>
      </c>
      <c r="H453" s="24">
        <f t="shared" si="47"/>
        <v>0</v>
      </c>
      <c r="I453" s="24">
        <f t="shared" si="47"/>
        <v>0</v>
      </c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5">
        <v>0</v>
      </c>
      <c r="P453" s="24">
        <v>0</v>
      </c>
      <c r="Q453" s="25">
        <v>0</v>
      </c>
      <c r="R453" s="25" t="s">
        <v>50</v>
      </c>
      <c r="S453" s="24">
        <f t="shared" si="44"/>
        <v>0</v>
      </c>
      <c r="T453" s="24">
        <f t="shared" si="45"/>
        <v>0</v>
      </c>
      <c r="U453" s="26">
        <v>0</v>
      </c>
      <c r="V453" s="44" t="s">
        <v>50</v>
      </c>
    </row>
    <row r="454" spans="1:22" ht="36" customHeight="1" x14ac:dyDescent="0.25">
      <c r="A454" s="22" t="s">
        <v>39</v>
      </c>
      <c r="B454" s="32" t="s">
        <v>523</v>
      </c>
      <c r="C454" s="51" t="s">
        <v>524</v>
      </c>
      <c r="D454" s="24">
        <v>0</v>
      </c>
      <c r="E454" s="24">
        <f>11023*1.2/1000000</f>
        <v>1.3227600000000001E-2</v>
      </c>
      <c r="F454" s="25" t="s">
        <v>50</v>
      </c>
      <c r="G454" s="24">
        <v>0</v>
      </c>
      <c r="H454" s="24">
        <f t="shared" si="47"/>
        <v>0</v>
      </c>
      <c r="I454" s="24">
        <f t="shared" si="47"/>
        <v>0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5">
        <v>0</v>
      </c>
      <c r="P454" s="24">
        <v>0</v>
      </c>
      <c r="Q454" s="25">
        <v>0</v>
      </c>
      <c r="R454" s="25" t="s">
        <v>50</v>
      </c>
      <c r="S454" s="24">
        <f t="shared" si="44"/>
        <v>0</v>
      </c>
      <c r="T454" s="24">
        <f t="shared" si="45"/>
        <v>0</v>
      </c>
      <c r="U454" s="26">
        <v>0</v>
      </c>
      <c r="V454" s="44" t="s">
        <v>50</v>
      </c>
    </row>
    <row r="455" spans="1:22" ht="36" customHeight="1" x14ac:dyDescent="0.25">
      <c r="A455" s="22" t="s">
        <v>39</v>
      </c>
      <c r="B455" s="32" t="s">
        <v>525</v>
      </c>
      <c r="C455" s="51" t="s">
        <v>526</v>
      </c>
      <c r="D455" s="24">
        <v>0</v>
      </c>
      <c r="E455" s="24">
        <f>47925.03*1.2/1000000</f>
        <v>5.7510036E-2</v>
      </c>
      <c r="F455" s="25" t="s">
        <v>50</v>
      </c>
      <c r="G455" s="24">
        <v>0</v>
      </c>
      <c r="H455" s="24">
        <f t="shared" si="47"/>
        <v>0</v>
      </c>
      <c r="I455" s="24">
        <f t="shared" si="47"/>
        <v>0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5">
        <v>0</v>
      </c>
      <c r="P455" s="24">
        <v>0</v>
      </c>
      <c r="Q455" s="25">
        <v>0</v>
      </c>
      <c r="R455" s="25" t="s">
        <v>50</v>
      </c>
      <c r="S455" s="24">
        <f t="shared" si="44"/>
        <v>0</v>
      </c>
      <c r="T455" s="24">
        <f t="shared" si="45"/>
        <v>0</v>
      </c>
      <c r="U455" s="26">
        <v>0</v>
      </c>
      <c r="V455" s="44" t="s">
        <v>50</v>
      </c>
    </row>
    <row r="456" spans="1:22" ht="36" customHeight="1" x14ac:dyDescent="0.25">
      <c r="A456" s="22" t="s">
        <v>39</v>
      </c>
      <c r="B456" s="32" t="s">
        <v>527</v>
      </c>
      <c r="C456" s="51" t="s">
        <v>528</v>
      </c>
      <c r="D456" s="24">
        <v>0</v>
      </c>
      <c r="E456" s="24">
        <f>295043.83*1.2/1000000</f>
        <v>0.354052596</v>
      </c>
      <c r="F456" s="25" t="s">
        <v>50</v>
      </c>
      <c r="G456" s="24">
        <v>0</v>
      </c>
      <c r="H456" s="24">
        <f t="shared" si="47"/>
        <v>0</v>
      </c>
      <c r="I456" s="24">
        <f t="shared" si="47"/>
        <v>0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5">
        <v>0</v>
      </c>
      <c r="P456" s="24">
        <v>0</v>
      </c>
      <c r="Q456" s="25">
        <v>0</v>
      </c>
      <c r="R456" s="25" t="s">
        <v>50</v>
      </c>
      <c r="S456" s="24">
        <f t="shared" si="44"/>
        <v>0</v>
      </c>
      <c r="T456" s="24">
        <f t="shared" si="45"/>
        <v>0</v>
      </c>
      <c r="U456" s="26">
        <v>0</v>
      </c>
      <c r="V456" s="44" t="s">
        <v>50</v>
      </c>
    </row>
    <row r="457" spans="1:22" ht="48" customHeight="1" x14ac:dyDescent="0.25">
      <c r="A457" s="34" t="s">
        <v>39</v>
      </c>
      <c r="B457" s="29" t="s">
        <v>288</v>
      </c>
      <c r="C457" s="54" t="s">
        <v>289</v>
      </c>
      <c r="D457" s="24">
        <v>0.31346441658315544</v>
      </c>
      <c r="E457" s="24">
        <f>17872*1.2/1000000</f>
        <v>2.1446399999999997E-2</v>
      </c>
      <c r="F457" s="25" t="s">
        <v>50</v>
      </c>
      <c r="G457" s="24">
        <v>2.4387531610169488</v>
      </c>
      <c r="H457" s="24">
        <f t="shared" si="47"/>
        <v>2.4387531610169488</v>
      </c>
      <c r="I457" s="24">
        <f t="shared" si="47"/>
        <v>1.6239115900000001</v>
      </c>
      <c r="J457" s="24">
        <v>0.17262134745762714</v>
      </c>
      <c r="K457" s="24">
        <v>0</v>
      </c>
      <c r="L457" s="24">
        <v>0</v>
      </c>
      <c r="M457" s="25">
        <v>0</v>
      </c>
      <c r="N457" s="24">
        <v>2.2661318135593218</v>
      </c>
      <c r="O457" s="25">
        <v>0</v>
      </c>
      <c r="P457" s="24">
        <v>0</v>
      </c>
      <c r="Q457" s="25">
        <v>1.6239115900000001</v>
      </c>
      <c r="R457" s="25" t="s">
        <v>50</v>
      </c>
      <c r="S457" s="24">
        <f t="shared" si="44"/>
        <v>0.81484157101694876</v>
      </c>
      <c r="T457" s="24">
        <f t="shared" si="45"/>
        <v>-0.81484157101694876</v>
      </c>
      <c r="U457" s="26">
        <f t="shared" si="46"/>
        <v>-33.412219983639659</v>
      </c>
      <c r="V457" s="59" t="s">
        <v>986</v>
      </c>
    </row>
    <row r="458" spans="1:22" ht="54.75" customHeight="1" x14ac:dyDescent="0.25">
      <c r="A458" s="34" t="s">
        <v>39</v>
      </c>
      <c r="B458" s="29" t="s">
        <v>290</v>
      </c>
      <c r="C458" s="54" t="s">
        <v>291</v>
      </c>
      <c r="D458" s="24">
        <v>0.27663518637532131</v>
      </c>
      <c r="E458" s="24">
        <f>16862*1.2/1000000</f>
        <v>2.0234399999999996E-2</v>
      </c>
      <c r="F458" s="25" t="s">
        <v>50</v>
      </c>
      <c r="G458" s="24">
        <v>2.1522217499999998</v>
      </c>
      <c r="H458" s="24">
        <f t="shared" si="47"/>
        <v>2.1522217499999998</v>
      </c>
      <c r="I458" s="24">
        <f t="shared" si="47"/>
        <v>1.30585817</v>
      </c>
      <c r="J458" s="24">
        <v>0.14216605000000002</v>
      </c>
      <c r="K458" s="24">
        <v>0</v>
      </c>
      <c r="L458" s="24">
        <v>2.0100556999999997</v>
      </c>
      <c r="M458" s="25">
        <v>0</v>
      </c>
      <c r="N458" s="24">
        <v>0</v>
      </c>
      <c r="O458" s="25">
        <v>0</v>
      </c>
      <c r="P458" s="24">
        <v>0</v>
      </c>
      <c r="Q458" s="25">
        <v>1.30585817</v>
      </c>
      <c r="R458" s="25" t="s">
        <v>50</v>
      </c>
      <c r="S458" s="24">
        <f t="shared" si="44"/>
        <v>0.84636357999999978</v>
      </c>
      <c r="T458" s="24">
        <f t="shared" si="45"/>
        <v>-0.84636357999999978</v>
      </c>
      <c r="U458" s="26">
        <f t="shared" si="46"/>
        <v>-39.325110435297837</v>
      </c>
      <c r="V458" s="59" t="s">
        <v>986</v>
      </c>
    </row>
    <row r="459" spans="1:22" ht="38.25" x14ac:dyDescent="0.25">
      <c r="A459" s="34" t="s">
        <v>39</v>
      </c>
      <c r="B459" s="29" t="s">
        <v>292</v>
      </c>
      <c r="C459" s="54" t="s">
        <v>293</v>
      </c>
      <c r="D459" s="24">
        <v>0.35732157840616963</v>
      </c>
      <c r="E459" s="24">
        <f>19947*1.2/1000000</f>
        <v>2.3936399999999997E-2</v>
      </c>
      <c r="F459" s="25" t="s">
        <v>50</v>
      </c>
      <c r="G459" s="24">
        <v>2.7799618799999997</v>
      </c>
      <c r="H459" s="24">
        <f t="shared" si="47"/>
        <v>2.7799618799999997</v>
      </c>
      <c r="I459" s="24">
        <f t="shared" si="47"/>
        <v>1.4328834699999999</v>
      </c>
      <c r="J459" s="24">
        <v>0.24657788</v>
      </c>
      <c r="K459" s="24">
        <v>0</v>
      </c>
      <c r="L459" s="24">
        <v>0</v>
      </c>
      <c r="M459" s="25">
        <v>0</v>
      </c>
      <c r="N459" s="24">
        <v>2.5333839999999999</v>
      </c>
      <c r="O459" s="25">
        <v>0</v>
      </c>
      <c r="P459" s="24">
        <v>0</v>
      </c>
      <c r="Q459" s="25">
        <v>1.4328834699999999</v>
      </c>
      <c r="R459" s="25" t="s">
        <v>50</v>
      </c>
      <c r="S459" s="24">
        <f t="shared" si="44"/>
        <v>1.3470784099999997</v>
      </c>
      <c r="T459" s="24">
        <f t="shared" si="45"/>
        <v>-1.3470784099999997</v>
      </c>
      <c r="U459" s="26">
        <f t="shared" si="46"/>
        <v>-48.456722363401617</v>
      </c>
      <c r="V459" s="59" t="s">
        <v>986</v>
      </c>
    </row>
    <row r="460" spans="1:22" ht="25.5" x14ac:dyDescent="0.25">
      <c r="A460" s="34" t="s">
        <v>39</v>
      </c>
      <c r="B460" s="29" t="s">
        <v>294</v>
      </c>
      <c r="C460" s="54" t="s">
        <v>295</v>
      </c>
      <c r="D460" s="24">
        <v>0.17817867731253542</v>
      </c>
      <c r="E460" s="24">
        <f>15096*1.2/1000000</f>
        <v>1.8115200000000001E-2</v>
      </c>
      <c r="F460" s="25" t="s">
        <v>50</v>
      </c>
      <c r="G460" s="24">
        <v>1.3862301094915255</v>
      </c>
      <c r="H460" s="24">
        <f t="shared" si="47"/>
        <v>1.3862301094915255</v>
      </c>
      <c r="I460" s="24">
        <f t="shared" si="47"/>
        <v>1.1604336499999999</v>
      </c>
      <c r="J460" s="24">
        <v>3.771294E-2</v>
      </c>
      <c r="K460" s="24">
        <v>0</v>
      </c>
      <c r="L460" s="24">
        <v>1.3485171694915254</v>
      </c>
      <c r="M460" s="25">
        <v>0</v>
      </c>
      <c r="N460" s="24">
        <v>0</v>
      </c>
      <c r="O460" s="25">
        <v>0</v>
      </c>
      <c r="P460" s="24">
        <v>0</v>
      </c>
      <c r="Q460" s="25">
        <v>1.1604336499999999</v>
      </c>
      <c r="R460" s="25" t="s">
        <v>50</v>
      </c>
      <c r="S460" s="24">
        <f t="shared" si="44"/>
        <v>0.2257964594915256</v>
      </c>
      <c r="T460" s="24">
        <f t="shared" si="45"/>
        <v>-0.2257964594915256</v>
      </c>
      <c r="U460" s="26">
        <f t="shared" si="46"/>
        <v>-16.28852655453781</v>
      </c>
      <c r="V460" s="59" t="s">
        <v>986</v>
      </c>
    </row>
    <row r="461" spans="1:22" ht="25.5" x14ac:dyDescent="0.25">
      <c r="A461" s="34" t="s">
        <v>39</v>
      </c>
      <c r="B461" s="29" t="s">
        <v>296</v>
      </c>
      <c r="C461" s="54" t="s">
        <v>297</v>
      </c>
      <c r="D461" s="24">
        <v>0.2220814549692828</v>
      </c>
      <c r="E461" s="24">
        <f>16777.46*1.2/1000000</f>
        <v>2.0132951999999999E-2</v>
      </c>
      <c r="F461" s="25" t="s">
        <v>50</v>
      </c>
      <c r="G461" s="24">
        <v>1.72779371966102</v>
      </c>
      <c r="H461" s="24">
        <f t="shared" si="47"/>
        <v>1.72779371966102</v>
      </c>
      <c r="I461" s="24">
        <f t="shared" si="47"/>
        <v>2.56693981</v>
      </c>
      <c r="J461" s="24">
        <v>3.771294E-2</v>
      </c>
      <c r="K461" s="24">
        <v>0</v>
      </c>
      <c r="L461" s="24">
        <v>0</v>
      </c>
      <c r="M461" s="25">
        <v>0</v>
      </c>
      <c r="N461" s="24">
        <v>1.69008077966102</v>
      </c>
      <c r="O461" s="25">
        <v>0</v>
      </c>
      <c r="P461" s="24">
        <v>0</v>
      </c>
      <c r="Q461" s="25">
        <v>2.56693981</v>
      </c>
      <c r="R461" s="25" t="s">
        <v>50</v>
      </c>
      <c r="S461" s="24">
        <f t="shared" si="44"/>
        <v>-0.83914609033898002</v>
      </c>
      <c r="T461" s="24">
        <f t="shared" si="45"/>
        <v>0.83914609033898002</v>
      </c>
      <c r="U461" s="26">
        <f t="shared" si="46"/>
        <v>48.567492796745114</v>
      </c>
      <c r="V461" s="59" t="s">
        <v>986</v>
      </c>
    </row>
    <row r="462" spans="1:22" ht="25.5" x14ac:dyDescent="0.25">
      <c r="A462" s="34" t="s">
        <v>39</v>
      </c>
      <c r="B462" s="29" t="s">
        <v>298</v>
      </c>
      <c r="C462" s="54" t="s">
        <v>299</v>
      </c>
      <c r="D462" s="24">
        <v>0.17163212160690164</v>
      </c>
      <c r="E462" s="24">
        <f>14822*1.2/1000000</f>
        <v>1.7786399999999997E-2</v>
      </c>
      <c r="F462" s="25" t="s">
        <v>50</v>
      </c>
      <c r="G462" s="24">
        <v>1.335297906101695</v>
      </c>
      <c r="H462" s="24">
        <f t="shared" si="47"/>
        <v>1.335297906101695</v>
      </c>
      <c r="I462" s="24">
        <f t="shared" si="47"/>
        <v>0.72327929999999996</v>
      </c>
      <c r="J462" s="24">
        <v>3.771294E-2</v>
      </c>
      <c r="K462" s="24">
        <v>0</v>
      </c>
      <c r="L462" s="24">
        <v>0</v>
      </c>
      <c r="M462" s="25">
        <v>0</v>
      </c>
      <c r="N462" s="24">
        <v>1.2975849661016949</v>
      </c>
      <c r="O462" s="25">
        <v>0</v>
      </c>
      <c r="P462" s="24">
        <v>0</v>
      </c>
      <c r="Q462" s="25">
        <v>0.72327929999999996</v>
      </c>
      <c r="R462" s="25" t="s">
        <v>50</v>
      </c>
      <c r="S462" s="24">
        <f t="shared" si="44"/>
        <v>0.61201860610169501</v>
      </c>
      <c r="T462" s="24">
        <f t="shared" si="45"/>
        <v>-0.61201860610169501</v>
      </c>
      <c r="U462" s="26">
        <f t="shared" si="46"/>
        <v>-45.833862489041024</v>
      </c>
      <c r="V462" s="59" t="s">
        <v>986</v>
      </c>
    </row>
    <row r="463" spans="1:22" x14ac:dyDescent="0.25">
      <c r="A463" s="34" t="s">
        <v>39</v>
      </c>
      <c r="B463" s="29" t="s">
        <v>300</v>
      </c>
      <c r="C463" s="54" t="s">
        <v>301</v>
      </c>
      <c r="D463" s="24">
        <v>0.40895994087403598</v>
      </c>
      <c r="E463" s="24">
        <f>15223*1.2/1000000</f>
        <v>1.8267599999999998E-2</v>
      </c>
      <c r="F463" s="25" t="s">
        <v>50</v>
      </c>
      <c r="G463" s="24">
        <v>3.1817083400000001</v>
      </c>
      <c r="H463" s="24">
        <f t="shared" si="47"/>
        <v>3.1817083400000001</v>
      </c>
      <c r="I463" s="24">
        <f t="shared" si="47"/>
        <v>3.0315828700000003</v>
      </c>
      <c r="J463" s="24">
        <v>0.12022588000000001</v>
      </c>
      <c r="K463" s="24">
        <v>0</v>
      </c>
      <c r="L463" s="24">
        <v>0</v>
      </c>
      <c r="M463" s="25">
        <v>0</v>
      </c>
      <c r="N463" s="24">
        <v>3.0614824600000001</v>
      </c>
      <c r="O463" s="25">
        <v>0</v>
      </c>
      <c r="P463" s="24">
        <v>0</v>
      </c>
      <c r="Q463" s="25">
        <v>3.0315828700000003</v>
      </c>
      <c r="R463" s="25" t="s">
        <v>50</v>
      </c>
      <c r="S463" s="24">
        <f t="shared" si="44"/>
        <v>0.15012546999999987</v>
      </c>
      <c r="T463" s="24">
        <f t="shared" si="45"/>
        <v>-0.15012546999999987</v>
      </c>
      <c r="U463" s="26">
        <f t="shared" si="46"/>
        <v>-4.7183919441214357</v>
      </c>
      <c r="V463" s="44" t="s">
        <v>50</v>
      </c>
    </row>
    <row r="464" spans="1:22" ht="38.25" x14ac:dyDescent="0.25">
      <c r="A464" s="34" t="s">
        <v>39</v>
      </c>
      <c r="B464" s="29" t="s">
        <v>302</v>
      </c>
      <c r="C464" s="54" t="s">
        <v>303</v>
      </c>
      <c r="D464" s="24">
        <v>9.5635580366868547E-2</v>
      </c>
      <c r="E464" s="24">
        <v>0</v>
      </c>
      <c r="F464" s="25" t="s">
        <v>50</v>
      </c>
      <c r="G464" s="24">
        <v>0.74404481525423749</v>
      </c>
      <c r="H464" s="24">
        <f t="shared" si="47"/>
        <v>0.74404481525423749</v>
      </c>
      <c r="I464" s="24">
        <f t="shared" si="47"/>
        <v>0.82963818999999994</v>
      </c>
      <c r="J464" s="24">
        <v>3.5712900000000006E-2</v>
      </c>
      <c r="K464" s="24">
        <v>0</v>
      </c>
      <c r="L464" s="24">
        <v>0</v>
      </c>
      <c r="M464" s="25">
        <v>0.18891775000000002</v>
      </c>
      <c r="N464" s="24">
        <v>0.70833191525423744</v>
      </c>
      <c r="O464" s="25">
        <v>0</v>
      </c>
      <c r="P464" s="24">
        <v>0</v>
      </c>
      <c r="Q464" s="25">
        <v>0.64072043999999995</v>
      </c>
      <c r="R464" s="25" t="s">
        <v>50</v>
      </c>
      <c r="S464" s="24">
        <f t="shared" si="44"/>
        <v>-8.5593374745762452E-2</v>
      </c>
      <c r="T464" s="24">
        <f t="shared" si="45"/>
        <v>8.5593374745762452E-2</v>
      </c>
      <c r="U464" s="26">
        <f t="shared" si="46"/>
        <v>11.503792915553817</v>
      </c>
      <c r="V464" s="44" t="s">
        <v>50</v>
      </c>
    </row>
    <row r="465" spans="1:22" ht="25.5" x14ac:dyDescent="0.25">
      <c r="A465" s="34" t="s">
        <v>39</v>
      </c>
      <c r="B465" s="29" t="s">
        <v>304</v>
      </c>
      <c r="C465" s="54" t="s">
        <v>305</v>
      </c>
      <c r="D465" s="24">
        <v>9.5635580366868547E-2</v>
      </c>
      <c r="E465" s="24">
        <f>15223*1.2/1000000</f>
        <v>1.8267599999999998E-2</v>
      </c>
      <c r="F465" s="25" t="s">
        <v>50</v>
      </c>
      <c r="G465" s="24">
        <v>0.74404481525423749</v>
      </c>
      <c r="H465" s="24">
        <f t="shared" si="47"/>
        <v>0.74404481525423749</v>
      </c>
      <c r="I465" s="24">
        <f t="shared" si="47"/>
        <v>0.58702223000000009</v>
      </c>
      <c r="J465" s="24">
        <v>3.5712900000000006E-2</v>
      </c>
      <c r="K465" s="24">
        <v>0</v>
      </c>
      <c r="L465" s="24">
        <v>0</v>
      </c>
      <c r="M465" s="25">
        <v>0</v>
      </c>
      <c r="N465" s="24">
        <v>0.70833191525423744</v>
      </c>
      <c r="O465" s="25">
        <v>0.58702223000000009</v>
      </c>
      <c r="P465" s="24">
        <v>0</v>
      </c>
      <c r="Q465" s="25">
        <v>0</v>
      </c>
      <c r="R465" s="25" t="s">
        <v>50</v>
      </c>
      <c r="S465" s="24">
        <f t="shared" ref="S465:S507" si="49">G465-I465</f>
        <v>0.1570225852542374</v>
      </c>
      <c r="T465" s="24">
        <f t="shared" ref="T465:T507" si="50">(K465+M465+O465+Q465)-(J465+L465+N465+P465)</f>
        <v>-0.1570225852542374</v>
      </c>
      <c r="U465" s="26">
        <f t="shared" ref="U465:U505" si="51">(K465+M465+O465+Q465)/(J465+L465+N465+P465)*100-100</f>
        <v>-21.103914984016569</v>
      </c>
      <c r="V465" s="59" t="s">
        <v>986</v>
      </c>
    </row>
    <row r="466" spans="1:22" ht="25.5" x14ac:dyDescent="0.25">
      <c r="A466" s="34" t="s">
        <v>39</v>
      </c>
      <c r="B466" s="29" t="s">
        <v>306</v>
      </c>
      <c r="C466" s="54" t="s">
        <v>307</v>
      </c>
      <c r="D466" s="24">
        <v>9.5635580366868547E-2</v>
      </c>
      <c r="E466" s="24">
        <f>15055*1.2/1000000</f>
        <v>1.8065999999999999E-2</v>
      </c>
      <c r="F466" s="25" t="s">
        <v>50</v>
      </c>
      <c r="G466" s="24">
        <v>0.74404481525423749</v>
      </c>
      <c r="H466" s="24">
        <f t="shared" si="47"/>
        <v>0.74404481525423749</v>
      </c>
      <c r="I466" s="24">
        <f t="shared" si="47"/>
        <v>0.93499367</v>
      </c>
      <c r="J466" s="24">
        <v>3.5712900000000006E-2</v>
      </c>
      <c r="K466" s="24">
        <v>0</v>
      </c>
      <c r="L466" s="24">
        <v>0</v>
      </c>
      <c r="M466" s="25">
        <v>0</v>
      </c>
      <c r="N466" s="24">
        <v>0.70833191525423744</v>
      </c>
      <c r="O466" s="25">
        <v>0.93499367</v>
      </c>
      <c r="P466" s="24">
        <v>0</v>
      </c>
      <c r="Q466" s="25">
        <v>0</v>
      </c>
      <c r="R466" s="25" t="s">
        <v>50</v>
      </c>
      <c r="S466" s="24">
        <f t="shared" si="49"/>
        <v>-0.19094885474576251</v>
      </c>
      <c r="T466" s="24">
        <f t="shared" si="50"/>
        <v>0.19094885474576251</v>
      </c>
      <c r="U466" s="26">
        <f t="shared" si="51"/>
        <v>25.663622786016731</v>
      </c>
      <c r="V466" s="59" t="s">
        <v>990</v>
      </c>
    </row>
    <row r="467" spans="1:22" ht="25.5" x14ac:dyDescent="0.25">
      <c r="A467" s="34" t="s">
        <v>39</v>
      </c>
      <c r="B467" s="29" t="s">
        <v>308</v>
      </c>
      <c r="C467" s="54" t="s">
        <v>309</v>
      </c>
      <c r="D467" s="24">
        <v>0.11875537253278726</v>
      </c>
      <c r="E467" s="24">
        <f>15202*1.2/1000000</f>
        <v>1.8242399999999999E-2</v>
      </c>
      <c r="F467" s="25" t="s">
        <v>50</v>
      </c>
      <c r="G467" s="24">
        <v>0.92391679830508489</v>
      </c>
      <c r="H467" s="24">
        <f t="shared" si="47"/>
        <v>0.92391679830508489</v>
      </c>
      <c r="I467" s="24">
        <f t="shared" si="47"/>
        <v>0.71852953000000008</v>
      </c>
      <c r="J467" s="24">
        <v>3.5712900000000006E-2</v>
      </c>
      <c r="K467" s="24">
        <v>0</v>
      </c>
      <c r="L467" s="24">
        <v>0</v>
      </c>
      <c r="M467" s="25">
        <v>0</v>
      </c>
      <c r="N467" s="24">
        <v>0.88820389830508484</v>
      </c>
      <c r="O467" s="25">
        <v>0.71852953000000008</v>
      </c>
      <c r="P467" s="24">
        <v>0</v>
      </c>
      <c r="Q467" s="25">
        <v>0</v>
      </c>
      <c r="R467" s="25" t="s">
        <v>50</v>
      </c>
      <c r="S467" s="24">
        <f t="shared" si="49"/>
        <v>0.2053872683050848</v>
      </c>
      <c r="T467" s="24">
        <f t="shared" si="50"/>
        <v>-0.2053872683050848</v>
      </c>
      <c r="U467" s="26">
        <f t="shared" si="51"/>
        <v>-22.230061048988986</v>
      </c>
      <c r="V467" s="59" t="s">
        <v>722</v>
      </c>
    </row>
    <row r="468" spans="1:22" ht="33" customHeight="1" x14ac:dyDescent="0.25">
      <c r="A468" s="34" t="s">
        <v>39</v>
      </c>
      <c r="B468" s="29" t="s">
        <v>310</v>
      </c>
      <c r="C468" s="54" t="s">
        <v>311</v>
      </c>
      <c r="D468" s="24">
        <v>0.54582070179948583</v>
      </c>
      <c r="E468" s="24">
        <f>17915*1.2/1000000</f>
        <v>2.1498E-2</v>
      </c>
      <c r="F468" s="25" t="s">
        <v>50</v>
      </c>
      <c r="G468" s="24">
        <v>0</v>
      </c>
      <c r="H468" s="24">
        <f t="shared" si="47"/>
        <v>0</v>
      </c>
      <c r="I468" s="24">
        <f t="shared" si="47"/>
        <v>0</v>
      </c>
      <c r="J468" s="24">
        <v>0</v>
      </c>
      <c r="K468" s="24">
        <v>0</v>
      </c>
      <c r="L468" s="24">
        <v>0</v>
      </c>
      <c r="M468" s="25">
        <v>0</v>
      </c>
      <c r="N468" s="24">
        <v>0</v>
      </c>
      <c r="O468" s="25">
        <v>0</v>
      </c>
      <c r="P468" s="24">
        <v>0</v>
      </c>
      <c r="Q468" s="25">
        <v>0</v>
      </c>
      <c r="R468" s="25" t="s">
        <v>50</v>
      </c>
      <c r="S468" s="24">
        <f t="shared" si="49"/>
        <v>0</v>
      </c>
      <c r="T468" s="24">
        <f t="shared" si="50"/>
        <v>0</v>
      </c>
      <c r="U468" s="26">
        <v>0</v>
      </c>
      <c r="V468" s="59" t="s">
        <v>50</v>
      </c>
    </row>
    <row r="469" spans="1:22" ht="31.5" customHeight="1" x14ac:dyDescent="0.25">
      <c r="A469" s="34" t="s">
        <v>39</v>
      </c>
      <c r="B469" s="29" t="s">
        <v>312</v>
      </c>
      <c r="C469" s="54" t="s">
        <v>313</v>
      </c>
      <c r="D469" s="24">
        <v>0.15391656890767288</v>
      </c>
      <c r="E469" s="24">
        <f>15055*1.2/1000000</f>
        <v>1.8065999999999999E-2</v>
      </c>
      <c r="F469" s="25" t="s">
        <v>50</v>
      </c>
      <c r="G469" s="24">
        <v>1.197470906101695</v>
      </c>
      <c r="H469" s="24">
        <f t="shared" si="47"/>
        <v>1.197470906101695</v>
      </c>
      <c r="I469" s="24">
        <f t="shared" si="47"/>
        <v>0.74348924999999999</v>
      </c>
      <c r="J469" s="24">
        <v>3.771294E-2</v>
      </c>
      <c r="K469" s="24">
        <v>0</v>
      </c>
      <c r="L469" s="24">
        <v>0</v>
      </c>
      <c r="M469" s="25">
        <v>0</v>
      </c>
      <c r="N469" s="24">
        <v>1.159757966101695</v>
      </c>
      <c r="O469" s="25">
        <v>0</v>
      </c>
      <c r="P469" s="24">
        <v>0</v>
      </c>
      <c r="Q469" s="25">
        <v>0.74348924999999999</v>
      </c>
      <c r="R469" s="25" t="s">
        <v>50</v>
      </c>
      <c r="S469" s="24">
        <f t="shared" si="49"/>
        <v>0.45398165610169505</v>
      </c>
      <c r="T469" s="24">
        <f t="shared" si="50"/>
        <v>-0.45398165610169505</v>
      </c>
      <c r="U469" s="26">
        <f t="shared" si="51"/>
        <v>-37.911706563260815</v>
      </c>
      <c r="V469" s="59" t="s">
        <v>722</v>
      </c>
    </row>
    <row r="470" spans="1:22" ht="25.5" x14ac:dyDescent="0.25">
      <c r="A470" s="34" t="s">
        <v>39</v>
      </c>
      <c r="B470" s="29" t="s">
        <v>314</v>
      </c>
      <c r="C470" s="54" t="s">
        <v>291</v>
      </c>
      <c r="D470" s="24">
        <v>0.14218569794344474</v>
      </c>
      <c r="E470" s="24">
        <f>30030.46*1.2/1000000</f>
        <v>3.6036551999999999E-2</v>
      </c>
      <c r="F470" s="25" t="s">
        <v>50</v>
      </c>
      <c r="G470" s="24">
        <v>1.10620473</v>
      </c>
      <c r="H470" s="24">
        <f t="shared" si="47"/>
        <v>1.10620473</v>
      </c>
      <c r="I470" s="24">
        <f t="shared" si="47"/>
        <v>0.56568319</v>
      </c>
      <c r="J470" s="24">
        <v>0.11832773000000001</v>
      </c>
      <c r="K470" s="24">
        <v>0</v>
      </c>
      <c r="L470" s="24">
        <v>0.98787700000000001</v>
      </c>
      <c r="M470" s="25">
        <v>0.56568319</v>
      </c>
      <c r="N470" s="24">
        <v>0</v>
      </c>
      <c r="O470" s="25">
        <v>0</v>
      </c>
      <c r="P470" s="24">
        <v>0</v>
      </c>
      <c r="Q470" s="25">
        <v>0</v>
      </c>
      <c r="R470" s="25" t="s">
        <v>50</v>
      </c>
      <c r="S470" s="24">
        <f t="shared" si="49"/>
        <v>0.54052153999999997</v>
      </c>
      <c r="T470" s="24">
        <f t="shared" si="50"/>
        <v>-0.54052153999999997</v>
      </c>
      <c r="U470" s="26">
        <f t="shared" si="51"/>
        <v>-48.862703742009849</v>
      </c>
      <c r="V470" s="59" t="s">
        <v>986</v>
      </c>
    </row>
    <row r="471" spans="1:22" ht="27" customHeight="1" x14ac:dyDescent="0.25">
      <c r="A471" s="34" t="s">
        <v>39</v>
      </c>
      <c r="B471" s="29" t="s">
        <v>315</v>
      </c>
      <c r="C471" s="54" t="s">
        <v>293</v>
      </c>
      <c r="D471" s="24">
        <v>0.5566984049042577</v>
      </c>
      <c r="E471" s="24">
        <v>0</v>
      </c>
      <c r="F471" s="25" t="s">
        <v>50</v>
      </c>
      <c r="G471" s="24">
        <v>3.7577142331037425</v>
      </c>
      <c r="H471" s="24">
        <f t="shared" si="47"/>
        <v>3.7577142331037425</v>
      </c>
      <c r="I471" s="24">
        <f t="shared" si="47"/>
        <v>0</v>
      </c>
      <c r="J471" s="24">
        <v>0.31883804999999998</v>
      </c>
      <c r="K471" s="24">
        <v>0</v>
      </c>
      <c r="L471" s="24">
        <v>0</v>
      </c>
      <c r="M471" s="25">
        <v>0</v>
      </c>
      <c r="N471" s="24">
        <v>0</v>
      </c>
      <c r="O471" s="25">
        <v>0</v>
      </c>
      <c r="P471" s="24">
        <v>3.4388761831037424</v>
      </c>
      <c r="Q471" s="25">
        <v>0</v>
      </c>
      <c r="R471" s="25" t="s">
        <v>50</v>
      </c>
      <c r="S471" s="24">
        <f t="shared" si="49"/>
        <v>3.7577142331037425</v>
      </c>
      <c r="T471" s="24">
        <f t="shared" si="50"/>
        <v>-3.7577142331037425</v>
      </c>
      <c r="U471" s="26">
        <f t="shared" si="51"/>
        <v>-100</v>
      </c>
      <c r="V471" s="59" t="s">
        <v>50</v>
      </c>
    </row>
    <row r="472" spans="1:22" ht="26.25" x14ac:dyDescent="0.25">
      <c r="A472" s="34" t="s">
        <v>39</v>
      </c>
      <c r="B472" s="35" t="s">
        <v>405</v>
      </c>
      <c r="C472" s="54" t="s">
        <v>944</v>
      </c>
      <c r="D472" s="24">
        <v>0</v>
      </c>
      <c r="E472" s="24">
        <v>0</v>
      </c>
      <c r="F472" s="25" t="s">
        <v>50</v>
      </c>
      <c r="G472" s="24">
        <v>0</v>
      </c>
      <c r="H472" s="24">
        <f t="shared" si="47"/>
        <v>0</v>
      </c>
      <c r="I472" s="24">
        <f t="shared" si="47"/>
        <v>3.5539050000000003E-2</v>
      </c>
      <c r="J472" s="24">
        <v>0</v>
      </c>
      <c r="K472" s="24">
        <f>35.53905/1000</f>
        <v>3.5539050000000003E-2</v>
      </c>
      <c r="L472" s="24">
        <v>0</v>
      </c>
      <c r="M472" s="25">
        <v>0</v>
      </c>
      <c r="N472" s="24">
        <v>0</v>
      </c>
      <c r="O472" s="25">
        <v>0</v>
      </c>
      <c r="P472" s="24">
        <v>0</v>
      </c>
      <c r="Q472" s="25">
        <v>0</v>
      </c>
      <c r="R472" s="25" t="s">
        <v>50</v>
      </c>
      <c r="S472" s="24">
        <f t="shared" si="49"/>
        <v>-3.5539050000000003E-2</v>
      </c>
      <c r="T472" s="24">
        <f t="shared" si="50"/>
        <v>3.5539050000000003E-2</v>
      </c>
      <c r="U472" s="26">
        <v>100</v>
      </c>
      <c r="V472" s="60" t="s">
        <v>718</v>
      </c>
    </row>
    <row r="473" spans="1:22" ht="31.5" customHeight="1" x14ac:dyDescent="0.25">
      <c r="A473" s="34" t="s">
        <v>39</v>
      </c>
      <c r="B473" s="35" t="s">
        <v>406</v>
      </c>
      <c r="C473" s="54" t="s">
        <v>945</v>
      </c>
      <c r="D473" s="24">
        <v>0</v>
      </c>
      <c r="E473" s="24">
        <v>0</v>
      </c>
      <c r="F473" s="25" t="s">
        <v>50</v>
      </c>
      <c r="G473" s="24">
        <v>0</v>
      </c>
      <c r="H473" s="24">
        <f t="shared" si="47"/>
        <v>0</v>
      </c>
      <c r="I473" s="24">
        <f t="shared" si="47"/>
        <v>0.13187735</v>
      </c>
      <c r="J473" s="24">
        <v>0</v>
      </c>
      <c r="K473" s="24">
        <f>131.87735/1000</f>
        <v>0.13187735</v>
      </c>
      <c r="L473" s="24">
        <v>0</v>
      </c>
      <c r="M473" s="25">
        <v>0</v>
      </c>
      <c r="N473" s="24">
        <v>0</v>
      </c>
      <c r="O473" s="25">
        <v>0</v>
      </c>
      <c r="P473" s="24">
        <v>0</v>
      </c>
      <c r="Q473" s="25">
        <v>0</v>
      </c>
      <c r="R473" s="25" t="s">
        <v>50</v>
      </c>
      <c r="S473" s="24">
        <f t="shared" si="49"/>
        <v>-0.13187735</v>
      </c>
      <c r="T473" s="24">
        <f t="shared" si="50"/>
        <v>0.13187735</v>
      </c>
      <c r="U473" s="26">
        <v>100</v>
      </c>
      <c r="V473" s="67" t="s">
        <v>993</v>
      </c>
    </row>
    <row r="474" spans="1:22" ht="26.25" x14ac:dyDescent="0.25">
      <c r="A474" s="34" t="s">
        <v>39</v>
      </c>
      <c r="B474" s="35" t="s">
        <v>407</v>
      </c>
      <c r="C474" s="54" t="s">
        <v>946</v>
      </c>
      <c r="D474" s="24">
        <v>0</v>
      </c>
      <c r="E474" s="24">
        <v>0</v>
      </c>
      <c r="F474" s="25" t="s">
        <v>50</v>
      </c>
      <c r="G474" s="24">
        <v>0</v>
      </c>
      <c r="H474" s="24">
        <f t="shared" si="47"/>
        <v>0</v>
      </c>
      <c r="I474" s="24">
        <f t="shared" si="47"/>
        <v>0.76645801999999996</v>
      </c>
      <c r="J474" s="24">
        <v>0</v>
      </c>
      <c r="K474" s="24">
        <f>697.08127/1000</f>
        <v>0.69708126999999998</v>
      </c>
      <c r="L474" s="24">
        <v>0</v>
      </c>
      <c r="M474" s="25">
        <v>6.9376750000000001E-2</v>
      </c>
      <c r="N474" s="24">
        <v>0</v>
      </c>
      <c r="O474" s="25">
        <v>0</v>
      </c>
      <c r="P474" s="24">
        <v>0</v>
      </c>
      <c r="Q474" s="25">
        <v>0</v>
      </c>
      <c r="R474" s="25" t="s">
        <v>50</v>
      </c>
      <c r="S474" s="24">
        <f t="shared" si="49"/>
        <v>-0.76645801999999996</v>
      </c>
      <c r="T474" s="24">
        <f t="shared" si="50"/>
        <v>0.76645801999999996</v>
      </c>
      <c r="U474" s="26">
        <v>100</v>
      </c>
      <c r="V474" s="68"/>
    </row>
    <row r="475" spans="1:22" x14ac:dyDescent="0.25">
      <c r="A475" s="34" t="s">
        <v>39</v>
      </c>
      <c r="B475" s="35" t="s">
        <v>954</v>
      </c>
      <c r="C475" s="54" t="s">
        <v>947</v>
      </c>
      <c r="D475" s="24">
        <v>0</v>
      </c>
      <c r="E475" s="24">
        <v>0</v>
      </c>
      <c r="F475" s="25" t="s">
        <v>50</v>
      </c>
      <c r="G475" s="24">
        <v>0</v>
      </c>
      <c r="H475" s="24">
        <v>0</v>
      </c>
      <c r="I475" s="24">
        <f t="shared" si="47"/>
        <v>0</v>
      </c>
      <c r="J475" s="24">
        <v>0</v>
      </c>
      <c r="K475" s="24">
        <v>0</v>
      </c>
      <c r="L475" s="24">
        <v>0</v>
      </c>
      <c r="M475" s="25">
        <v>0</v>
      </c>
      <c r="N475" s="24">
        <v>0</v>
      </c>
      <c r="O475" s="25">
        <v>0</v>
      </c>
      <c r="P475" s="24">
        <v>0</v>
      </c>
      <c r="Q475" s="25">
        <v>0</v>
      </c>
      <c r="R475" s="25" t="s">
        <v>50</v>
      </c>
      <c r="S475" s="24">
        <f t="shared" si="49"/>
        <v>0</v>
      </c>
      <c r="T475" s="24">
        <f t="shared" si="50"/>
        <v>0</v>
      </c>
      <c r="U475" s="26">
        <v>0</v>
      </c>
      <c r="V475" s="68"/>
    </row>
    <row r="476" spans="1:22" x14ac:dyDescent="0.25">
      <c r="A476" s="34" t="s">
        <v>39</v>
      </c>
      <c r="B476" s="35" t="s">
        <v>779</v>
      </c>
      <c r="C476" s="54" t="s">
        <v>948</v>
      </c>
      <c r="D476" s="24">
        <v>0</v>
      </c>
      <c r="E476" s="24">
        <v>0</v>
      </c>
      <c r="F476" s="25" t="s">
        <v>50</v>
      </c>
      <c r="G476" s="24">
        <v>0</v>
      </c>
      <c r="H476" s="24">
        <v>0</v>
      </c>
      <c r="I476" s="24">
        <f t="shared" si="47"/>
        <v>0</v>
      </c>
      <c r="J476" s="24">
        <v>0</v>
      </c>
      <c r="K476" s="24">
        <v>0</v>
      </c>
      <c r="L476" s="24">
        <v>0</v>
      </c>
      <c r="M476" s="25">
        <v>0</v>
      </c>
      <c r="N476" s="24">
        <v>0</v>
      </c>
      <c r="O476" s="25">
        <v>0</v>
      </c>
      <c r="P476" s="24">
        <v>0</v>
      </c>
      <c r="Q476" s="25">
        <v>0</v>
      </c>
      <c r="R476" s="25" t="s">
        <v>50</v>
      </c>
      <c r="S476" s="24">
        <f t="shared" si="49"/>
        <v>0</v>
      </c>
      <c r="T476" s="24">
        <f t="shared" si="50"/>
        <v>0</v>
      </c>
      <c r="U476" s="26">
        <v>0</v>
      </c>
      <c r="V476" s="68"/>
    </row>
    <row r="477" spans="1:22" x14ac:dyDescent="0.25">
      <c r="A477" s="34" t="s">
        <v>39</v>
      </c>
      <c r="B477" s="35" t="s">
        <v>780</v>
      </c>
      <c r="C477" s="54" t="s">
        <v>949</v>
      </c>
      <c r="D477" s="24">
        <v>0</v>
      </c>
      <c r="E477" s="24">
        <v>0</v>
      </c>
      <c r="F477" s="25" t="s">
        <v>50</v>
      </c>
      <c r="G477" s="24">
        <v>0</v>
      </c>
      <c r="H477" s="24">
        <v>0</v>
      </c>
      <c r="I477" s="24">
        <f t="shared" si="47"/>
        <v>0</v>
      </c>
      <c r="J477" s="24">
        <v>0</v>
      </c>
      <c r="K477" s="24">
        <v>0</v>
      </c>
      <c r="L477" s="24">
        <v>0</v>
      </c>
      <c r="M477" s="25">
        <v>0</v>
      </c>
      <c r="N477" s="24">
        <v>0</v>
      </c>
      <c r="O477" s="25">
        <v>0</v>
      </c>
      <c r="P477" s="24">
        <v>0</v>
      </c>
      <c r="Q477" s="25">
        <v>0</v>
      </c>
      <c r="R477" s="25" t="s">
        <v>50</v>
      </c>
      <c r="S477" s="24">
        <f t="shared" si="49"/>
        <v>0</v>
      </c>
      <c r="T477" s="24">
        <f t="shared" si="50"/>
        <v>0</v>
      </c>
      <c r="U477" s="26">
        <v>0</v>
      </c>
      <c r="V477" s="68"/>
    </row>
    <row r="478" spans="1:22" x14ac:dyDescent="0.25">
      <c r="A478" s="34" t="s">
        <v>39</v>
      </c>
      <c r="B478" s="35" t="s">
        <v>781</v>
      </c>
      <c r="C478" s="54" t="s">
        <v>950</v>
      </c>
      <c r="D478" s="24">
        <v>0</v>
      </c>
      <c r="E478" s="24">
        <v>0</v>
      </c>
      <c r="F478" s="25" t="s">
        <v>50</v>
      </c>
      <c r="G478" s="24">
        <v>0</v>
      </c>
      <c r="H478" s="24">
        <v>0</v>
      </c>
      <c r="I478" s="24">
        <f t="shared" si="47"/>
        <v>0</v>
      </c>
      <c r="J478" s="24">
        <v>0</v>
      </c>
      <c r="K478" s="24">
        <v>0</v>
      </c>
      <c r="L478" s="24">
        <v>0</v>
      </c>
      <c r="M478" s="25">
        <v>0</v>
      </c>
      <c r="N478" s="24">
        <v>0</v>
      </c>
      <c r="O478" s="25">
        <v>0</v>
      </c>
      <c r="P478" s="24">
        <v>0</v>
      </c>
      <c r="Q478" s="25">
        <v>0</v>
      </c>
      <c r="R478" s="25" t="s">
        <v>50</v>
      </c>
      <c r="S478" s="24">
        <f t="shared" si="49"/>
        <v>0</v>
      </c>
      <c r="T478" s="24">
        <f t="shared" si="50"/>
        <v>0</v>
      </c>
      <c r="U478" s="26">
        <v>0</v>
      </c>
      <c r="V478" s="68"/>
    </row>
    <row r="479" spans="1:22" ht="33" customHeight="1" x14ac:dyDescent="0.25">
      <c r="A479" s="34" t="s">
        <v>39</v>
      </c>
      <c r="B479" s="35" t="s">
        <v>696</v>
      </c>
      <c r="C479" s="54" t="s">
        <v>951</v>
      </c>
      <c r="D479" s="24">
        <v>0</v>
      </c>
      <c r="E479" s="24">
        <v>0</v>
      </c>
      <c r="F479" s="25" t="s">
        <v>50</v>
      </c>
      <c r="G479" s="24">
        <v>0</v>
      </c>
      <c r="H479" s="24">
        <f t="shared" si="47"/>
        <v>0</v>
      </c>
      <c r="I479" s="24">
        <f t="shared" si="47"/>
        <v>0.11855507</v>
      </c>
      <c r="J479" s="24">
        <v>0</v>
      </c>
      <c r="K479" s="24">
        <v>0</v>
      </c>
      <c r="L479" s="24">
        <v>0</v>
      </c>
      <c r="M479" s="25">
        <v>0</v>
      </c>
      <c r="N479" s="24">
        <v>0</v>
      </c>
      <c r="O479" s="25">
        <v>0.11855507</v>
      </c>
      <c r="P479" s="24">
        <v>0</v>
      </c>
      <c r="Q479" s="25">
        <v>0</v>
      </c>
      <c r="R479" s="25" t="s">
        <v>50</v>
      </c>
      <c r="S479" s="24">
        <f t="shared" si="49"/>
        <v>-0.11855507</v>
      </c>
      <c r="T479" s="24">
        <f t="shared" si="50"/>
        <v>0.11855507</v>
      </c>
      <c r="U479" s="26">
        <v>100</v>
      </c>
      <c r="V479" s="68"/>
    </row>
    <row r="480" spans="1:22" ht="33" customHeight="1" x14ac:dyDescent="0.25">
      <c r="A480" s="34" t="s">
        <v>39</v>
      </c>
      <c r="B480" s="35" t="s">
        <v>697</v>
      </c>
      <c r="C480" s="54" t="s">
        <v>952</v>
      </c>
      <c r="D480" s="24">
        <v>0</v>
      </c>
      <c r="E480" s="24">
        <v>0</v>
      </c>
      <c r="F480" s="25" t="s">
        <v>50</v>
      </c>
      <c r="G480" s="24">
        <v>0</v>
      </c>
      <c r="H480" s="24">
        <f t="shared" si="47"/>
        <v>0</v>
      </c>
      <c r="I480" s="24">
        <f t="shared" si="47"/>
        <v>2.965953E-2</v>
      </c>
      <c r="J480" s="24">
        <v>0</v>
      </c>
      <c r="K480" s="24">
        <v>0</v>
      </c>
      <c r="L480" s="24">
        <v>0</v>
      </c>
      <c r="M480" s="25">
        <v>0</v>
      </c>
      <c r="N480" s="24">
        <v>0</v>
      </c>
      <c r="O480" s="25">
        <v>2.965953E-2</v>
      </c>
      <c r="P480" s="24">
        <v>0</v>
      </c>
      <c r="Q480" s="25">
        <v>0</v>
      </c>
      <c r="R480" s="25" t="s">
        <v>50</v>
      </c>
      <c r="S480" s="24">
        <f t="shared" si="49"/>
        <v>-2.965953E-2</v>
      </c>
      <c r="T480" s="24">
        <f t="shared" si="50"/>
        <v>2.965953E-2</v>
      </c>
      <c r="U480" s="26">
        <v>100</v>
      </c>
      <c r="V480" s="68"/>
    </row>
    <row r="481" spans="1:22" ht="33" customHeight="1" x14ac:dyDescent="0.25">
      <c r="A481" s="34" t="s">
        <v>39</v>
      </c>
      <c r="B481" s="35" t="s">
        <v>606</v>
      </c>
      <c r="C481" s="54" t="s">
        <v>953</v>
      </c>
      <c r="D481" s="24">
        <v>0</v>
      </c>
      <c r="E481" s="24">
        <v>0</v>
      </c>
      <c r="F481" s="25" t="s">
        <v>50</v>
      </c>
      <c r="G481" s="24">
        <v>0</v>
      </c>
      <c r="H481" s="24">
        <f t="shared" si="47"/>
        <v>0</v>
      </c>
      <c r="I481" s="24">
        <f t="shared" si="47"/>
        <v>4.418569E-2</v>
      </c>
      <c r="J481" s="24">
        <v>0</v>
      </c>
      <c r="K481" s="24">
        <v>0</v>
      </c>
      <c r="L481" s="24">
        <v>0</v>
      </c>
      <c r="M481" s="25">
        <v>4.418569E-2</v>
      </c>
      <c r="N481" s="24">
        <v>0</v>
      </c>
      <c r="O481" s="25">
        <v>0</v>
      </c>
      <c r="P481" s="24">
        <v>0</v>
      </c>
      <c r="Q481" s="25">
        <v>0</v>
      </c>
      <c r="R481" s="25" t="s">
        <v>50</v>
      </c>
      <c r="S481" s="24">
        <f t="shared" si="49"/>
        <v>-4.418569E-2</v>
      </c>
      <c r="T481" s="24">
        <f t="shared" si="50"/>
        <v>4.418569E-2</v>
      </c>
      <c r="U481" s="26">
        <v>100</v>
      </c>
      <c r="V481" s="68"/>
    </row>
    <row r="482" spans="1:22" ht="41.25" customHeight="1" x14ac:dyDescent="0.25">
      <c r="A482" s="34" t="s">
        <v>39</v>
      </c>
      <c r="B482" s="35" t="s">
        <v>607</v>
      </c>
      <c r="C482" s="54" t="s">
        <v>955</v>
      </c>
      <c r="D482" s="24">
        <v>0</v>
      </c>
      <c r="E482" s="24">
        <v>0</v>
      </c>
      <c r="F482" s="25" t="s">
        <v>50</v>
      </c>
      <c r="G482" s="24">
        <v>0</v>
      </c>
      <c r="H482" s="24">
        <f t="shared" si="47"/>
        <v>0</v>
      </c>
      <c r="I482" s="24">
        <f t="shared" si="47"/>
        <v>0.14111050000000003</v>
      </c>
      <c r="J482" s="24">
        <v>0</v>
      </c>
      <c r="K482" s="24">
        <v>0</v>
      </c>
      <c r="L482" s="24">
        <v>0</v>
      </c>
      <c r="M482" s="25">
        <v>0.14111050000000003</v>
      </c>
      <c r="N482" s="24">
        <v>0</v>
      </c>
      <c r="O482" s="25">
        <v>0</v>
      </c>
      <c r="P482" s="24">
        <v>0</v>
      </c>
      <c r="Q482" s="25">
        <v>0</v>
      </c>
      <c r="R482" s="25" t="s">
        <v>50</v>
      </c>
      <c r="S482" s="24">
        <f t="shared" si="49"/>
        <v>-0.14111050000000003</v>
      </c>
      <c r="T482" s="24">
        <f t="shared" si="50"/>
        <v>0.14111050000000003</v>
      </c>
      <c r="U482" s="26">
        <v>100</v>
      </c>
      <c r="V482" s="68"/>
    </row>
    <row r="483" spans="1:22" ht="46.5" customHeight="1" x14ac:dyDescent="0.25">
      <c r="A483" s="28" t="s">
        <v>39</v>
      </c>
      <c r="B483" s="35" t="s">
        <v>608</v>
      </c>
      <c r="C483" s="54" t="s">
        <v>956</v>
      </c>
      <c r="D483" s="24">
        <v>0</v>
      </c>
      <c r="E483" s="24">
        <v>0</v>
      </c>
      <c r="F483" s="25" t="s">
        <v>50</v>
      </c>
      <c r="G483" s="24">
        <v>0</v>
      </c>
      <c r="H483" s="24">
        <f t="shared" si="47"/>
        <v>0</v>
      </c>
      <c r="I483" s="24">
        <f t="shared" si="47"/>
        <v>9.22761E-2</v>
      </c>
      <c r="J483" s="24">
        <v>0</v>
      </c>
      <c r="K483" s="24">
        <v>0</v>
      </c>
      <c r="L483" s="24">
        <v>0</v>
      </c>
      <c r="M483" s="25">
        <v>9.22761E-2</v>
      </c>
      <c r="N483" s="24">
        <v>0</v>
      </c>
      <c r="O483" s="25">
        <v>0</v>
      </c>
      <c r="P483" s="24">
        <v>0</v>
      </c>
      <c r="Q483" s="25">
        <v>0</v>
      </c>
      <c r="R483" s="25" t="s">
        <v>50</v>
      </c>
      <c r="S483" s="24">
        <f t="shared" si="49"/>
        <v>-9.22761E-2</v>
      </c>
      <c r="T483" s="24">
        <f t="shared" si="50"/>
        <v>9.22761E-2</v>
      </c>
      <c r="U483" s="26">
        <v>100</v>
      </c>
      <c r="V483" s="69"/>
    </row>
    <row r="484" spans="1:22" ht="26.25" x14ac:dyDescent="0.25">
      <c r="A484" s="28" t="s">
        <v>39</v>
      </c>
      <c r="B484" s="35" t="s">
        <v>609</v>
      </c>
      <c r="C484" s="54" t="s">
        <v>957</v>
      </c>
      <c r="D484" s="24">
        <v>0</v>
      </c>
      <c r="E484" s="24">
        <v>0</v>
      </c>
      <c r="F484" s="25" t="s">
        <v>50</v>
      </c>
      <c r="G484" s="24">
        <v>0</v>
      </c>
      <c r="H484" s="24">
        <f t="shared" si="47"/>
        <v>0</v>
      </c>
      <c r="I484" s="24">
        <f t="shared" si="47"/>
        <v>9.0688910000000011E-2</v>
      </c>
      <c r="J484" s="24">
        <v>0</v>
      </c>
      <c r="K484" s="24">
        <v>0</v>
      </c>
      <c r="L484" s="24">
        <v>0</v>
      </c>
      <c r="M484" s="25">
        <v>9.0688910000000011E-2</v>
      </c>
      <c r="N484" s="24">
        <v>0</v>
      </c>
      <c r="O484" s="25">
        <v>0</v>
      </c>
      <c r="P484" s="24">
        <v>0</v>
      </c>
      <c r="Q484" s="25">
        <v>0</v>
      </c>
      <c r="R484" s="25" t="s">
        <v>50</v>
      </c>
      <c r="S484" s="24">
        <f t="shared" si="49"/>
        <v>-9.0688910000000011E-2</v>
      </c>
      <c r="T484" s="24">
        <f t="shared" si="50"/>
        <v>9.0688910000000011E-2</v>
      </c>
      <c r="U484" s="26">
        <v>100</v>
      </c>
      <c r="V484" s="60" t="s">
        <v>714</v>
      </c>
    </row>
    <row r="485" spans="1:22" ht="26.25" x14ac:dyDescent="0.25">
      <c r="A485" s="28" t="s">
        <v>39</v>
      </c>
      <c r="B485" s="35" t="s">
        <v>610</v>
      </c>
      <c r="C485" s="54" t="s">
        <v>958</v>
      </c>
      <c r="D485" s="24">
        <v>0</v>
      </c>
      <c r="E485" s="24">
        <v>0</v>
      </c>
      <c r="F485" s="25" t="s">
        <v>50</v>
      </c>
      <c r="G485" s="24">
        <v>0</v>
      </c>
      <c r="H485" s="24">
        <f t="shared" si="47"/>
        <v>0</v>
      </c>
      <c r="I485" s="24">
        <f t="shared" si="47"/>
        <v>7.646907E-2</v>
      </c>
      <c r="J485" s="24">
        <v>0</v>
      </c>
      <c r="K485" s="24">
        <v>0</v>
      </c>
      <c r="L485" s="24">
        <v>0</v>
      </c>
      <c r="M485" s="25">
        <v>7.646907E-2</v>
      </c>
      <c r="N485" s="24">
        <v>0</v>
      </c>
      <c r="O485" s="25">
        <v>0</v>
      </c>
      <c r="P485" s="24">
        <v>0</v>
      </c>
      <c r="Q485" s="25">
        <v>0</v>
      </c>
      <c r="R485" s="25" t="s">
        <v>50</v>
      </c>
      <c r="S485" s="24">
        <f t="shared" si="49"/>
        <v>-7.646907E-2</v>
      </c>
      <c r="T485" s="24">
        <f t="shared" si="50"/>
        <v>7.646907E-2</v>
      </c>
      <c r="U485" s="26">
        <v>100</v>
      </c>
      <c r="V485" s="60" t="s">
        <v>719</v>
      </c>
    </row>
    <row r="486" spans="1:22" ht="26.25" x14ac:dyDescent="0.25">
      <c r="A486" s="28" t="s">
        <v>39</v>
      </c>
      <c r="B486" s="35" t="s">
        <v>611</v>
      </c>
      <c r="C486" s="54" t="s">
        <v>959</v>
      </c>
      <c r="D486" s="24">
        <v>0</v>
      </c>
      <c r="E486" s="24">
        <v>0</v>
      </c>
      <c r="F486" s="25" t="s">
        <v>50</v>
      </c>
      <c r="G486" s="24">
        <v>0</v>
      </c>
      <c r="H486" s="24">
        <f t="shared" si="47"/>
        <v>0</v>
      </c>
      <c r="I486" s="24">
        <f t="shared" si="47"/>
        <v>0.27741635999999997</v>
      </c>
      <c r="J486" s="24">
        <v>0</v>
      </c>
      <c r="K486" s="24">
        <v>0</v>
      </c>
      <c r="L486" s="24">
        <v>0</v>
      </c>
      <c r="M486" s="25">
        <v>0.27741635999999997</v>
      </c>
      <c r="N486" s="24">
        <v>0</v>
      </c>
      <c r="O486" s="25">
        <v>0</v>
      </c>
      <c r="P486" s="24">
        <v>0</v>
      </c>
      <c r="Q486" s="25">
        <v>0</v>
      </c>
      <c r="R486" s="25" t="s">
        <v>50</v>
      </c>
      <c r="S486" s="24">
        <f t="shared" si="49"/>
        <v>-0.27741635999999997</v>
      </c>
      <c r="T486" s="24">
        <f t="shared" si="50"/>
        <v>0.27741635999999997</v>
      </c>
      <c r="U486" s="26">
        <v>100</v>
      </c>
      <c r="V486" s="60" t="s">
        <v>414</v>
      </c>
    </row>
    <row r="487" spans="1:22" ht="26.25" x14ac:dyDescent="0.25">
      <c r="A487" s="28" t="s">
        <v>39</v>
      </c>
      <c r="B487" s="35" t="s">
        <v>612</v>
      </c>
      <c r="C487" s="54" t="s">
        <v>960</v>
      </c>
      <c r="D487" s="24">
        <v>0</v>
      </c>
      <c r="E487" s="24">
        <v>0</v>
      </c>
      <c r="F487" s="25" t="s">
        <v>50</v>
      </c>
      <c r="G487" s="24">
        <v>0</v>
      </c>
      <c r="H487" s="24">
        <f t="shared" si="47"/>
        <v>0</v>
      </c>
      <c r="I487" s="24">
        <f t="shared" si="47"/>
        <v>9.0891140000000009E-2</v>
      </c>
      <c r="J487" s="24">
        <v>0</v>
      </c>
      <c r="K487" s="24">
        <v>0</v>
      </c>
      <c r="L487" s="24">
        <v>0</v>
      </c>
      <c r="M487" s="25">
        <v>9.0891140000000009E-2</v>
      </c>
      <c r="N487" s="24">
        <v>0</v>
      </c>
      <c r="O487" s="25">
        <v>0</v>
      </c>
      <c r="P487" s="24">
        <v>0</v>
      </c>
      <c r="Q487" s="25">
        <v>0</v>
      </c>
      <c r="R487" s="25" t="s">
        <v>50</v>
      </c>
      <c r="S487" s="24">
        <f t="shared" si="49"/>
        <v>-9.0891140000000009E-2</v>
      </c>
      <c r="T487" s="24">
        <f t="shared" si="50"/>
        <v>9.0891140000000009E-2</v>
      </c>
      <c r="U487" s="26">
        <v>100</v>
      </c>
      <c r="V487" s="60" t="s">
        <v>414</v>
      </c>
    </row>
    <row r="488" spans="1:22" ht="26.25" x14ac:dyDescent="0.25">
      <c r="A488" s="28" t="s">
        <v>39</v>
      </c>
      <c r="B488" s="35" t="s">
        <v>613</v>
      </c>
      <c r="C488" s="54" t="s">
        <v>961</v>
      </c>
      <c r="D488" s="24">
        <v>0</v>
      </c>
      <c r="E488" s="24">
        <v>0</v>
      </c>
      <c r="F488" s="25" t="s">
        <v>50</v>
      </c>
      <c r="G488" s="24">
        <v>0</v>
      </c>
      <c r="H488" s="24">
        <f t="shared" si="47"/>
        <v>0</v>
      </c>
      <c r="I488" s="24">
        <f t="shared" si="47"/>
        <v>0.1535416</v>
      </c>
      <c r="J488" s="24">
        <v>0</v>
      </c>
      <c r="K488" s="24">
        <v>0</v>
      </c>
      <c r="L488" s="24">
        <v>0</v>
      </c>
      <c r="M488" s="25">
        <v>0.1535416</v>
      </c>
      <c r="N488" s="24">
        <v>0</v>
      </c>
      <c r="O488" s="25">
        <v>0</v>
      </c>
      <c r="P488" s="24">
        <v>0</v>
      </c>
      <c r="Q488" s="25">
        <v>0</v>
      </c>
      <c r="R488" s="25" t="s">
        <v>50</v>
      </c>
      <c r="S488" s="24">
        <f t="shared" si="49"/>
        <v>-0.1535416</v>
      </c>
      <c r="T488" s="24">
        <f t="shared" si="50"/>
        <v>0.1535416</v>
      </c>
      <c r="U488" s="26">
        <v>100</v>
      </c>
      <c r="V488" s="60" t="s">
        <v>414</v>
      </c>
    </row>
    <row r="489" spans="1:22" ht="26.25" x14ac:dyDescent="0.25">
      <c r="A489" s="28" t="s">
        <v>39</v>
      </c>
      <c r="B489" s="35" t="s">
        <v>614</v>
      </c>
      <c r="C489" s="54" t="s">
        <v>962</v>
      </c>
      <c r="D489" s="24">
        <v>0</v>
      </c>
      <c r="E489" s="24">
        <v>0</v>
      </c>
      <c r="F489" s="25" t="s">
        <v>50</v>
      </c>
      <c r="G489" s="24">
        <v>0</v>
      </c>
      <c r="H489" s="24">
        <f t="shared" si="47"/>
        <v>0</v>
      </c>
      <c r="I489" s="24">
        <f t="shared" si="47"/>
        <v>0.1535416</v>
      </c>
      <c r="J489" s="24">
        <v>0</v>
      </c>
      <c r="K489" s="24">
        <v>0</v>
      </c>
      <c r="L489" s="24">
        <v>0</v>
      </c>
      <c r="M489" s="25">
        <v>0.1535416</v>
      </c>
      <c r="N489" s="24">
        <v>0</v>
      </c>
      <c r="O489" s="25">
        <v>0</v>
      </c>
      <c r="P489" s="24">
        <v>0</v>
      </c>
      <c r="Q489" s="25">
        <v>0</v>
      </c>
      <c r="R489" s="25" t="s">
        <v>50</v>
      </c>
      <c r="S489" s="24">
        <f t="shared" si="49"/>
        <v>-0.1535416</v>
      </c>
      <c r="T489" s="24">
        <f t="shared" si="50"/>
        <v>0.1535416</v>
      </c>
      <c r="U489" s="26">
        <v>100</v>
      </c>
      <c r="V489" s="60" t="s">
        <v>414</v>
      </c>
    </row>
    <row r="490" spans="1:22" ht="26.25" x14ac:dyDescent="0.25">
      <c r="A490" s="28" t="s">
        <v>39</v>
      </c>
      <c r="B490" s="35" t="s">
        <v>615</v>
      </c>
      <c r="C490" s="54" t="s">
        <v>963</v>
      </c>
      <c r="D490" s="24">
        <v>0</v>
      </c>
      <c r="E490" s="24">
        <v>0</v>
      </c>
      <c r="F490" s="25" t="s">
        <v>50</v>
      </c>
      <c r="G490" s="24">
        <v>0</v>
      </c>
      <c r="H490" s="24">
        <f t="shared" si="47"/>
        <v>0</v>
      </c>
      <c r="I490" s="24">
        <f t="shared" si="47"/>
        <v>0.1172863</v>
      </c>
      <c r="J490" s="24">
        <v>0</v>
      </c>
      <c r="K490" s="24">
        <v>0</v>
      </c>
      <c r="L490" s="24">
        <v>0</v>
      </c>
      <c r="M490" s="25">
        <v>0.1172863</v>
      </c>
      <c r="N490" s="24">
        <v>0</v>
      </c>
      <c r="O490" s="25">
        <v>0</v>
      </c>
      <c r="P490" s="24">
        <v>0</v>
      </c>
      <c r="Q490" s="25">
        <v>0</v>
      </c>
      <c r="R490" s="25" t="s">
        <v>50</v>
      </c>
      <c r="S490" s="24">
        <f t="shared" si="49"/>
        <v>-0.1172863</v>
      </c>
      <c r="T490" s="24">
        <f t="shared" si="50"/>
        <v>0.1172863</v>
      </c>
      <c r="U490" s="26">
        <v>100</v>
      </c>
      <c r="V490" s="60" t="s">
        <v>414</v>
      </c>
    </row>
    <row r="491" spans="1:22" ht="35.25" customHeight="1" x14ac:dyDescent="0.25">
      <c r="A491" s="28" t="s">
        <v>39</v>
      </c>
      <c r="B491" s="35" t="s">
        <v>616</v>
      </c>
      <c r="C491" s="54" t="s">
        <v>964</v>
      </c>
      <c r="D491" s="24">
        <v>0</v>
      </c>
      <c r="E491" s="24">
        <v>0</v>
      </c>
      <c r="F491" s="25" t="s">
        <v>50</v>
      </c>
      <c r="G491" s="24">
        <v>0</v>
      </c>
      <c r="H491" s="24">
        <f t="shared" si="47"/>
        <v>0</v>
      </c>
      <c r="I491" s="24">
        <f t="shared" si="47"/>
        <v>0.1535416</v>
      </c>
      <c r="J491" s="24">
        <v>0</v>
      </c>
      <c r="K491" s="24">
        <v>0</v>
      </c>
      <c r="L491" s="24">
        <v>0</v>
      </c>
      <c r="M491" s="25">
        <v>0.1535416</v>
      </c>
      <c r="N491" s="24">
        <v>0</v>
      </c>
      <c r="O491" s="25">
        <v>0</v>
      </c>
      <c r="P491" s="24">
        <v>0</v>
      </c>
      <c r="Q491" s="25">
        <v>0</v>
      </c>
      <c r="R491" s="25" t="s">
        <v>50</v>
      </c>
      <c r="S491" s="24">
        <f t="shared" si="49"/>
        <v>-0.1535416</v>
      </c>
      <c r="T491" s="24">
        <f t="shared" si="50"/>
        <v>0.1535416</v>
      </c>
      <c r="U491" s="26">
        <v>100</v>
      </c>
      <c r="V491" s="60" t="s">
        <v>414</v>
      </c>
    </row>
    <row r="492" spans="1:22" ht="35.25" customHeight="1" x14ac:dyDescent="0.25">
      <c r="A492" s="28" t="s">
        <v>39</v>
      </c>
      <c r="B492" s="35" t="s">
        <v>618</v>
      </c>
      <c r="C492" s="54" t="s">
        <v>965</v>
      </c>
      <c r="D492" s="24">
        <v>0</v>
      </c>
      <c r="E492" s="24">
        <v>0</v>
      </c>
      <c r="F492" s="25" t="s">
        <v>50</v>
      </c>
      <c r="G492" s="24">
        <v>0</v>
      </c>
      <c r="H492" s="24">
        <f t="shared" si="47"/>
        <v>0</v>
      </c>
      <c r="I492" s="24">
        <f t="shared" si="47"/>
        <v>0.47168401000000004</v>
      </c>
      <c r="J492" s="24">
        <v>0</v>
      </c>
      <c r="K492" s="24">
        <v>0</v>
      </c>
      <c r="L492" s="24">
        <v>0</v>
      </c>
      <c r="M492" s="25">
        <v>0.47168401000000004</v>
      </c>
      <c r="N492" s="24">
        <v>0</v>
      </c>
      <c r="O492" s="25">
        <v>0</v>
      </c>
      <c r="P492" s="24">
        <v>0</v>
      </c>
      <c r="Q492" s="25">
        <v>0</v>
      </c>
      <c r="R492" s="25" t="s">
        <v>50</v>
      </c>
      <c r="S492" s="24">
        <f t="shared" si="49"/>
        <v>-0.47168401000000004</v>
      </c>
      <c r="T492" s="24">
        <f t="shared" si="50"/>
        <v>0.47168401000000004</v>
      </c>
      <c r="U492" s="26">
        <v>100</v>
      </c>
      <c r="V492" s="60" t="s">
        <v>414</v>
      </c>
    </row>
    <row r="493" spans="1:22" ht="35.25" customHeight="1" x14ac:dyDescent="0.25">
      <c r="A493" s="28" t="s">
        <v>39</v>
      </c>
      <c r="B493" s="35" t="s">
        <v>619</v>
      </c>
      <c r="C493" s="54" t="s">
        <v>966</v>
      </c>
      <c r="D493" s="24">
        <v>0</v>
      </c>
      <c r="E493" s="24">
        <v>0</v>
      </c>
      <c r="F493" s="25" t="s">
        <v>50</v>
      </c>
      <c r="G493" s="24">
        <v>0</v>
      </c>
      <c r="H493" s="24">
        <f t="shared" si="47"/>
        <v>0</v>
      </c>
      <c r="I493" s="24">
        <f t="shared" si="47"/>
        <v>0.17375157000000002</v>
      </c>
      <c r="J493" s="24">
        <v>0</v>
      </c>
      <c r="K493" s="24">
        <v>0</v>
      </c>
      <c r="L493" s="24">
        <v>0</v>
      </c>
      <c r="M493" s="25">
        <v>0.17375157000000002</v>
      </c>
      <c r="N493" s="24">
        <v>0</v>
      </c>
      <c r="O493" s="25">
        <v>0</v>
      </c>
      <c r="P493" s="24">
        <v>0</v>
      </c>
      <c r="Q493" s="25">
        <v>0</v>
      </c>
      <c r="R493" s="25" t="s">
        <v>50</v>
      </c>
      <c r="S493" s="24">
        <f t="shared" si="49"/>
        <v>-0.17375157000000002</v>
      </c>
      <c r="T493" s="24">
        <f t="shared" si="50"/>
        <v>0.17375157000000002</v>
      </c>
      <c r="U493" s="26">
        <v>100</v>
      </c>
      <c r="V493" s="60" t="s">
        <v>414</v>
      </c>
    </row>
    <row r="494" spans="1:22" ht="51.75" x14ac:dyDescent="0.25">
      <c r="A494" s="28" t="s">
        <v>39</v>
      </c>
      <c r="B494" s="35" t="s">
        <v>967</v>
      </c>
      <c r="C494" s="54" t="s">
        <v>992</v>
      </c>
      <c r="D494" s="24">
        <v>0</v>
      </c>
      <c r="E494" s="24">
        <v>0</v>
      </c>
      <c r="F494" s="25" t="s">
        <v>50</v>
      </c>
      <c r="G494" s="24">
        <v>0</v>
      </c>
      <c r="H494" s="24">
        <v>0</v>
      </c>
      <c r="I494" s="24">
        <f t="shared" si="47"/>
        <v>0.88594029000000007</v>
      </c>
      <c r="J494" s="24">
        <v>0</v>
      </c>
      <c r="K494" s="24">
        <v>0</v>
      </c>
      <c r="L494" s="24">
        <v>0</v>
      </c>
      <c r="M494" s="25">
        <v>0</v>
      </c>
      <c r="N494" s="24">
        <v>0</v>
      </c>
      <c r="O494" s="25">
        <v>0</v>
      </c>
      <c r="P494" s="24">
        <v>0</v>
      </c>
      <c r="Q494" s="25">
        <v>0.88594029000000007</v>
      </c>
      <c r="R494" s="25" t="s">
        <v>50</v>
      </c>
      <c r="S494" s="24">
        <f t="shared" si="49"/>
        <v>-0.88594029000000007</v>
      </c>
      <c r="T494" s="24">
        <f t="shared" si="50"/>
        <v>0.88594029000000007</v>
      </c>
      <c r="U494" s="26">
        <v>100</v>
      </c>
      <c r="V494" s="59" t="s">
        <v>412</v>
      </c>
    </row>
    <row r="495" spans="1:22" ht="48.75" customHeight="1" x14ac:dyDescent="0.25">
      <c r="A495" s="28" t="s">
        <v>39</v>
      </c>
      <c r="B495" s="35" t="s">
        <v>969</v>
      </c>
      <c r="C495" s="54" t="s">
        <v>968</v>
      </c>
      <c r="D495" s="24">
        <v>0</v>
      </c>
      <c r="E495" s="24">
        <v>0</v>
      </c>
      <c r="F495" s="25" t="s">
        <v>50</v>
      </c>
      <c r="G495" s="24">
        <v>0</v>
      </c>
      <c r="H495" s="24">
        <v>0</v>
      </c>
      <c r="I495" s="24">
        <f t="shared" si="47"/>
        <v>0</v>
      </c>
      <c r="J495" s="24">
        <v>0</v>
      </c>
      <c r="K495" s="24">
        <v>0</v>
      </c>
      <c r="L495" s="24">
        <v>0</v>
      </c>
      <c r="M495" s="25">
        <v>0</v>
      </c>
      <c r="N495" s="24">
        <v>0</v>
      </c>
      <c r="O495" s="25">
        <v>0</v>
      </c>
      <c r="P495" s="24">
        <v>0</v>
      </c>
      <c r="Q495" s="25">
        <v>0</v>
      </c>
      <c r="R495" s="25" t="s">
        <v>50</v>
      </c>
      <c r="S495" s="24">
        <f t="shared" si="49"/>
        <v>0</v>
      </c>
      <c r="T495" s="24">
        <f t="shared" si="50"/>
        <v>0</v>
      </c>
      <c r="U495" s="26">
        <v>100</v>
      </c>
      <c r="V495" s="60" t="s">
        <v>723</v>
      </c>
    </row>
    <row r="496" spans="1:22" ht="38.25" x14ac:dyDescent="0.25">
      <c r="A496" s="28" t="s">
        <v>39</v>
      </c>
      <c r="B496" s="35" t="s">
        <v>970</v>
      </c>
      <c r="C496" s="54" t="s">
        <v>971</v>
      </c>
      <c r="D496" s="24">
        <v>0</v>
      </c>
      <c r="E496" s="24">
        <v>0</v>
      </c>
      <c r="F496" s="25" t="s">
        <v>50</v>
      </c>
      <c r="G496" s="24">
        <v>0</v>
      </c>
      <c r="H496" s="24">
        <v>0</v>
      </c>
      <c r="I496" s="24">
        <f t="shared" si="47"/>
        <v>0</v>
      </c>
      <c r="J496" s="24">
        <v>0</v>
      </c>
      <c r="K496" s="24">
        <v>0</v>
      </c>
      <c r="L496" s="24">
        <v>0</v>
      </c>
      <c r="M496" s="25">
        <v>0</v>
      </c>
      <c r="N496" s="24">
        <v>0</v>
      </c>
      <c r="O496" s="25">
        <v>0</v>
      </c>
      <c r="P496" s="24">
        <v>0</v>
      </c>
      <c r="Q496" s="25">
        <v>0</v>
      </c>
      <c r="R496" s="25" t="s">
        <v>50</v>
      </c>
      <c r="S496" s="24">
        <f t="shared" si="49"/>
        <v>0</v>
      </c>
      <c r="T496" s="24">
        <f t="shared" si="50"/>
        <v>0</v>
      </c>
      <c r="U496" s="26">
        <v>100</v>
      </c>
      <c r="V496" s="60" t="s">
        <v>723</v>
      </c>
    </row>
    <row r="497" spans="1:22" ht="26.25" x14ac:dyDescent="0.25">
      <c r="A497" s="28" t="s">
        <v>39</v>
      </c>
      <c r="B497" s="35" t="s">
        <v>972</v>
      </c>
      <c r="C497" s="54" t="s">
        <v>973</v>
      </c>
      <c r="D497" s="24">
        <v>0</v>
      </c>
      <c r="E497" s="24">
        <v>0</v>
      </c>
      <c r="F497" s="25" t="s">
        <v>50</v>
      </c>
      <c r="G497" s="24">
        <v>0</v>
      </c>
      <c r="H497" s="24">
        <v>0</v>
      </c>
      <c r="I497" s="24">
        <f t="shared" si="47"/>
        <v>2.924858E-2</v>
      </c>
      <c r="J497" s="24">
        <v>0</v>
      </c>
      <c r="K497" s="24">
        <v>0</v>
      </c>
      <c r="L497" s="24">
        <v>0</v>
      </c>
      <c r="M497" s="25">
        <v>0</v>
      </c>
      <c r="N497" s="24">
        <v>0</v>
      </c>
      <c r="O497" s="25">
        <v>0</v>
      </c>
      <c r="P497" s="24">
        <v>0</v>
      </c>
      <c r="Q497" s="25">
        <v>2.924858E-2</v>
      </c>
      <c r="R497" s="25" t="s">
        <v>50</v>
      </c>
      <c r="S497" s="24">
        <f t="shared" si="49"/>
        <v>-2.924858E-2</v>
      </c>
      <c r="T497" s="24">
        <f t="shared" si="50"/>
        <v>2.924858E-2</v>
      </c>
      <c r="U497" s="26">
        <v>100</v>
      </c>
      <c r="V497" s="60" t="s">
        <v>717</v>
      </c>
    </row>
    <row r="498" spans="1:22" ht="26.25" x14ac:dyDescent="0.25">
      <c r="A498" s="28" t="s">
        <v>39</v>
      </c>
      <c r="B498" s="35" t="s">
        <v>587</v>
      </c>
      <c r="C498" s="54" t="s">
        <v>974</v>
      </c>
      <c r="D498" s="24">
        <v>0</v>
      </c>
      <c r="E498" s="24">
        <v>0</v>
      </c>
      <c r="F498" s="25" t="s">
        <v>50</v>
      </c>
      <c r="G498" s="24">
        <v>0</v>
      </c>
      <c r="H498" s="24">
        <v>0</v>
      </c>
      <c r="I498" s="24">
        <f t="shared" si="47"/>
        <v>0.44340415</v>
      </c>
      <c r="J498" s="24">
        <v>0</v>
      </c>
      <c r="K498" s="24">
        <v>0</v>
      </c>
      <c r="L498" s="24">
        <v>0</v>
      </c>
      <c r="M498" s="25">
        <v>0.38569800999999998</v>
      </c>
      <c r="N498" s="24">
        <v>0</v>
      </c>
      <c r="O498" s="25">
        <v>5.7706140000000003E-2</v>
      </c>
      <c r="P498" s="24">
        <v>0</v>
      </c>
      <c r="Q498" s="25">
        <v>0</v>
      </c>
      <c r="R498" s="25" t="s">
        <v>50</v>
      </c>
      <c r="S498" s="24">
        <f t="shared" si="49"/>
        <v>-0.44340415</v>
      </c>
      <c r="T498" s="24">
        <f t="shared" si="50"/>
        <v>0.44340415</v>
      </c>
      <c r="U498" s="26">
        <v>100</v>
      </c>
      <c r="V498" s="44" t="s">
        <v>719</v>
      </c>
    </row>
    <row r="499" spans="1:22" ht="25.5" customHeight="1" x14ac:dyDescent="0.25">
      <c r="A499" s="28" t="s">
        <v>39</v>
      </c>
      <c r="B499" s="35" t="s">
        <v>975</v>
      </c>
      <c r="C499" s="54" t="s">
        <v>976</v>
      </c>
      <c r="D499" s="24">
        <v>0</v>
      </c>
      <c r="E499" s="24">
        <v>0</v>
      </c>
      <c r="F499" s="25" t="s">
        <v>50</v>
      </c>
      <c r="G499" s="24">
        <v>0</v>
      </c>
      <c r="H499" s="24">
        <v>0</v>
      </c>
      <c r="I499" s="24">
        <f t="shared" si="47"/>
        <v>22.17</v>
      </c>
      <c r="J499" s="24">
        <v>0</v>
      </c>
      <c r="K499" s="24">
        <v>0</v>
      </c>
      <c r="L499" s="24">
        <v>0</v>
      </c>
      <c r="M499" s="25">
        <v>0</v>
      </c>
      <c r="N499" s="24">
        <v>0</v>
      </c>
      <c r="O499" s="25">
        <v>0</v>
      </c>
      <c r="P499" s="24">
        <v>0</v>
      </c>
      <c r="Q499" s="25">
        <v>22.17</v>
      </c>
      <c r="R499" s="25" t="s">
        <v>50</v>
      </c>
      <c r="S499" s="24">
        <f t="shared" si="49"/>
        <v>-22.17</v>
      </c>
      <c r="T499" s="24">
        <f t="shared" si="50"/>
        <v>22.17</v>
      </c>
      <c r="U499" s="26">
        <v>100</v>
      </c>
      <c r="V499" s="44" t="s">
        <v>50</v>
      </c>
    </row>
    <row r="500" spans="1:22" ht="26.25" x14ac:dyDescent="0.25">
      <c r="A500" s="28" t="s">
        <v>39</v>
      </c>
      <c r="B500" s="35" t="s">
        <v>517</v>
      </c>
      <c r="C500" s="54" t="s">
        <v>518</v>
      </c>
      <c r="D500" s="24">
        <v>0</v>
      </c>
      <c r="E500" s="24">
        <v>0</v>
      </c>
      <c r="F500" s="25" t="s">
        <v>50</v>
      </c>
      <c r="G500" s="24">
        <v>0</v>
      </c>
      <c r="H500" s="24">
        <v>0</v>
      </c>
      <c r="I500" s="24">
        <f t="shared" si="47"/>
        <v>0</v>
      </c>
      <c r="J500" s="24">
        <v>0</v>
      </c>
      <c r="K500" s="24">
        <v>0</v>
      </c>
      <c r="L500" s="24">
        <v>0</v>
      </c>
      <c r="M500" s="25">
        <v>0</v>
      </c>
      <c r="N500" s="24">
        <v>0</v>
      </c>
      <c r="O500" s="25">
        <v>0</v>
      </c>
      <c r="P500" s="24">
        <v>0</v>
      </c>
      <c r="Q500" s="25">
        <v>0</v>
      </c>
      <c r="R500" s="25" t="s">
        <v>50</v>
      </c>
      <c r="S500" s="24">
        <f t="shared" si="49"/>
        <v>0</v>
      </c>
      <c r="T500" s="24">
        <f t="shared" si="50"/>
        <v>0</v>
      </c>
      <c r="U500" s="26">
        <v>0</v>
      </c>
      <c r="V500" s="44" t="s">
        <v>50</v>
      </c>
    </row>
    <row r="501" spans="1:22" s="3" customFormat="1" ht="25.5" x14ac:dyDescent="0.25">
      <c r="A501" s="14" t="s">
        <v>40</v>
      </c>
      <c r="B501" s="19" t="s">
        <v>316</v>
      </c>
      <c r="C501" s="49" t="s">
        <v>52</v>
      </c>
      <c r="D501" s="16">
        <v>0</v>
      </c>
      <c r="E501" s="16">
        <v>0</v>
      </c>
      <c r="F501" s="17" t="s">
        <v>50</v>
      </c>
      <c r="G501" s="16">
        <v>0</v>
      </c>
      <c r="H501" s="16">
        <f t="shared" si="47"/>
        <v>0</v>
      </c>
      <c r="I501" s="16">
        <f t="shared" si="47"/>
        <v>0</v>
      </c>
      <c r="J501" s="16">
        <v>0</v>
      </c>
      <c r="K501" s="16">
        <v>0</v>
      </c>
      <c r="L501" s="16">
        <v>0</v>
      </c>
      <c r="M501" s="17">
        <v>0</v>
      </c>
      <c r="N501" s="16">
        <v>0</v>
      </c>
      <c r="O501" s="17">
        <v>0</v>
      </c>
      <c r="P501" s="16">
        <v>0</v>
      </c>
      <c r="Q501" s="17">
        <v>0</v>
      </c>
      <c r="R501" s="17" t="s">
        <v>50</v>
      </c>
      <c r="S501" s="16">
        <f t="shared" si="49"/>
        <v>0</v>
      </c>
      <c r="T501" s="16">
        <f t="shared" si="50"/>
        <v>0</v>
      </c>
      <c r="U501" s="18">
        <v>0</v>
      </c>
      <c r="V501" s="48" t="s">
        <v>50</v>
      </c>
    </row>
    <row r="502" spans="1:22" s="3" customFormat="1" x14ac:dyDescent="0.25">
      <c r="A502" s="14" t="s">
        <v>41</v>
      </c>
      <c r="B502" s="19" t="s">
        <v>317</v>
      </c>
      <c r="C502" s="49" t="s">
        <v>52</v>
      </c>
      <c r="D502" s="16">
        <v>0</v>
      </c>
      <c r="E502" s="16">
        <f>SUM(E503:E506)</f>
        <v>0.77694914399999992</v>
      </c>
      <c r="F502" s="17" t="s">
        <v>50</v>
      </c>
      <c r="G502" s="16">
        <v>44.941780000000001</v>
      </c>
      <c r="H502" s="16">
        <f t="shared" si="47"/>
        <v>44.941780000000001</v>
      </c>
      <c r="I502" s="16">
        <f t="shared" si="47"/>
        <v>31.749132100000004</v>
      </c>
      <c r="J502" s="16">
        <v>0</v>
      </c>
      <c r="K502" s="16">
        <f>SUM(K503:K506)</f>
        <v>8.7533330300000003</v>
      </c>
      <c r="L502" s="16">
        <f>L503+L504+L505</f>
        <v>18.889690000000002</v>
      </c>
      <c r="M502" s="17">
        <f>SUM(M503:M508)</f>
        <v>-0.13932061000000001</v>
      </c>
      <c r="N502" s="16">
        <v>7.0750000000000002</v>
      </c>
      <c r="O502" s="17">
        <f>SUM(O503:O508)</f>
        <v>0</v>
      </c>
      <c r="P502" s="16">
        <f>P505</f>
        <v>18.97709</v>
      </c>
      <c r="Q502" s="17">
        <f>Q503+Q504+Q505</f>
        <v>23.135119680000003</v>
      </c>
      <c r="R502" s="17" t="s">
        <v>50</v>
      </c>
      <c r="S502" s="16">
        <f t="shared" si="49"/>
        <v>13.192647899999997</v>
      </c>
      <c r="T502" s="16">
        <f t="shared" si="50"/>
        <v>-13.192647899999997</v>
      </c>
      <c r="U502" s="18">
        <f t="shared" si="51"/>
        <v>-29.35497414655137</v>
      </c>
      <c r="V502" s="48" t="s">
        <v>50</v>
      </c>
    </row>
    <row r="503" spans="1:22" ht="167.25" customHeight="1" x14ac:dyDescent="0.25">
      <c r="A503" s="43" t="s">
        <v>41</v>
      </c>
      <c r="B503" s="29" t="s">
        <v>409</v>
      </c>
      <c r="C503" s="54" t="s">
        <v>410</v>
      </c>
      <c r="D503" s="24">
        <v>0</v>
      </c>
      <c r="E503" s="24">
        <v>0</v>
      </c>
      <c r="F503" s="25" t="s">
        <v>50</v>
      </c>
      <c r="G503" s="24">
        <v>0</v>
      </c>
      <c r="H503" s="24">
        <f t="shared" si="47"/>
        <v>0</v>
      </c>
      <c r="I503" s="24">
        <f t="shared" si="47"/>
        <v>7.6415723</v>
      </c>
      <c r="J503" s="24">
        <v>0</v>
      </c>
      <c r="K503" s="24">
        <v>7.8349762499999995</v>
      </c>
      <c r="L503" s="24">
        <v>0</v>
      </c>
      <c r="M503" s="25">
        <f>-262.57062/1000</f>
        <v>-0.26257062000000003</v>
      </c>
      <c r="N503" s="24">
        <v>0</v>
      </c>
      <c r="O503" s="25">
        <v>0</v>
      </c>
      <c r="P503" s="24">
        <v>0</v>
      </c>
      <c r="Q503" s="25">
        <v>6.916667E-2</v>
      </c>
      <c r="R503" s="25" t="s">
        <v>50</v>
      </c>
      <c r="S503" s="24">
        <f t="shared" si="49"/>
        <v>-7.6415723</v>
      </c>
      <c r="T503" s="24">
        <f t="shared" si="50"/>
        <v>7.6415723</v>
      </c>
      <c r="U503" s="26">
        <v>100</v>
      </c>
      <c r="V503" s="60" t="s">
        <v>413</v>
      </c>
    </row>
    <row r="504" spans="1:22" ht="118.5" customHeight="1" x14ac:dyDescent="0.25">
      <c r="A504" s="30" t="s">
        <v>41</v>
      </c>
      <c r="B504" s="35" t="s">
        <v>655</v>
      </c>
      <c r="C504" s="53" t="s">
        <v>318</v>
      </c>
      <c r="D504" s="24">
        <v>0</v>
      </c>
      <c r="E504" s="24">
        <v>0</v>
      </c>
      <c r="F504" s="25" t="s">
        <v>50</v>
      </c>
      <c r="G504" s="24">
        <v>5.629690000000001</v>
      </c>
      <c r="H504" s="24">
        <f t="shared" si="47"/>
        <v>5.629690000000001</v>
      </c>
      <c r="I504" s="24">
        <f t="shared" si="47"/>
        <v>4.8667077499999998</v>
      </c>
      <c r="J504" s="24">
        <v>0</v>
      </c>
      <c r="K504" s="24">
        <f>270.89916/1000</f>
        <v>0.27089915999999997</v>
      </c>
      <c r="L504" s="24">
        <v>5.5496900000000009</v>
      </c>
      <c r="M504" s="25">
        <v>0</v>
      </c>
      <c r="N504" s="24">
        <v>0.08</v>
      </c>
      <c r="O504" s="25">
        <v>0</v>
      </c>
      <c r="P504" s="24">
        <v>0</v>
      </c>
      <c r="Q504" s="25">
        <v>4.5958085899999999</v>
      </c>
      <c r="R504" s="25" t="s">
        <v>50</v>
      </c>
      <c r="S504" s="24">
        <f t="shared" si="49"/>
        <v>0.76298225000000119</v>
      </c>
      <c r="T504" s="24">
        <f t="shared" si="50"/>
        <v>-0.76298225000000119</v>
      </c>
      <c r="U504" s="26">
        <f t="shared" si="51"/>
        <v>-13.552828841374946</v>
      </c>
      <c r="V504" s="44" t="s">
        <v>50</v>
      </c>
    </row>
    <row r="505" spans="1:22" ht="138" customHeight="1" x14ac:dyDescent="0.25">
      <c r="A505" s="30" t="s">
        <v>41</v>
      </c>
      <c r="B505" s="37" t="s">
        <v>656</v>
      </c>
      <c r="C505" s="53" t="s">
        <v>319</v>
      </c>
      <c r="D505" s="24">
        <v>0</v>
      </c>
      <c r="E505" s="24">
        <v>0</v>
      </c>
      <c r="F505" s="25" t="s">
        <v>50</v>
      </c>
      <c r="G505" s="24">
        <v>39.312089999999998</v>
      </c>
      <c r="H505" s="24">
        <f t="shared" si="47"/>
        <v>39.312089999999998</v>
      </c>
      <c r="I505" s="24">
        <f t="shared" si="47"/>
        <v>18.47014442</v>
      </c>
      <c r="J505" s="24">
        <v>0</v>
      </c>
      <c r="K505" s="24">
        <v>0</v>
      </c>
      <c r="L505" s="24">
        <v>13.34</v>
      </c>
      <c r="M505" s="25">
        <v>0</v>
      </c>
      <c r="N505" s="24">
        <v>6.9950000000000001</v>
      </c>
      <c r="O505" s="25">
        <v>0</v>
      </c>
      <c r="P505" s="24">
        <v>18.97709</v>
      </c>
      <c r="Q505" s="25">
        <v>18.47014442</v>
      </c>
      <c r="R505" s="25" t="s">
        <v>50</v>
      </c>
      <c r="S505" s="24">
        <f t="shared" si="49"/>
        <v>20.841945579999997</v>
      </c>
      <c r="T505" s="24">
        <f t="shared" si="50"/>
        <v>-20.841945579999997</v>
      </c>
      <c r="U505" s="26">
        <f t="shared" si="51"/>
        <v>-53.016630710806773</v>
      </c>
      <c r="V505" s="59" t="s">
        <v>979</v>
      </c>
    </row>
    <row r="506" spans="1:22" ht="36" customHeight="1" x14ac:dyDescent="0.25">
      <c r="A506" s="43" t="s">
        <v>41</v>
      </c>
      <c r="B506" s="35" t="s">
        <v>411</v>
      </c>
      <c r="C506" s="54" t="s">
        <v>621</v>
      </c>
      <c r="D506" s="24">
        <v>0</v>
      </c>
      <c r="E506" s="24">
        <f>647457.62*1.2/1000000</f>
        <v>0.77694914399999992</v>
      </c>
      <c r="F506" s="25" t="s">
        <v>50</v>
      </c>
      <c r="G506" s="24">
        <v>0</v>
      </c>
      <c r="H506" s="24">
        <f t="shared" si="47"/>
        <v>0</v>
      </c>
      <c r="I506" s="24">
        <f t="shared" si="47"/>
        <v>0.64745762000000007</v>
      </c>
      <c r="J506" s="24">
        <v>0</v>
      </c>
      <c r="K506" s="24">
        <f>647.45762/1000</f>
        <v>0.64745762000000007</v>
      </c>
      <c r="L506" s="24">
        <v>0</v>
      </c>
      <c r="M506" s="25">
        <v>0</v>
      </c>
      <c r="N506" s="24">
        <v>0</v>
      </c>
      <c r="O506" s="25">
        <v>0</v>
      </c>
      <c r="P506" s="24">
        <v>0</v>
      </c>
      <c r="Q506" s="25">
        <v>0</v>
      </c>
      <c r="R506" s="25" t="s">
        <v>50</v>
      </c>
      <c r="S506" s="24">
        <f t="shared" si="49"/>
        <v>-0.64745762000000007</v>
      </c>
      <c r="T506" s="24">
        <f t="shared" si="50"/>
        <v>0.64745762000000007</v>
      </c>
      <c r="U506" s="26">
        <v>100</v>
      </c>
      <c r="V506" s="66" t="s">
        <v>720</v>
      </c>
    </row>
    <row r="507" spans="1:22" ht="25.5" x14ac:dyDescent="0.25">
      <c r="A507" s="34" t="s">
        <v>41</v>
      </c>
      <c r="B507" s="35" t="s">
        <v>620</v>
      </c>
      <c r="C507" s="54" t="s">
        <v>408</v>
      </c>
      <c r="D507" s="24">
        <v>0</v>
      </c>
      <c r="E507" s="24">
        <v>0</v>
      </c>
      <c r="F507" s="25" t="s">
        <v>50</v>
      </c>
      <c r="G507" s="24">
        <v>0</v>
      </c>
      <c r="H507" s="24">
        <f t="shared" si="47"/>
        <v>0</v>
      </c>
      <c r="I507" s="24">
        <f t="shared" si="47"/>
        <v>0.12325001000000001</v>
      </c>
      <c r="J507" s="24">
        <v>0</v>
      </c>
      <c r="K507" s="24">
        <v>0</v>
      </c>
      <c r="L507" s="24">
        <v>0</v>
      </c>
      <c r="M507" s="44">
        <f>123.25001/1000</f>
        <v>0.12325001000000001</v>
      </c>
      <c r="N507" s="24">
        <v>0</v>
      </c>
      <c r="O507" s="25">
        <v>0</v>
      </c>
      <c r="P507" s="24">
        <v>0</v>
      </c>
      <c r="Q507" s="25">
        <v>0</v>
      </c>
      <c r="R507" s="25" t="s">
        <v>50</v>
      </c>
      <c r="S507" s="24">
        <f t="shared" si="49"/>
        <v>-0.12325001000000001</v>
      </c>
      <c r="T507" s="24">
        <f t="shared" si="50"/>
        <v>0.12325001000000001</v>
      </c>
      <c r="U507" s="26">
        <v>100</v>
      </c>
      <c r="V507" s="60" t="s">
        <v>721</v>
      </c>
    </row>
  </sheetData>
  <mergeCells count="43">
    <mergeCell ref="V260:V299"/>
    <mergeCell ref="V300:V313"/>
    <mergeCell ref="V26:V129"/>
    <mergeCell ref="V159:V160"/>
    <mergeCell ref="V151:V157"/>
    <mergeCell ref="V233:V257"/>
    <mergeCell ref="O334:O336"/>
    <mergeCell ref="S334:S336"/>
    <mergeCell ref="T334:T336"/>
    <mergeCell ref="I334:I336"/>
    <mergeCell ref="M334:M336"/>
    <mergeCell ref="U334:U336"/>
    <mergeCell ref="V334:V336"/>
    <mergeCell ref="N14:O15"/>
    <mergeCell ref="F13:G13"/>
    <mergeCell ref="P14:Q15"/>
    <mergeCell ref="R14:R16"/>
    <mergeCell ref="S14:S16"/>
    <mergeCell ref="V144:V149"/>
    <mergeCell ref="V220:V223"/>
    <mergeCell ref="T13:U15"/>
    <mergeCell ref="V13:V16"/>
    <mergeCell ref="F14:F16"/>
    <mergeCell ref="G14:G16"/>
    <mergeCell ref="H14:I15"/>
    <mergeCell ref="J14:K15"/>
    <mergeCell ref="L14:M15"/>
    <mergeCell ref="V473:V483"/>
    <mergeCell ref="A10:T10"/>
    <mergeCell ref="A11:T11"/>
    <mergeCell ref="A12:V12"/>
    <mergeCell ref="A4:V4"/>
    <mergeCell ref="A5:V5"/>
    <mergeCell ref="A7:V7"/>
    <mergeCell ref="A8:V8"/>
    <mergeCell ref="A9:V9"/>
    <mergeCell ref="A13:A16"/>
    <mergeCell ref="B13:B16"/>
    <mergeCell ref="C13:C16"/>
    <mergeCell ref="D13:D16"/>
    <mergeCell ref="E13:E16"/>
    <mergeCell ref="H13:Q13"/>
    <mergeCell ref="R13:S13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50" orientation="portrait" r:id="rId1"/>
  <headerFooter alignWithMargins="0"/>
  <colBreaks count="1" manualBreakCount="1">
    <brk id="9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12квОсв </vt:lpstr>
      <vt:lpstr>'12квОсв 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2019-12-11T12:17:37Z</cp:lastPrinted>
  <dcterms:created xsi:type="dcterms:W3CDTF">2009-07-27T10:10:26Z</dcterms:created>
  <dcterms:modified xsi:type="dcterms:W3CDTF">2020-03-31T13:48:45Z</dcterms:modified>
</cp:coreProperties>
</file>