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6425" yWindow="15" windowWidth="12165" windowHeight="13860" tabRatio="796"/>
  </bookViews>
  <sheets>
    <sheet name="10квФ " sheetId="11" r:id="rId1"/>
  </sheets>
  <definedNames>
    <definedName name="_xlnm._FilterDatabase" localSheetId="0" hidden="1">'10квФ '!$A$18:$BR$503</definedName>
    <definedName name="Z_500C2F4F_1743_499A_A051_20565DBF52B2_.wvu.PrintArea" localSheetId="0" hidden="1">'10квФ '!$A$1:$T$18</definedName>
    <definedName name="_xlnm.Print_Area" localSheetId="0">'10квФ '!$A$1:$T$18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P465" i="11" l="1"/>
  <c r="P310" i="11"/>
  <c r="N415" i="11"/>
  <c r="N405" i="11"/>
  <c r="L415" i="11"/>
  <c r="L310" i="11" s="1"/>
  <c r="L405" i="11"/>
  <c r="L445" i="11"/>
  <c r="N363" i="11"/>
  <c r="N310" i="11" s="1"/>
  <c r="J158" i="11"/>
  <c r="K39" i="11" l="1"/>
  <c r="O41" i="11"/>
  <c r="I39" i="11"/>
  <c r="S373" i="11" l="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4" i="11"/>
  <c r="S439" i="11"/>
  <c r="S440" i="11"/>
  <c r="S441" i="11"/>
  <c r="S453" i="11"/>
  <c r="S454" i="11"/>
  <c r="S455" i="11"/>
  <c r="S456" i="11"/>
  <c r="S457" i="11"/>
  <c r="S458" i="11"/>
  <c r="S459" i="11"/>
  <c r="S460" i="11"/>
  <c r="S461" i="11"/>
  <c r="S462" i="11"/>
  <c r="S463" i="11"/>
  <c r="S465" i="11"/>
  <c r="S466" i="11"/>
  <c r="S467" i="11"/>
  <c r="S332" i="11"/>
  <c r="S159" i="11"/>
  <c r="S160" i="11"/>
  <c r="S161" i="11"/>
  <c r="S162" i="11"/>
  <c r="S163" i="11"/>
  <c r="S164" i="11"/>
  <c r="S165" i="11"/>
  <c r="S166" i="11"/>
  <c r="S167" i="11"/>
  <c r="S168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20" i="11"/>
  <c r="S221" i="11"/>
  <c r="S222" i="11"/>
  <c r="S223" i="11"/>
  <c r="S224" i="11"/>
  <c r="S225" i="11"/>
  <c r="S226" i="11"/>
  <c r="S227" i="11"/>
  <c r="S228" i="11"/>
  <c r="S244" i="11"/>
  <c r="S255" i="11"/>
  <c r="S295" i="11"/>
  <c r="S323" i="11"/>
  <c r="S324" i="11"/>
  <c r="S325" i="11"/>
  <c r="S326" i="11"/>
  <c r="S327" i="11"/>
  <c r="S328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7" i="11"/>
  <c r="R439" i="11"/>
  <c r="R440" i="11"/>
  <c r="R441" i="11"/>
  <c r="R442" i="11"/>
  <c r="R443" i="11"/>
  <c r="R444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8" i="11"/>
  <c r="R489" i="11"/>
  <c r="R490" i="11"/>
  <c r="R491" i="11"/>
  <c r="R492" i="11"/>
  <c r="R493" i="11"/>
  <c r="R494" i="11"/>
  <c r="R495" i="11"/>
  <c r="R496" i="11"/>
  <c r="R497" i="11"/>
  <c r="R499" i="11"/>
  <c r="R502" i="11"/>
  <c r="R503" i="11"/>
  <c r="R332" i="11"/>
  <c r="R328" i="11"/>
  <c r="R26" i="11"/>
  <c r="R29" i="11"/>
  <c r="R31" i="11"/>
  <c r="R32" i="11"/>
  <c r="R33" i="11"/>
  <c r="R34" i="11"/>
  <c r="R35" i="11"/>
  <c r="R36" i="11"/>
  <c r="R37" i="11"/>
  <c r="R38" i="11"/>
  <c r="R42" i="11"/>
  <c r="R43" i="11"/>
  <c r="R44" i="11"/>
  <c r="R46" i="11"/>
  <c r="R47" i="11"/>
  <c r="R48" i="11"/>
  <c r="R49" i="11"/>
  <c r="R50" i="11"/>
  <c r="R51" i="11"/>
  <c r="R52" i="11"/>
  <c r="R53" i="11"/>
  <c r="R54" i="11"/>
  <c r="R58" i="11"/>
  <c r="R59" i="11"/>
  <c r="R60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5" i="11"/>
  <c r="R176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7" i="11"/>
  <c r="H439" i="11"/>
  <c r="H440" i="11"/>
  <c r="H441" i="11"/>
  <c r="H442" i="11"/>
  <c r="H443" i="11"/>
  <c r="H444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8" i="11"/>
  <c r="H489" i="11"/>
  <c r="H490" i="11"/>
  <c r="H491" i="11"/>
  <c r="H492" i="11"/>
  <c r="H493" i="11"/>
  <c r="H494" i="11"/>
  <c r="H495" i="11"/>
  <c r="H496" i="11"/>
  <c r="H497" i="11"/>
  <c r="H499" i="11"/>
  <c r="H500" i="11"/>
  <c r="H501" i="11"/>
  <c r="H502" i="11"/>
  <c r="H503" i="11"/>
  <c r="H332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29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26" i="11"/>
  <c r="G85" i="11"/>
  <c r="G86" i="11"/>
  <c r="F85" i="11"/>
  <c r="F86" i="11"/>
  <c r="Q86" i="11" l="1"/>
  <c r="Q85" i="11"/>
  <c r="F26" i="11"/>
  <c r="Q26" i="11" s="1"/>
  <c r="F29" i="11"/>
  <c r="Q29" i="11" s="1"/>
  <c r="F39" i="11"/>
  <c r="Q39" i="11" s="1"/>
  <c r="F40" i="11"/>
  <c r="Q40" i="11" s="1"/>
  <c r="F41" i="11"/>
  <c r="Q41" i="11" s="1"/>
  <c r="F42" i="11"/>
  <c r="Q42" i="11" s="1"/>
  <c r="F43" i="11"/>
  <c r="Q43" i="11" s="1"/>
  <c r="F44" i="11"/>
  <c r="Q44" i="11" s="1"/>
  <c r="F54" i="11"/>
  <c r="Q54" i="11" s="1"/>
  <c r="F55" i="11"/>
  <c r="Q55" i="11" s="1"/>
  <c r="F56" i="11"/>
  <c r="Q56" i="11" s="1"/>
  <c r="F57" i="11"/>
  <c r="Q57" i="11" s="1"/>
  <c r="F58" i="11"/>
  <c r="Q58" i="11" s="1"/>
  <c r="F59" i="11"/>
  <c r="Q59" i="11" s="1"/>
  <c r="F60" i="11"/>
  <c r="Q60" i="11" s="1"/>
  <c r="F77" i="11"/>
  <c r="Q77" i="11" s="1"/>
  <c r="F78" i="11"/>
  <c r="Q78" i="11" s="1"/>
  <c r="F79" i="11"/>
  <c r="Q79" i="11" s="1"/>
  <c r="F80" i="11"/>
  <c r="Q80" i="11" s="1"/>
  <c r="F81" i="11"/>
  <c r="Q81" i="11" s="1"/>
  <c r="F82" i="11"/>
  <c r="Q82" i="11" s="1"/>
  <c r="F83" i="11"/>
  <c r="Q83" i="11" s="1"/>
  <c r="F84" i="11"/>
  <c r="Q84" i="11" s="1"/>
  <c r="F87" i="11"/>
  <c r="Q87" i="11" s="1"/>
  <c r="F88" i="11"/>
  <c r="Q88" i="11" s="1"/>
  <c r="F89" i="11"/>
  <c r="Q89" i="11" s="1"/>
  <c r="F90" i="11"/>
  <c r="Q90" i="11" s="1"/>
  <c r="F91" i="11"/>
  <c r="Q91" i="11" s="1"/>
  <c r="F92" i="11"/>
  <c r="Q92" i="11" s="1"/>
  <c r="F93" i="11"/>
  <c r="Q93" i="11" s="1"/>
  <c r="F94" i="11"/>
  <c r="Q94" i="11" s="1"/>
  <c r="F95" i="11"/>
  <c r="Q95" i="11" s="1"/>
  <c r="F96" i="11"/>
  <c r="Q96" i="11" s="1"/>
  <c r="F97" i="11"/>
  <c r="Q97" i="11" s="1"/>
  <c r="F98" i="11"/>
  <c r="Q98" i="11" s="1"/>
  <c r="F99" i="11"/>
  <c r="Q99" i="11" s="1"/>
  <c r="F100" i="11"/>
  <c r="Q100" i="11" s="1"/>
  <c r="F101" i="11"/>
  <c r="Q101" i="11" s="1"/>
  <c r="F102" i="11"/>
  <c r="Q102" i="11" s="1"/>
  <c r="F103" i="11"/>
  <c r="Q103" i="11" s="1"/>
  <c r="F104" i="11"/>
  <c r="Q104" i="11" s="1"/>
  <c r="F105" i="11"/>
  <c r="Q105" i="11" s="1"/>
  <c r="F106" i="11"/>
  <c r="Q106" i="11" s="1"/>
  <c r="F107" i="11"/>
  <c r="Q107" i="11" s="1"/>
  <c r="F108" i="11"/>
  <c r="Q108" i="11" s="1"/>
  <c r="F109" i="11"/>
  <c r="Q109" i="11" s="1"/>
  <c r="F110" i="11"/>
  <c r="Q110" i="11" s="1"/>
  <c r="F111" i="11"/>
  <c r="Q111" i="11" s="1"/>
  <c r="F112" i="11"/>
  <c r="Q112" i="11" s="1"/>
  <c r="F113" i="11"/>
  <c r="Q113" i="11" s="1"/>
  <c r="F114" i="11"/>
  <c r="Q114" i="11" s="1"/>
  <c r="F115" i="11"/>
  <c r="Q115" i="11" s="1"/>
  <c r="F116" i="11"/>
  <c r="Q116" i="11" s="1"/>
  <c r="F117" i="11"/>
  <c r="Q117" i="11" s="1"/>
  <c r="F118" i="11"/>
  <c r="Q118" i="11" s="1"/>
  <c r="F119" i="11"/>
  <c r="Q119" i="11" s="1"/>
  <c r="F120" i="11"/>
  <c r="Q120" i="11" s="1"/>
  <c r="F121" i="11"/>
  <c r="Q121" i="11" s="1"/>
  <c r="F122" i="11"/>
  <c r="Q122" i="11" s="1"/>
  <c r="F123" i="11"/>
  <c r="Q123" i="11" s="1"/>
  <c r="F124" i="11"/>
  <c r="Q124" i="11" s="1"/>
  <c r="F125" i="11"/>
  <c r="Q125" i="11" s="1"/>
  <c r="F126" i="11"/>
  <c r="Q126" i="11" s="1"/>
  <c r="F127" i="11"/>
  <c r="Q127" i="11" s="1"/>
  <c r="F128" i="11"/>
  <c r="Q128" i="11" s="1"/>
  <c r="F129" i="11"/>
  <c r="Q129" i="11" s="1"/>
  <c r="F130" i="11"/>
  <c r="Q130" i="11" s="1"/>
  <c r="F131" i="11"/>
  <c r="Q131" i="11" s="1"/>
  <c r="F132" i="11"/>
  <c r="Q132" i="11" s="1"/>
  <c r="F133" i="11"/>
  <c r="Q133" i="11" s="1"/>
  <c r="F134" i="11"/>
  <c r="Q134" i="11" s="1"/>
  <c r="F138" i="11"/>
  <c r="Q138" i="11" s="1"/>
  <c r="F139" i="11"/>
  <c r="Q139" i="11" s="1"/>
  <c r="F140" i="11"/>
  <c r="Q140" i="11" s="1"/>
  <c r="F141" i="11"/>
  <c r="Q141" i="11" s="1"/>
  <c r="F142" i="11"/>
  <c r="Q142" i="11" s="1"/>
  <c r="F144" i="11"/>
  <c r="Q144" i="11" s="1"/>
  <c r="F145" i="11"/>
  <c r="Q145" i="11" s="1"/>
  <c r="F146" i="11"/>
  <c r="Q146" i="11" s="1"/>
  <c r="F147" i="11"/>
  <c r="Q147" i="11" s="1"/>
  <c r="F148" i="11"/>
  <c r="Q148" i="11" s="1"/>
  <c r="F149" i="11"/>
  <c r="Q149" i="11" s="1"/>
  <c r="F150" i="11"/>
  <c r="Q150" i="11" s="1"/>
  <c r="F151" i="11"/>
  <c r="Q151" i="11" s="1"/>
  <c r="F152" i="11"/>
  <c r="Q152" i="11" s="1"/>
  <c r="F153" i="11"/>
  <c r="Q153" i="11" s="1"/>
  <c r="F154" i="11"/>
  <c r="Q154" i="11" s="1"/>
  <c r="F155" i="11"/>
  <c r="Q155" i="11" s="1"/>
  <c r="F159" i="11"/>
  <c r="Q159" i="11" s="1"/>
  <c r="F160" i="11"/>
  <c r="Q160" i="11" s="1"/>
  <c r="F161" i="11"/>
  <c r="Q161" i="11" s="1"/>
  <c r="F162" i="11"/>
  <c r="Q162" i="11" s="1"/>
  <c r="F163" i="11"/>
  <c r="Q163" i="11" s="1"/>
  <c r="F164" i="11"/>
  <c r="Q164" i="11" s="1"/>
  <c r="F165" i="11"/>
  <c r="Q165" i="11" s="1"/>
  <c r="F166" i="11"/>
  <c r="Q166" i="11" s="1"/>
  <c r="F167" i="11"/>
  <c r="Q167" i="11" s="1"/>
  <c r="F168" i="11"/>
  <c r="Q168" i="11" s="1"/>
  <c r="F169" i="11"/>
  <c r="Q169" i="11" s="1"/>
  <c r="F170" i="11"/>
  <c r="Q170" i="11" s="1"/>
  <c r="F171" i="11"/>
  <c r="Q171" i="11" s="1"/>
  <c r="F172" i="11"/>
  <c r="Q172" i="11" s="1"/>
  <c r="F173" i="11"/>
  <c r="Q173" i="11" s="1"/>
  <c r="F177" i="11"/>
  <c r="Q177" i="11" s="1"/>
  <c r="F178" i="11"/>
  <c r="Q178" i="11" s="1"/>
  <c r="F179" i="11"/>
  <c r="Q179" i="11" s="1"/>
  <c r="F180" i="11"/>
  <c r="Q180" i="11" s="1"/>
  <c r="F181" i="11"/>
  <c r="Q181" i="11" s="1"/>
  <c r="F182" i="11"/>
  <c r="Q182" i="11" s="1"/>
  <c r="F183" i="11"/>
  <c r="Q183" i="11" s="1"/>
  <c r="F184" i="11"/>
  <c r="Q184" i="11" s="1"/>
  <c r="F185" i="11"/>
  <c r="Q185" i="11" s="1"/>
  <c r="F186" i="11"/>
  <c r="Q186" i="11" s="1"/>
  <c r="F187" i="11"/>
  <c r="Q187" i="11" s="1"/>
  <c r="F188" i="11"/>
  <c r="Q188" i="11" s="1"/>
  <c r="F189" i="11"/>
  <c r="Q189" i="11" s="1"/>
  <c r="F190" i="11"/>
  <c r="Q190" i="11" s="1"/>
  <c r="F191" i="11"/>
  <c r="Q191" i="11" s="1"/>
  <c r="F192" i="11"/>
  <c r="Q192" i="11" s="1"/>
  <c r="F193" i="11"/>
  <c r="Q193" i="11" s="1"/>
  <c r="F194" i="11"/>
  <c r="Q194" i="11" s="1"/>
  <c r="F195" i="11"/>
  <c r="Q195" i="11" s="1"/>
  <c r="F196" i="11"/>
  <c r="Q196" i="11" s="1"/>
  <c r="F197" i="11"/>
  <c r="Q197" i="11" s="1"/>
  <c r="F198" i="11"/>
  <c r="Q198" i="11" s="1"/>
  <c r="F199" i="11"/>
  <c r="Q199" i="11" s="1"/>
  <c r="F200" i="11"/>
  <c r="Q200" i="11" s="1"/>
  <c r="F201" i="11"/>
  <c r="Q201" i="11" s="1"/>
  <c r="F202" i="11"/>
  <c r="Q202" i="11" s="1"/>
  <c r="F203" i="11"/>
  <c r="Q203" i="11" s="1"/>
  <c r="F204" i="11"/>
  <c r="Q204" i="11" s="1"/>
  <c r="F205" i="11"/>
  <c r="Q205" i="11" s="1"/>
  <c r="F206" i="11"/>
  <c r="Q206" i="11" s="1"/>
  <c r="F207" i="11"/>
  <c r="Q207" i="11" s="1"/>
  <c r="F208" i="11"/>
  <c r="Q208" i="11" s="1"/>
  <c r="F209" i="11"/>
  <c r="Q209" i="11" s="1"/>
  <c r="F210" i="11"/>
  <c r="Q210" i="11" s="1"/>
  <c r="F211" i="11"/>
  <c r="Q211" i="11" s="1"/>
  <c r="F212" i="11"/>
  <c r="Q212" i="11" s="1"/>
  <c r="F213" i="11"/>
  <c r="Q213" i="11" s="1"/>
  <c r="F214" i="11"/>
  <c r="Q214" i="11" s="1"/>
  <c r="F215" i="11"/>
  <c r="Q215" i="11" s="1"/>
  <c r="F216" i="11"/>
  <c r="Q216" i="11" s="1"/>
  <c r="F217" i="11"/>
  <c r="Q217" i="11" s="1"/>
  <c r="F218" i="11"/>
  <c r="Q218" i="11" s="1"/>
  <c r="F219" i="11"/>
  <c r="Q219" i="11" s="1"/>
  <c r="F220" i="11"/>
  <c r="Q220" i="11" s="1"/>
  <c r="F221" i="11"/>
  <c r="Q221" i="11" s="1"/>
  <c r="F222" i="11"/>
  <c r="Q222" i="11" s="1"/>
  <c r="F223" i="11"/>
  <c r="Q223" i="11" s="1"/>
  <c r="F224" i="11"/>
  <c r="Q224" i="11" s="1"/>
  <c r="F225" i="11"/>
  <c r="Q225" i="11" s="1"/>
  <c r="F226" i="11"/>
  <c r="Q226" i="11" s="1"/>
  <c r="F227" i="11"/>
  <c r="Q227" i="11" s="1"/>
  <c r="F228" i="11"/>
  <c r="Q228" i="11" s="1"/>
  <c r="F229" i="11"/>
  <c r="Q229" i="11" s="1"/>
  <c r="F230" i="11"/>
  <c r="Q230" i="11" s="1"/>
  <c r="F231" i="11"/>
  <c r="Q231" i="11" s="1"/>
  <c r="F232" i="11"/>
  <c r="Q232" i="11" s="1"/>
  <c r="F233" i="11"/>
  <c r="Q233" i="11" s="1"/>
  <c r="F234" i="11"/>
  <c r="Q234" i="11" s="1"/>
  <c r="F235" i="11"/>
  <c r="Q235" i="11" s="1"/>
  <c r="F236" i="11"/>
  <c r="Q236" i="11" s="1"/>
  <c r="F237" i="11"/>
  <c r="Q237" i="11" s="1"/>
  <c r="F238" i="11"/>
  <c r="Q238" i="11" s="1"/>
  <c r="F239" i="11"/>
  <c r="Q239" i="11" s="1"/>
  <c r="F240" i="11"/>
  <c r="Q240" i="11" s="1"/>
  <c r="F241" i="11"/>
  <c r="Q241" i="11" s="1"/>
  <c r="F242" i="11"/>
  <c r="Q242" i="11" s="1"/>
  <c r="F243" i="11"/>
  <c r="Q243" i="11" s="1"/>
  <c r="F244" i="11"/>
  <c r="Q244" i="11" s="1"/>
  <c r="F245" i="11"/>
  <c r="Q245" i="11" s="1"/>
  <c r="F246" i="11"/>
  <c r="Q246" i="11" s="1"/>
  <c r="F247" i="11"/>
  <c r="Q247" i="11" s="1"/>
  <c r="F248" i="11"/>
  <c r="Q248" i="11" s="1"/>
  <c r="F249" i="11"/>
  <c r="Q249" i="11" s="1"/>
  <c r="F250" i="11"/>
  <c r="Q250" i="11" s="1"/>
  <c r="F251" i="11"/>
  <c r="Q251" i="11" s="1"/>
  <c r="F252" i="11"/>
  <c r="Q252" i="11" s="1"/>
  <c r="F255" i="11"/>
  <c r="Q255" i="11" s="1"/>
  <c r="F256" i="11"/>
  <c r="Q256" i="11" s="1"/>
  <c r="F257" i="11"/>
  <c r="Q257" i="11" s="1"/>
  <c r="F258" i="11"/>
  <c r="Q258" i="11" s="1"/>
  <c r="F259" i="11"/>
  <c r="Q259" i="11" s="1"/>
  <c r="F260" i="11"/>
  <c r="Q260" i="11" s="1"/>
  <c r="F261" i="11"/>
  <c r="Q261" i="11" s="1"/>
  <c r="F262" i="11"/>
  <c r="Q262" i="11" s="1"/>
  <c r="F263" i="11"/>
  <c r="Q263" i="11" s="1"/>
  <c r="F264" i="11"/>
  <c r="Q264" i="11" s="1"/>
  <c r="F265" i="11"/>
  <c r="Q265" i="11" s="1"/>
  <c r="F266" i="11"/>
  <c r="Q266" i="11" s="1"/>
  <c r="F267" i="11"/>
  <c r="Q267" i="11" s="1"/>
  <c r="F268" i="11"/>
  <c r="Q268" i="11" s="1"/>
  <c r="F269" i="11"/>
  <c r="Q269" i="11" s="1"/>
  <c r="F270" i="11"/>
  <c r="Q270" i="11" s="1"/>
  <c r="F271" i="11"/>
  <c r="Q271" i="11" s="1"/>
  <c r="F272" i="11"/>
  <c r="Q272" i="11" s="1"/>
  <c r="F273" i="11"/>
  <c r="Q273" i="11" s="1"/>
  <c r="F274" i="11"/>
  <c r="Q274" i="11" s="1"/>
  <c r="F275" i="11"/>
  <c r="Q275" i="11" s="1"/>
  <c r="F276" i="11"/>
  <c r="Q276" i="11" s="1"/>
  <c r="F277" i="11"/>
  <c r="Q277" i="11" s="1"/>
  <c r="F278" i="11"/>
  <c r="Q278" i="11" s="1"/>
  <c r="F279" i="11"/>
  <c r="Q279" i="11" s="1"/>
  <c r="F280" i="11"/>
  <c r="Q280" i="11" s="1"/>
  <c r="F281" i="11"/>
  <c r="Q281" i="11" s="1"/>
  <c r="F282" i="11"/>
  <c r="Q282" i="11" s="1"/>
  <c r="F283" i="11"/>
  <c r="Q283" i="11" s="1"/>
  <c r="F284" i="11"/>
  <c r="Q284" i="11" s="1"/>
  <c r="F285" i="11"/>
  <c r="Q285" i="11" s="1"/>
  <c r="F286" i="11"/>
  <c r="Q286" i="11" s="1"/>
  <c r="F287" i="11"/>
  <c r="Q287" i="11" s="1"/>
  <c r="F288" i="11"/>
  <c r="Q288" i="11" s="1"/>
  <c r="F289" i="11"/>
  <c r="Q289" i="11" s="1"/>
  <c r="F290" i="11"/>
  <c r="Q290" i="11" s="1"/>
  <c r="F291" i="11"/>
  <c r="Q291" i="11" s="1"/>
  <c r="F292" i="11"/>
  <c r="Q292" i="11" s="1"/>
  <c r="F293" i="11"/>
  <c r="Q293" i="11" s="1"/>
  <c r="F294" i="11"/>
  <c r="Q294" i="11" s="1"/>
  <c r="F295" i="11"/>
  <c r="Q295" i="11" s="1"/>
  <c r="F296" i="11"/>
  <c r="Q296" i="11" s="1"/>
  <c r="F297" i="11"/>
  <c r="Q297" i="11" s="1"/>
  <c r="F298" i="11"/>
  <c r="Q298" i="11" s="1"/>
  <c r="F299" i="11"/>
  <c r="Q299" i="11" s="1"/>
  <c r="F300" i="11"/>
  <c r="Q300" i="11" s="1"/>
  <c r="F301" i="11"/>
  <c r="Q301" i="11" s="1"/>
  <c r="F302" i="11"/>
  <c r="Q302" i="11" s="1"/>
  <c r="F303" i="11"/>
  <c r="Q303" i="11" s="1"/>
  <c r="F304" i="11"/>
  <c r="Q304" i="11" s="1"/>
  <c r="F305" i="11"/>
  <c r="Q305" i="11" s="1"/>
  <c r="F306" i="11"/>
  <c r="Q306" i="11" s="1"/>
  <c r="F307" i="11"/>
  <c r="Q307" i="11" s="1"/>
  <c r="F308" i="11"/>
  <c r="Q308" i="11" s="1"/>
  <c r="F320" i="11"/>
  <c r="Q320" i="11" s="1"/>
  <c r="F321" i="11"/>
  <c r="Q321" i="11" s="1"/>
  <c r="F322" i="11"/>
  <c r="Q322" i="11" s="1"/>
  <c r="F330" i="11"/>
  <c r="F331" i="11"/>
  <c r="F332" i="11"/>
  <c r="Q332" i="11" s="1"/>
  <c r="F333" i="11"/>
  <c r="Q333" i="11" s="1"/>
  <c r="F337" i="11"/>
  <c r="Q337" i="11" s="1"/>
  <c r="F338" i="11"/>
  <c r="Q338" i="11" s="1"/>
  <c r="F339" i="11"/>
  <c r="Q339" i="11" s="1"/>
  <c r="F340" i="11"/>
  <c r="Q340" i="11" s="1"/>
  <c r="F341" i="11"/>
  <c r="Q341" i="11" s="1"/>
  <c r="F342" i="11"/>
  <c r="Q342" i="11" s="1"/>
  <c r="F343" i="11"/>
  <c r="Q343" i="11" s="1"/>
  <c r="F344" i="11"/>
  <c r="Q344" i="11" s="1"/>
  <c r="F345" i="11"/>
  <c r="Q345" i="11" s="1"/>
  <c r="F346" i="11"/>
  <c r="Q346" i="11" s="1"/>
  <c r="F347" i="11"/>
  <c r="Q347" i="11" s="1"/>
  <c r="F348" i="11"/>
  <c r="Q348" i="11" s="1"/>
  <c r="F349" i="11"/>
  <c r="Q349" i="11" s="1"/>
  <c r="F350" i="11"/>
  <c r="Q350" i="11" s="1"/>
  <c r="F351" i="11"/>
  <c r="Q351" i="11" s="1"/>
  <c r="F352" i="11"/>
  <c r="F353" i="11"/>
  <c r="F354" i="11"/>
  <c r="F355" i="11"/>
  <c r="Q355" i="11" s="1"/>
  <c r="F356" i="11"/>
  <c r="Q356" i="11" s="1"/>
  <c r="F357" i="11"/>
  <c r="Q357" i="11" s="1"/>
  <c r="F358" i="11"/>
  <c r="Q358" i="11" s="1"/>
  <c r="F359" i="11"/>
  <c r="Q359" i="11" s="1"/>
  <c r="F360" i="11"/>
  <c r="Q360" i="11" s="1"/>
  <c r="F361" i="11"/>
  <c r="Q361" i="11" s="1"/>
  <c r="F362" i="11"/>
  <c r="Q362" i="11" s="1"/>
  <c r="F363" i="11"/>
  <c r="Q363" i="11" s="1"/>
  <c r="F364" i="11"/>
  <c r="Q364" i="11" s="1"/>
  <c r="F365" i="11"/>
  <c r="Q365" i="11" s="1"/>
  <c r="F366" i="11"/>
  <c r="Q366" i="11" s="1"/>
  <c r="F367" i="11"/>
  <c r="Q367" i="11" s="1"/>
  <c r="F368" i="11"/>
  <c r="Q368" i="11" s="1"/>
  <c r="F369" i="11"/>
  <c r="Q369" i="11" s="1"/>
  <c r="F370" i="11"/>
  <c r="Q370" i="11" s="1"/>
  <c r="F371" i="11"/>
  <c r="Q371" i="11" s="1"/>
  <c r="F372" i="11"/>
  <c r="Q372" i="11" s="1"/>
  <c r="F376" i="11"/>
  <c r="Q376" i="11" s="1"/>
  <c r="F377" i="11"/>
  <c r="Q377" i="11" s="1"/>
  <c r="F378" i="11"/>
  <c r="Q378" i="11" s="1"/>
  <c r="F379" i="11"/>
  <c r="Q379" i="11" s="1"/>
  <c r="F380" i="11"/>
  <c r="Q380" i="11" s="1"/>
  <c r="F381" i="11"/>
  <c r="Q381" i="11" s="1"/>
  <c r="F385" i="11"/>
  <c r="Q385" i="11" s="1"/>
  <c r="F386" i="11"/>
  <c r="Q386" i="11" s="1"/>
  <c r="F387" i="11"/>
  <c r="Q387" i="11" s="1"/>
  <c r="F388" i="11"/>
  <c r="Q388" i="11" s="1"/>
  <c r="F389" i="11"/>
  <c r="Q389" i="11" s="1"/>
  <c r="F390" i="11"/>
  <c r="Q390" i="11" s="1"/>
  <c r="F395" i="11"/>
  <c r="Q395" i="11" s="1"/>
  <c r="F396" i="11"/>
  <c r="Q396" i="11" s="1"/>
  <c r="F397" i="11"/>
  <c r="Q397" i="11" s="1"/>
  <c r="F400" i="11"/>
  <c r="Q400" i="11" s="1"/>
  <c r="F401" i="11"/>
  <c r="Q401" i="11" s="1"/>
  <c r="F402" i="11"/>
  <c r="Q402" i="11" s="1"/>
  <c r="F403" i="11"/>
  <c r="Q403" i="11" s="1"/>
  <c r="F404" i="11"/>
  <c r="Q404" i="11" s="1"/>
  <c r="F405" i="11"/>
  <c r="Q405" i="11" s="1"/>
  <c r="F406" i="11"/>
  <c r="Q406" i="11" s="1"/>
  <c r="F407" i="11"/>
  <c r="Q407" i="11" s="1"/>
  <c r="F408" i="11"/>
  <c r="Q408" i="11" s="1"/>
  <c r="F409" i="11"/>
  <c r="Q409" i="11" s="1"/>
  <c r="F410" i="11"/>
  <c r="F411" i="11"/>
  <c r="F412" i="11"/>
  <c r="F413" i="11"/>
  <c r="Q413" i="11" s="1"/>
  <c r="F414" i="11"/>
  <c r="Q414" i="11" s="1"/>
  <c r="F415" i="11"/>
  <c r="Q415" i="11" s="1"/>
  <c r="F416" i="11"/>
  <c r="Q416" i="11" s="1"/>
  <c r="F417" i="11"/>
  <c r="Q417" i="11" s="1"/>
  <c r="F418" i="11"/>
  <c r="Q418" i="11" s="1"/>
  <c r="F419" i="11"/>
  <c r="Q419" i="11" s="1"/>
  <c r="F420" i="11"/>
  <c r="Q420" i="11" s="1"/>
  <c r="F421" i="11"/>
  <c r="Q421" i="11" s="1"/>
  <c r="F422" i="11"/>
  <c r="Q422" i="11" s="1"/>
  <c r="F423" i="11"/>
  <c r="Q423" i="11" s="1"/>
  <c r="F424" i="11"/>
  <c r="Q424" i="11" s="1"/>
  <c r="F425" i="11"/>
  <c r="Q425" i="11" s="1"/>
  <c r="F426" i="11"/>
  <c r="Q426" i="11" s="1"/>
  <c r="F427" i="11"/>
  <c r="Q427" i="11" s="1"/>
  <c r="F428" i="11"/>
  <c r="Q428" i="11" s="1"/>
  <c r="F429" i="11"/>
  <c r="Q429" i="11" s="1"/>
  <c r="F430" i="11"/>
  <c r="Q430" i="11" s="1"/>
  <c r="F431" i="11"/>
  <c r="Q431" i="11" s="1"/>
  <c r="F432" i="11"/>
  <c r="Q432" i="11" s="1"/>
  <c r="F433" i="11"/>
  <c r="Q433" i="11" s="1"/>
  <c r="F434" i="11"/>
  <c r="Q434" i="11" s="1"/>
  <c r="F435" i="11"/>
  <c r="Q435" i="11" s="1"/>
  <c r="F437" i="11"/>
  <c r="Q437" i="11" s="1"/>
  <c r="F439" i="11"/>
  <c r="Q439" i="11" s="1"/>
  <c r="F440" i="11"/>
  <c r="Q440" i="11" s="1"/>
  <c r="F441" i="11"/>
  <c r="Q441" i="11" s="1"/>
  <c r="F442" i="11"/>
  <c r="Q442" i="11" s="1"/>
  <c r="F443" i="11"/>
  <c r="Q443" i="11" s="1"/>
  <c r="F444" i="11"/>
  <c r="Q444" i="11" s="1"/>
  <c r="F460" i="11"/>
  <c r="Q460" i="11" s="1"/>
  <c r="F464" i="11"/>
  <c r="Q464" i="11" s="1"/>
  <c r="F467" i="11"/>
  <c r="Q467" i="11" s="1"/>
  <c r="F468" i="11"/>
  <c r="Q468" i="11" s="1"/>
  <c r="F469" i="11"/>
  <c r="Q469" i="11" s="1"/>
  <c r="F470" i="11"/>
  <c r="Q470" i="11" s="1"/>
  <c r="F471" i="11"/>
  <c r="Q471" i="11" s="1"/>
  <c r="F472" i="11"/>
  <c r="Q472" i="11" s="1"/>
  <c r="F473" i="11"/>
  <c r="Q473" i="11" s="1"/>
  <c r="F474" i="11"/>
  <c r="Q474" i="11" s="1"/>
  <c r="F475" i="11"/>
  <c r="Q475" i="11" s="1"/>
  <c r="F476" i="11"/>
  <c r="Q476" i="11" s="1"/>
  <c r="F477" i="11"/>
  <c r="Q477" i="11" s="1"/>
  <c r="F478" i="11"/>
  <c r="Q478" i="11" s="1"/>
  <c r="F479" i="11"/>
  <c r="Q479" i="11" s="1"/>
  <c r="F480" i="11"/>
  <c r="Q480" i="11" s="1"/>
  <c r="F481" i="11"/>
  <c r="Q481" i="11" s="1"/>
  <c r="F482" i="11"/>
  <c r="F483" i="11"/>
  <c r="F484" i="11"/>
  <c r="F485" i="11"/>
  <c r="F486" i="11"/>
  <c r="F487" i="11"/>
  <c r="F488" i="11"/>
  <c r="Q488" i="11" s="1"/>
  <c r="F489" i="11"/>
  <c r="Q489" i="11" s="1"/>
  <c r="F490" i="11"/>
  <c r="Q490" i="11" s="1"/>
  <c r="F491" i="11"/>
  <c r="Q491" i="11" s="1"/>
  <c r="F492" i="11"/>
  <c r="Q492" i="11" s="1"/>
  <c r="F493" i="11"/>
  <c r="Q493" i="11" s="1"/>
  <c r="F494" i="11"/>
  <c r="Q494" i="11" s="1"/>
  <c r="F495" i="11"/>
  <c r="Q495" i="11" s="1"/>
  <c r="F496" i="11"/>
  <c r="Q496" i="11" s="1"/>
  <c r="F497" i="11"/>
  <c r="Q497" i="11" s="1"/>
  <c r="F499" i="11"/>
  <c r="Q499" i="11" s="1"/>
  <c r="F500" i="11"/>
  <c r="Q500" i="11" s="1"/>
  <c r="F501" i="11"/>
  <c r="Q501" i="11" s="1"/>
  <c r="F503" i="11"/>
  <c r="Q503" i="11" s="1"/>
  <c r="P498" i="11"/>
  <c r="P25" i="11" s="1"/>
  <c r="P445" i="11"/>
  <c r="P23" i="11" s="1"/>
  <c r="P438" i="11"/>
  <c r="P436" i="11" s="1"/>
  <c r="P309" i="11"/>
  <c r="P174" i="11"/>
  <c r="P158" i="11"/>
  <c r="P136" i="11"/>
  <c r="P135" i="11" s="1"/>
  <c r="P61" i="11"/>
  <c r="P45" i="11"/>
  <c r="P30" i="11"/>
  <c r="P157" i="11" l="1"/>
  <c r="P156" i="11" s="1"/>
  <c r="P21" i="11" s="1"/>
  <c r="P28" i="11"/>
  <c r="P27" i="11" s="1"/>
  <c r="P20" i="11" s="1"/>
  <c r="P19" i="11" l="1"/>
  <c r="I22" i="11"/>
  <c r="J22" i="11"/>
  <c r="L22" i="11"/>
  <c r="I24" i="11"/>
  <c r="J24" i="11"/>
  <c r="L24" i="11"/>
  <c r="J30" i="11"/>
  <c r="L30" i="11"/>
  <c r="I40" i="11"/>
  <c r="K40" i="11"/>
  <c r="K30" i="11" s="1"/>
  <c r="I41" i="11"/>
  <c r="K41" i="11"/>
  <c r="J45" i="11"/>
  <c r="L45" i="11"/>
  <c r="I55" i="11"/>
  <c r="K55" i="11"/>
  <c r="I56" i="11"/>
  <c r="K56" i="11"/>
  <c r="I57" i="11"/>
  <c r="K57" i="11"/>
  <c r="J61" i="11"/>
  <c r="L61" i="11"/>
  <c r="I77" i="11"/>
  <c r="K77" i="11"/>
  <c r="K61" i="11" s="1"/>
  <c r="J136" i="11"/>
  <c r="L136" i="11"/>
  <c r="L135" i="11" s="1"/>
  <c r="I137" i="11"/>
  <c r="K137" i="11"/>
  <c r="K136" i="11" s="1"/>
  <c r="K135" i="11" s="1"/>
  <c r="I158" i="11"/>
  <c r="L158" i="11"/>
  <c r="I174" i="11"/>
  <c r="J174" i="11"/>
  <c r="K174" i="11"/>
  <c r="K157" i="11" s="1"/>
  <c r="L174" i="11"/>
  <c r="I310" i="11"/>
  <c r="I309" i="11" s="1"/>
  <c r="L309" i="11"/>
  <c r="H329" i="11"/>
  <c r="K333" i="11"/>
  <c r="K334" i="11"/>
  <c r="K335" i="11"/>
  <c r="J352" i="11"/>
  <c r="J353" i="11"/>
  <c r="J354" i="11"/>
  <c r="J410" i="11"/>
  <c r="J411" i="11"/>
  <c r="J412" i="11"/>
  <c r="I438" i="11"/>
  <c r="I436" i="11" s="1"/>
  <c r="J438" i="11"/>
  <c r="K438" i="11"/>
  <c r="K436" i="11" s="1"/>
  <c r="L438" i="11"/>
  <c r="L436" i="11" s="1"/>
  <c r="I445" i="11"/>
  <c r="I23" i="11" s="1"/>
  <c r="K445" i="11"/>
  <c r="K23" i="11" s="1"/>
  <c r="L23" i="11"/>
  <c r="J482" i="11"/>
  <c r="J483" i="11"/>
  <c r="J484" i="11"/>
  <c r="J485" i="11"/>
  <c r="J486" i="11"/>
  <c r="J487" i="11"/>
  <c r="I498" i="11"/>
  <c r="I25" i="11" s="1"/>
  <c r="J498" i="11"/>
  <c r="L498" i="11"/>
  <c r="L25" i="11" s="1"/>
  <c r="K500" i="11"/>
  <c r="K501" i="11"/>
  <c r="G54" i="11"/>
  <c r="R486" i="11" l="1"/>
  <c r="H486" i="11"/>
  <c r="Q486" i="11" s="1"/>
  <c r="H412" i="11"/>
  <c r="Q412" i="11" s="1"/>
  <c r="R412" i="11"/>
  <c r="H485" i="11"/>
  <c r="Q485" i="11" s="1"/>
  <c r="R485" i="11"/>
  <c r="R411" i="11"/>
  <c r="H411" i="11"/>
  <c r="Q411" i="11" s="1"/>
  <c r="J310" i="11"/>
  <c r="R352" i="11"/>
  <c r="H352" i="11"/>
  <c r="Q352" i="11" s="1"/>
  <c r="H484" i="11"/>
  <c r="Q484" i="11" s="1"/>
  <c r="R484" i="11"/>
  <c r="H410" i="11"/>
  <c r="Q410" i="11" s="1"/>
  <c r="R410" i="11"/>
  <c r="R335" i="11"/>
  <c r="S335" i="11"/>
  <c r="K45" i="11"/>
  <c r="K498" i="11"/>
  <c r="K25" i="11" s="1"/>
  <c r="R487" i="11"/>
  <c r="H487" i="11"/>
  <c r="Q487" i="11" s="1"/>
  <c r="R483" i="11"/>
  <c r="H483" i="11"/>
  <c r="Q483" i="11" s="1"/>
  <c r="H354" i="11"/>
  <c r="Q354" i="11" s="1"/>
  <c r="R354" i="11"/>
  <c r="S334" i="11"/>
  <c r="R334" i="11"/>
  <c r="I136" i="11"/>
  <c r="I135" i="11" s="1"/>
  <c r="S137" i="11"/>
  <c r="I61" i="11"/>
  <c r="I45" i="11"/>
  <c r="R55" i="11"/>
  <c r="I30" i="11"/>
  <c r="I28" i="11" s="1"/>
  <c r="R482" i="11"/>
  <c r="H482" i="11"/>
  <c r="Q482" i="11" s="1"/>
  <c r="H353" i="11"/>
  <c r="Q353" i="11" s="1"/>
  <c r="R353" i="11"/>
  <c r="K310" i="11"/>
  <c r="K309" i="11" s="1"/>
  <c r="S333" i="11"/>
  <c r="R333" i="11"/>
  <c r="J25" i="11"/>
  <c r="J436" i="11"/>
  <c r="H61" i="11"/>
  <c r="K156" i="11"/>
  <c r="K21" i="11" s="1"/>
  <c r="L157" i="11"/>
  <c r="L156" i="11" s="1"/>
  <c r="L21" i="11" s="1"/>
  <c r="J157" i="11"/>
  <c r="I157" i="11"/>
  <c r="I156" i="11" s="1"/>
  <c r="I21" i="11" s="1"/>
  <c r="L28" i="11"/>
  <c r="L27" i="11" s="1"/>
  <c r="K28" i="11"/>
  <c r="K27" i="11" s="1"/>
  <c r="K20" i="11" s="1"/>
  <c r="J445" i="11"/>
  <c r="J309" i="11"/>
  <c r="J135" i="11"/>
  <c r="O137" i="11"/>
  <c r="O77" i="11"/>
  <c r="O57" i="11"/>
  <c r="O56" i="11"/>
  <c r="R56" i="11" s="1"/>
  <c r="O55" i="11"/>
  <c r="O40" i="11"/>
  <c r="O39" i="11"/>
  <c r="M178" i="11"/>
  <c r="M177" i="11"/>
  <c r="M137" i="11"/>
  <c r="R137" i="11" s="1"/>
  <c r="M77" i="11"/>
  <c r="S77" i="11" s="1"/>
  <c r="M57" i="11"/>
  <c r="S57" i="11" s="1"/>
  <c r="M56" i="11"/>
  <c r="M55" i="11"/>
  <c r="S55" i="11" s="1"/>
  <c r="M41" i="11"/>
  <c r="S41" i="11" s="1"/>
  <c r="M40" i="11"/>
  <c r="R40" i="11" s="1"/>
  <c r="M39" i="11"/>
  <c r="R178" i="11" l="1"/>
  <c r="S178" i="11"/>
  <c r="R41" i="11"/>
  <c r="R77" i="11"/>
  <c r="S56" i="11"/>
  <c r="R57" i="11"/>
  <c r="S40" i="11"/>
  <c r="S39" i="11"/>
  <c r="R39" i="11"/>
  <c r="S177" i="11"/>
  <c r="R177" i="11"/>
  <c r="K19" i="11"/>
  <c r="I27" i="11"/>
  <c r="J156" i="11"/>
  <c r="J21" i="11" s="1"/>
  <c r="L20" i="11"/>
  <c r="J27" i="11"/>
  <c r="J23" i="11"/>
  <c r="G502" i="11"/>
  <c r="E502" i="11"/>
  <c r="O501" i="11"/>
  <c r="O498" i="11" s="1"/>
  <c r="M501" i="11"/>
  <c r="M500" i="11"/>
  <c r="G499" i="11"/>
  <c r="N498" i="11"/>
  <c r="G497" i="11"/>
  <c r="G470" i="11"/>
  <c r="G469" i="11"/>
  <c r="G468" i="11"/>
  <c r="G467" i="11"/>
  <c r="G466" i="11"/>
  <c r="E466" i="11"/>
  <c r="F466" i="11" s="1"/>
  <c r="Q466" i="11" s="1"/>
  <c r="G465" i="11"/>
  <c r="E465" i="11"/>
  <c r="F465" i="11" s="1"/>
  <c r="Q465" i="11" s="1"/>
  <c r="G463" i="11"/>
  <c r="E463" i="11"/>
  <c r="F463" i="11" s="1"/>
  <c r="Q463" i="11" s="1"/>
  <c r="G462" i="11"/>
  <c r="E462" i="11"/>
  <c r="F462" i="11" s="1"/>
  <c r="Q462" i="11" s="1"/>
  <c r="G461" i="11"/>
  <c r="E461" i="11"/>
  <c r="F461" i="11" s="1"/>
  <c r="Q461" i="11" s="1"/>
  <c r="G460" i="11"/>
  <c r="G459" i="11"/>
  <c r="E459" i="11"/>
  <c r="F459" i="11" s="1"/>
  <c r="Q459" i="11" s="1"/>
  <c r="G458" i="11"/>
  <c r="E458" i="11"/>
  <c r="F458" i="11" s="1"/>
  <c r="Q458" i="11" s="1"/>
  <c r="G457" i="11"/>
  <c r="E457" i="11"/>
  <c r="F457" i="11" s="1"/>
  <c r="Q457" i="11" s="1"/>
  <c r="G456" i="11"/>
  <c r="E456" i="11"/>
  <c r="F456" i="11" s="1"/>
  <c r="Q456" i="11" s="1"/>
  <c r="G455" i="11"/>
  <c r="E455" i="11"/>
  <c r="F455" i="11" s="1"/>
  <c r="Q455" i="11" s="1"/>
  <c r="G454" i="11"/>
  <c r="E454" i="11"/>
  <c r="F454" i="11" s="1"/>
  <c r="Q454" i="11" s="1"/>
  <c r="G453" i="11"/>
  <c r="E453" i="11"/>
  <c r="F453" i="11" s="1"/>
  <c r="Q453" i="11" s="1"/>
  <c r="E452" i="11"/>
  <c r="F452" i="11" s="1"/>
  <c r="Q452" i="11" s="1"/>
  <c r="E451" i="11"/>
  <c r="F451" i="11" s="1"/>
  <c r="Q451" i="11" s="1"/>
  <c r="E450" i="11"/>
  <c r="F450" i="11" s="1"/>
  <c r="Q450" i="11" s="1"/>
  <c r="E449" i="11"/>
  <c r="F449" i="11" s="1"/>
  <c r="Q449" i="11" s="1"/>
  <c r="E448" i="11"/>
  <c r="F448" i="11" s="1"/>
  <c r="Q448" i="11" s="1"/>
  <c r="E447" i="11"/>
  <c r="F447" i="11" s="1"/>
  <c r="Q447" i="11" s="1"/>
  <c r="E446" i="11"/>
  <c r="F446" i="11" s="1"/>
  <c r="Q446" i="11" s="1"/>
  <c r="O445" i="11"/>
  <c r="N445" i="11"/>
  <c r="M445" i="11"/>
  <c r="G441" i="11"/>
  <c r="G440" i="11"/>
  <c r="G439" i="11"/>
  <c r="N438" i="11"/>
  <c r="M438" i="11"/>
  <c r="E438" i="11"/>
  <c r="G437" i="11"/>
  <c r="O436" i="11"/>
  <c r="G435" i="11"/>
  <c r="G434" i="11"/>
  <c r="G433" i="11"/>
  <c r="G432" i="11"/>
  <c r="G431" i="11"/>
  <c r="G430" i="11"/>
  <c r="G429" i="11"/>
  <c r="G428" i="11"/>
  <c r="G427" i="11"/>
  <c r="G426" i="11"/>
  <c r="G400" i="11"/>
  <c r="G399" i="11"/>
  <c r="E399" i="11"/>
  <c r="F399" i="11" s="1"/>
  <c r="Q399" i="11" s="1"/>
  <c r="G398" i="11"/>
  <c r="E398" i="11"/>
  <c r="F398" i="11" s="1"/>
  <c r="Q398" i="11" s="1"/>
  <c r="G397" i="11"/>
  <c r="G396" i="11"/>
  <c r="G395" i="11"/>
  <c r="G394" i="11"/>
  <c r="E394" i="11"/>
  <c r="F394" i="11" s="1"/>
  <c r="Q394" i="11" s="1"/>
  <c r="E393" i="11"/>
  <c r="F393" i="11" s="1"/>
  <c r="Q393" i="11" s="1"/>
  <c r="G392" i="11"/>
  <c r="E392" i="11"/>
  <c r="F392" i="11" s="1"/>
  <c r="Q392" i="11" s="1"/>
  <c r="G391" i="11"/>
  <c r="E391" i="11"/>
  <c r="F391" i="11" s="1"/>
  <c r="Q391" i="11" s="1"/>
  <c r="G390" i="11"/>
  <c r="G389" i="11"/>
  <c r="G388" i="11"/>
  <c r="G387" i="11"/>
  <c r="G386" i="11"/>
  <c r="G385" i="11"/>
  <c r="G384" i="11"/>
  <c r="E384" i="11"/>
  <c r="F384" i="11" s="1"/>
  <c r="Q384" i="11" s="1"/>
  <c r="G383" i="11"/>
  <c r="E383" i="11"/>
  <c r="F383" i="11" s="1"/>
  <c r="Q383" i="11" s="1"/>
  <c r="G382" i="11"/>
  <c r="E382" i="11"/>
  <c r="F382" i="11" s="1"/>
  <c r="Q382" i="11" s="1"/>
  <c r="G381" i="11"/>
  <c r="G380" i="11"/>
  <c r="G379" i="11"/>
  <c r="G378" i="11"/>
  <c r="G377" i="11"/>
  <c r="G376" i="11"/>
  <c r="G375" i="11"/>
  <c r="E375" i="11"/>
  <c r="F375" i="11" s="1"/>
  <c r="Q375" i="11" s="1"/>
  <c r="G374" i="11"/>
  <c r="E374" i="11"/>
  <c r="F374" i="11" s="1"/>
  <c r="Q374" i="11" s="1"/>
  <c r="G373" i="11"/>
  <c r="E373" i="11"/>
  <c r="F373" i="11" s="1"/>
  <c r="Q373" i="11" s="1"/>
  <c r="G337" i="11"/>
  <c r="G336" i="11"/>
  <c r="E336" i="11"/>
  <c r="F336" i="11" s="1"/>
  <c r="Q336" i="11" s="1"/>
  <c r="G335" i="11"/>
  <c r="E335" i="11"/>
  <c r="F335" i="11" s="1"/>
  <c r="Q335" i="11" s="1"/>
  <c r="G334" i="11"/>
  <c r="E334" i="11"/>
  <c r="F334" i="11" s="1"/>
  <c r="Q334" i="11" s="1"/>
  <c r="G333" i="11"/>
  <c r="G332" i="11"/>
  <c r="G331" i="11"/>
  <c r="G330" i="11"/>
  <c r="G329" i="11"/>
  <c r="E329" i="11"/>
  <c r="F329" i="11" s="1"/>
  <c r="G328" i="11"/>
  <c r="E328" i="11"/>
  <c r="F328" i="11" s="1"/>
  <c r="Q328" i="11" s="1"/>
  <c r="G327" i="11"/>
  <c r="E327" i="11"/>
  <c r="F327" i="11" s="1"/>
  <c r="Q327" i="11" s="1"/>
  <c r="G326" i="11"/>
  <c r="E326" i="11"/>
  <c r="F326" i="11" s="1"/>
  <c r="Q326" i="11" s="1"/>
  <c r="G325" i="11"/>
  <c r="E325" i="11"/>
  <c r="F325" i="11" s="1"/>
  <c r="Q325" i="11" s="1"/>
  <c r="G324" i="11"/>
  <c r="E324" i="11"/>
  <c r="F324" i="11" s="1"/>
  <c r="Q324" i="11" s="1"/>
  <c r="G323" i="11"/>
  <c r="E323" i="11"/>
  <c r="F323" i="11" s="1"/>
  <c r="Q323" i="11" s="1"/>
  <c r="G322" i="11"/>
  <c r="G321" i="11"/>
  <c r="G320" i="11"/>
  <c r="E319" i="11"/>
  <c r="F319" i="11" s="1"/>
  <c r="Q319" i="11" s="1"/>
  <c r="E318" i="11"/>
  <c r="F318" i="11" s="1"/>
  <c r="Q318" i="11" s="1"/>
  <c r="E317" i="11"/>
  <c r="F317" i="11" s="1"/>
  <c r="Q317" i="11" s="1"/>
  <c r="E316" i="11"/>
  <c r="F316" i="11" s="1"/>
  <c r="Q316" i="11" s="1"/>
  <c r="E315" i="11"/>
  <c r="F315" i="11" s="1"/>
  <c r="Q315" i="11" s="1"/>
  <c r="E314" i="11"/>
  <c r="F314" i="11" s="1"/>
  <c r="Q314" i="11" s="1"/>
  <c r="E313" i="11"/>
  <c r="F313" i="11" s="1"/>
  <c r="Q313" i="11" s="1"/>
  <c r="E312" i="11"/>
  <c r="F312" i="11" s="1"/>
  <c r="Q312" i="11" s="1"/>
  <c r="E311" i="11"/>
  <c r="F311" i="11" s="1"/>
  <c r="Q311" i="11" s="1"/>
  <c r="O310" i="11"/>
  <c r="M310" i="11"/>
  <c r="G297" i="11"/>
  <c r="G296" i="11"/>
  <c r="G295" i="11"/>
  <c r="G264" i="11"/>
  <c r="G263" i="11"/>
  <c r="G262" i="11"/>
  <c r="G261" i="11"/>
  <c r="G260" i="11"/>
  <c r="G259" i="11"/>
  <c r="G258" i="11"/>
  <c r="G257" i="11"/>
  <c r="G256" i="11"/>
  <c r="G255" i="11"/>
  <c r="E254" i="11"/>
  <c r="F254" i="11" s="1"/>
  <c r="Q254" i="11" s="1"/>
  <c r="E253" i="11"/>
  <c r="F253" i="11" s="1"/>
  <c r="Q253" i="11" s="1"/>
  <c r="G244" i="11"/>
  <c r="G229" i="11"/>
  <c r="G228" i="11"/>
  <c r="G227" i="11"/>
  <c r="G226" i="11"/>
  <c r="G225" i="11"/>
  <c r="G224" i="11"/>
  <c r="G223" i="11"/>
  <c r="G222" i="11"/>
  <c r="G221" i="11"/>
  <c r="G220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E176" i="11"/>
  <c r="F176" i="11" s="1"/>
  <c r="Q176" i="11" s="1"/>
  <c r="E175" i="11"/>
  <c r="F175" i="11" s="1"/>
  <c r="Q175" i="11" s="1"/>
  <c r="O174" i="11"/>
  <c r="N174" i="11"/>
  <c r="M174" i="11"/>
  <c r="G169" i="11"/>
  <c r="G168" i="11"/>
  <c r="G167" i="11"/>
  <c r="G166" i="11"/>
  <c r="G165" i="11"/>
  <c r="G164" i="11"/>
  <c r="G163" i="11"/>
  <c r="G162" i="11"/>
  <c r="G161" i="11"/>
  <c r="G160" i="11"/>
  <c r="G159" i="11"/>
  <c r="N158" i="11"/>
  <c r="E158" i="11"/>
  <c r="F158" i="11" s="1"/>
  <c r="G143" i="11"/>
  <c r="E143" i="11"/>
  <c r="F143" i="11" s="1"/>
  <c r="Q143" i="11" s="1"/>
  <c r="G142" i="11"/>
  <c r="G141" i="11"/>
  <c r="G140" i="11"/>
  <c r="G139" i="11"/>
  <c r="G138" i="11"/>
  <c r="E137" i="11"/>
  <c r="F137" i="11" s="1"/>
  <c r="Q137" i="11" s="1"/>
  <c r="G137" i="11"/>
  <c r="O136" i="11"/>
  <c r="N136" i="11"/>
  <c r="M136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84" i="11"/>
  <c r="G83" i="11"/>
  <c r="G82" i="11"/>
  <c r="G77" i="11"/>
  <c r="E76" i="11"/>
  <c r="F76" i="11" s="1"/>
  <c r="Q76" i="11" s="1"/>
  <c r="E75" i="11"/>
  <c r="F75" i="11" s="1"/>
  <c r="Q75" i="11" s="1"/>
  <c r="E74" i="11"/>
  <c r="F74" i="11" s="1"/>
  <c r="Q74" i="11" s="1"/>
  <c r="E73" i="11"/>
  <c r="F73" i="11" s="1"/>
  <c r="Q73" i="11" s="1"/>
  <c r="E72" i="11"/>
  <c r="F72" i="11" s="1"/>
  <c r="Q72" i="11" s="1"/>
  <c r="E71" i="11"/>
  <c r="F71" i="11" s="1"/>
  <c r="Q71" i="11" s="1"/>
  <c r="E70" i="11"/>
  <c r="F70" i="11" s="1"/>
  <c r="Q70" i="11" s="1"/>
  <c r="E69" i="11"/>
  <c r="F69" i="11" s="1"/>
  <c r="Q69" i="11" s="1"/>
  <c r="E68" i="11"/>
  <c r="F68" i="11" s="1"/>
  <c r="Q68" i="11" s="1"/>
  <c r="E67" i="11"/>
  <c r="F67" i="11" s="1"/>
  <c r="Q67" i="11" s="1"/>
  <c r="E66" i="11"/>
  <c r="F66" i="11" s="1"/>
  <c r="Q66" i="11" s="1"/>
  <c r="E65" i="11"/>
  <c r="F65" i="11" s="1"/>
  <c r="Q65" i="11" s="1"/>
  <c r="E64" i="11"/>
  <c r="F64" i="11" s="1"/>
  <c r="Q64" i="11" s="1"/>
  <c r="E63" i="11"/>
  <c r="F63" i="11" s="1"/>
  <c r="Q63" i="11" s="1"/>
  <c r="E62" i="11"/>
  <c r="F62" i="11" s="1"/>
  <c r="Q62" i="11" s="1"/>
  <c r="O61" i="11"/>
  <c r="M61" i="11"/>
  <c r="G60" i="11"/>
  <c r="G59" i="11"/>
  <c r="G58" i="11"/>
  <c r="G57" i="11"/>
  <c r="G56" i="11"/>
  <c r="G55" i="11"/>
  <c r="E53" i="11"/>
  <c r="F53" i="11" s="1"/>
  <c r="Q53" i="11" s="1"/>
  <c r="E52" i="11"/>
  <c r="F52" i="11" s="1"/>
  <c r="Q52" i="11" s="1"/>
  <c r="E51" i="11"/>
  <c r="F51" i="11" s="1"/>
  <c r="Q51" i="11" s="1"/>
  <c r="E50" i="11"/>
  <c r="F50" i="11" s="1"/>
  <c r="Q50" i="11" s="1"/>
  <c r="E49" i="11"/>
  <c r="F49" i="11" s="1"/>
  <c r="Q49" i="11" s="1"/>
  <c r="E48" i="11"/>
  <c r="F48" i="11" s="1"/>
  <c r="Q48" i="11" s="1"/>
  <c r="E47" i="11"/>
  <c r="F47" i="11" s="1"/>
  <c r="Q47" i="11" s="1"/>
  <c r="E46" i="11"/>
  <c r="F46" i="11" s="1"/>
  <c r="Q46" i="11" s="1"/>
  <c r="O45" i="11"/>
  <c r="N45" i="11"/>
  <c r="M45" i="11"/>
  <c r="G44" i="11"/>
  <c r="G42" i="11"/>
  <c r="G41" i="11"/>
  <c r="G40" i="11"/>
  <c r="G39" i="11"/>
  <c r="E38" i="11"/>
  <c r="F38" i="11" s="1"/>
  <c r="Q38" i="11" s="1"/>
  <c r="E37" i="11"/>
  <c r="F37" i="11" s="1"/>
  <c r="Q37" i="11" s="1"/>
  <c r="E36" i="11"/>
  <c r="F36" i="11" s="1"/>
  <c r="Q36" i="11" s="1"/>
  <c r="E35" i="11"/>
  <c r="F35" i="11" s="1"/>
  <c r="Q35" i="11" s="1"/>
  <c r="E34" i="11"/>
  <c r="F34" i="11" s="1"/>
  <c r="Q34" i="11" s="1"/>
  <c r="E33" i="11"/>
  <c r="F33" i="11" s="1"/>
  <c r="Q33" i="11" s="1"/>
  <c r="E32" i="11"/>
  <c r="F32" i="11" s="1"/>
  <c r="Q32" i="11" s="1"/>
  <c r="E31" i="11"/>
  <c r="F31" i="11" s="1"/>
  <c r="Q31" i="11" s="1"/>
  <c r="O30" i="11"/>
  <c r="N30" i="11"/>
  <c r="H30" i="11" s="1"/>
  <c r="M30" i="11"/>
  <c r="G26" i="11"/>
  <c r="N24" i="11"/>
  <c r="E24" i="11"/>
  <c r="F24" i="11" s="1"/>
  <c r="N22" i="11"/>
  <c r="E22" i="11"/>
  <c r="F22" i="11" s="1"/>
  <c r="B18" i="11"/>
  <c r="C18" i="11" s="1"/>
  <c r="D18" i="11" s="1"/>
  <c r="E18" i="11" s="1"/>
  <c r="F18" i="11" s="1"/>
  <c r="G18" i="11" s="1"/>
  <c r="S500" i="11" l="1"/>
  <c r="R500" i="11"/>
  <c r="E498" i="11"/>
  <c r="F498" i="11" s="1"/>
  <c r="F502" i="11"/>
  <c r="Q502" i="11" s="1"/>
  <c r="R501" i="11"/>
  <c r="S501" i="11"/>
  <c r="R445" i="11"/>
  <c r="S445" i="11"/>
  <c r="H174" i="11"/>
  <c r="R174" i="11"/>
  <c r="S174" i="11"/>
  <c r="H22" i="11"/>
  <c r="Q22" i="11" s="1"/>
  <c r="R22" i="11"/>
  <c r="S438" i="11"/>
  <c r="H438" i="11"/>
  <c r="R438" i="11"/>
  <c r="S45" i="11"/>
  <c r="H45" i="11"/>
  <c r="R45" i="11"/>
  <c r="H24" i="11"/>
  <c r="Q24" i="11" s="1"/>
  <c r="R24" i="11"/>
  <c r="H158" i="11"/>
  <c r="Q158" i="11" s="1"/>
  <c r="R158" i="11"/>
  <c r="S158" i="11"/>
  <c r="E436" i="11"/>
  <c r="F436" i="11" s="1"/>
  <c r="F438" i="11"/>
  <c r="S136" i="11"/>
  <c r="H136" i="11"/>
  <c r="R136" i="11"/>
  <c r="H310" i="11"/>
  <c r="R310" i="11"/>
  <c r="S310" i="11"/>
  <c r="H498" i="11"/>
  <c r="R61" i="11"/>
  <c r="S61" i="11"/>
  <c r="E25" i="11"/>
  <c r="F25" i="11" s="1"/>
  <c r="S30" i="11"/>
  <c r="R30" i="11"/>
  <c r="I20" i="11"/>
  <c r="N23" i="11"/>
  <c r="H23" i="11" s="1"/>
  <c r="H445" i="11"/>
  <c r="L19" i="11"/>
  <c r="N135" i="11"/>
  <c r="N309" i="11"/>
  <c r="N25" i="11"/>
  <c r="J20" i="11"/>
  <c r="N436" i="11"/>
  <c r="H18" i="1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O309" i="11"/>
  <c r="M23" i="11"/>
  <c r="O25" i="11"/>
  <c r="G24" i="11"/>
  <c r="O28" i="11"/>
  <c r="E136" i="11"/>
  <c r="G22" i="11"/>
  <c r="G158" i="11"/>
  <c r="O23" i="11"/>
  <c r="O157" i="11"/>
  <c r="O135" i="11"/>
  <c r="M28" i="11"/>
  <c r="M436" i="11"/>
  <c r="M309" i="11"/>
  <c r="M157" i="11"/>
  <c r="M135" i="11"/>
  <c r="G438" i="11"/>
  <c r="G30" i="11"/>
  <c r="N28" i="11"/>
  <c r="H28" i="11" s="1"/>
  <c r="E310" i="11"/>
  <c r="E174" i="11"/>
  <c r="E61" i="11"/>
  <c r="F61" i="11" s="1"/>
  <c r="Q61" i="11" s="1"/>
  <c r="G136" i="11"/>
  <c r="G174" i="11"/>
  <c r="G61" i="11"/>
  <c r="E30" i="11"/>
  <c r="F30" i="11" s="1"/>
  <c r="Q30" i="11" s="1"/>
  <c r="E45" i="11"/>
  <c r="F45" i="11" s="1"/>
  <c r="N157" i="11"/>
  <c r="G45" i="11"/>
  <c r="G445" i="11"/>
  <c r="E445" i="11"/>
  <c r="G310" i="11"/>
  <c r="M498" i="11"/>
  <c r="S498" i="11" s="1"/>
  <c r="G501" i="11"/>
  <c r="G500" i="11"/>
  <c r="R498" i="11" l="1"/>
  <c r="Q438" i="11"/>
  <c r="R23" i="11"/>
  <c r="H25" i="11"/>
  <c r="Q25" i="11" s="1"/>
  <c r="H157" i="11"/>
  <c r="R157" i="11"/>
  <c r="S157" i="11"/>
  <c r="E23" i="11"/>
  <c r="F23" i="11" s="1"/>
  <c r="Q23" i="11" s="1"/>
  <c r="F445" i="11"/>
  <c r="Q445" i="11" s="1"/>
  <c r="Q45" i="11"/>
  <c r="R436" i="11"/>
  <c r="H436" i="11"/>
  <c r="Q436" i="11" s="1"/>
  <c r="S436" i="11"/>
  <c r="S135" i="11"/>
  <c r="R135" i="11"/>
  <c r="H135" i="11"/>
  <c r="Q498" i="11"/>
  <c r="S23" i="11"/>
  <c r="E157" i="11"/>
  <c r="F157" i="11" s="1"/>
  <c r="F174" i="11"/>
  <c r="Q174" i="11" s="1"/>
  <c r="E309" i="11"/>
  <c r="F309" i="11" s="1"/>
  <c r="F310" i="11"/>
  <c r="Q310" i="11" s="1"/>
  <c r="H309" i="11"/>
  <c r="S309" i="11"/>
  <c r="R309" i="11"/>
  <c r="S28" i="11"/>
  <c r="R28" i="11"/>
  <c r="I19" i="11"/>
  <c r="E135" i="11"/>
  <c r="F135" i="11" s="1"/>
  <c r="F136" i="11"/>
  <c r="Q136" i="11" s="1"/>
  <c r="J19" i="11"/>
  <c r="N156" i="11"/>
  <c r="N27" i="11"/>
  <c r="H27" i="11" s="1"/>
  <c r="O156" i="11"/>
  <c r="O21" i="11" s="1"/>
  <c r="G23" i="11"/>
  <c r="O27" i="11"/>
  <c r="G135" i="11"/>
  <c r="M25" i="11"/>
  <c r="R25" i="11" s="1"/>
  <c r="M156" i="11"/>
  <c r="M27" i="11"/>
  <c r="G436" i="11"/>
  <c r="G28" i="11"/>
  <c r="G309" i="11"/>
  <c r="G498" i="11"/>
  <c r="G157" i="11"/>
  <c r="E28" i="11"/>
  <c r="Q157" i="11" l="1"/>
  <c r="E156" i="11"/>
  <c r="E21" i="11" s="1"/>
  <c r="F21" i="11" s="1"/>
  <c r="S25" i="11"/>
  <c r="Q135" i="11"/>
  <c r="Q309" i="11"/>
  <c r="H156" i="11"/>
  <c r="S156" i="11"/>
  <c r="R156" i="11"/>
  <c r="S27" i="11"/>
  <c r="R27" i="11"/>
  <c r="E27" i="11"/>
  <c r="E20" i="11" s="1"/>
  <c r="F20" i="11" s="1"/>
  <c r="F28" i="11"/>
  <c r="Q28" i="11" s="1"/>
  <c r="N21" i="11"/>
  <c r="N20" i="11"/>
  <c r="H20" i="11" s="1"/>
  <c r="O20" i="11"/>
  <c r="M21" i="11"/>
  <c r="M20" i="11"/>
  <c r="G25" i="11"/>
  <c r="G27" i="11"/>
  <c r="G156" i="11"/>
  <c r="Q20" i="11" l="1"/>
  <c r="F156" i="11"/>
  <c r="Q156" i="11" s="1"/>
  <c r="F27" i="11"/>
  <c r="Q27" i="11" s="1"/>
  <c r="H21" i="11"/>
  <c r="Q21" i="11" s="1"/>
  <c r="S21" i="11"/>
  <c r="R21" i="11"/>
  <c r="R20" i="11"/>
  <c r="S20" i="11"/>
  <c r="E19" i="11"/>
  <c r="N19" i="11"/>
  <c r="H19" i="11" s="1"/>
  <c r="O19" i="11"/>
  <c r="M19" i="11"/>
  <c r="G20" i="11"/>
  <c r="G21" i="11"/>
  <c r="S19" i="11" l="1"/>
  <c r="R19" i="11"/>
  <c r="G19" i="11"/>
  <c r="F19" i="11" l="1"/>
  <c r="Q19" i="11" s="1"/>
</calcChain>
</file>

<file path=xl/sharedStrings.xml><?xml version="1.0" encoding="utf-8"?>
<sst xmlns="http://schemas.openxmlformats.org/spreadsheetml/2006/main" count="1775" uniqueCount="993">
  <si>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</si>
  <si>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</si>
  <si>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</si>
  <si>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</si>
  <si>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</si>
  <si>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</si>
  <si>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</si>
  <si>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</si>
  <si>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</si>
  <si>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</si>
  <si>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</si>
  <si>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</si>
  <si>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</si>
  <si>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</si>
  <si>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</si>
  <si>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</si>
  <si>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</si>
  <si>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</si>
  <si>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</si>
  <si>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</si>
  <si>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</si>
  <si>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</si>
  <si>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</si>
  <si>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</si>
  <si>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</si>
  <si>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</si>
  <si>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</si>
  <si>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</si>
  <si>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</si>
  <si>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</si>
  <si>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</si>
  <si>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</si>
  <si>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</si>
  <si>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</si>
  <si>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</si>
  <si>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</si>
  <si>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</si>
  <si>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</si>
  <si>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</si>
  <si>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</si>
  <si>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</si>
  <si>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</si>
  <si>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</si>
  <si>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</si>
  <si>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</si>
  <si>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</si>
  <si>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</si>
  <si>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</si>
  <si>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</si>
  <si>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</si>
  <si>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</si>
  <si>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</si>
  <si>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</si>
  <si>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</si>
  <si>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</si>
  <si>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</si>
  <si>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</si>
  <si>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</si>
  <si>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</si>
  <si>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</si>
  <si>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</si>
  <si>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</si>
  <si>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</si>
  <si>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</si>
  <si>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</si>
  <si>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</si>
  <si>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</si>
  <si>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</si>
  <si>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</si>
  <si>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</si>
  <si>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</si>
  <si>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</si>
  <si>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</si>
  <si>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</si>
  <si>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</si>
  <si>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</si>
  <si>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</si>
  <si>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</si>
  <si>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</si>
  <si>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</si>
  <si>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</si>
  <si>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</si>
  <si>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</si>
  <si>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</si>
  <si>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</si>
  <si>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</si>
  <si>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</si>
  <si>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</si>
  <si>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</si>
  <si>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</si>
  <si>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</si>
  <si>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</si>
  <si>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</si>
  <si>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</si>
  <si>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</si>
  <si>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</si>
  <si>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</si>
  <si>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</si>
  <si>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</si>
  <si>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</si>
  <si>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</si>
  <si>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</si>
  <si>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</si>
  <si>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</si>
  <si>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</si>
  <si>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</si>
  <si>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</si>
  <si>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</si>
  <si>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</si>
  <si>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</si>
  <si>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</si>
  <si>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</si>
  <si>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</si>
  <si>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</si>
  <si>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</si>
  <si>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</si>
  <si>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</si>
  <si>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</si>
  <si>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</si>
  <si>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</si>
  <si>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</si>
  <si>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</si>
  <si>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</si>
  <si>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</si>
  <si>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</si>
  <si>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</si>
  <si>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</si>
  <si>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</si>
  <si>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</si>
  <si>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</si>
  <si>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</si>
  <si>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</si>
  <si>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</si>
  <si>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</si>
  <si>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</si>
  <si>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</si>
  <si>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</si>
  <si>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</si>
  <si>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</si>
  <si>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</si>
  <si>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</si>
  <si>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</si>
  <si>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</si>
  <si>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</si>
  <si>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</si>
  <si>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</si>
  <si>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</si>
  <si>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</si>
  <si>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</si>
  <si>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</si>
  <si>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</si>
  <si>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</si>
  <si>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</si>
  <si>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</si>
  <si>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</si>
  <si>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</si>
  <si>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</si>
  <si>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</si>
  <si>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</si>
  <si>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</si>
  <si>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</si>
  <si>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</si>
  <si>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</si>
  <si>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</si>
  <si>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</si>
  <si>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</si>
  <si>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</si>
  <si>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</si>
  <si>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</si>
  <si>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</si>
  <si>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</si>
  <si>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</si>
  <si>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</si>
  <si>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</si>
  <si>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</si>
  <si>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</si>
  <si>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</si>
  <si>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</si>
  <si>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</si>
  <si>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</si>
  <si>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</si>
  <si>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</si>
  <si>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</si>
  <si>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</si>
  <si>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</si>
  <si>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</si>
  <si>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</si>
  <si>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</si>
  <si>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</si>
  <si>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</si>
  <si>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</si>
  <si>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</si>
  <si>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</si>
  <si>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</si>
  <si>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</si>
  <si>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</si>
  <si>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</si>
  <si>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</si>
  <si>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</si>
  <si>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</si>
  <si>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</si>
  <si>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</si>
  <si>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</si>
  <si>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</si>
  <si>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</si>
  <si>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</si>
  <si>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</si>
  <si>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</si>
  <si>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</si>
  <si>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</si>
  <si>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</si>
  <si>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</si>
  <si>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</si>
  <si>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</si>
  <si>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</si>
  <si>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</si>
  <si>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</si>
  <si>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</si>
  <si>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</si>
  <si>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</si>
  <si>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</si>
  <si>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</si>
  <si>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</si>
  <si>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</si>
  <si>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</si>
  <si>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</si>
  <si>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</si>
  <si>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</si>
  <si>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</si>
  <si>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</si>
  <si>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</si>
  <si>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</si>
  <si>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</si>
  <si>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</si>
  <si>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</si>
  <si>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</si>
  <si>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</si>
  <si>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</si>
  <si>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</si>
  <si>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</si>
  <si>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</si>
  <si>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</si>
  <si>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</si>
  <si>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</si>
  <si>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</si>
  <si>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</si>
  <si>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</si>
  <si>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</si>
  <si>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</si>
  <si>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</si>
  <si>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</si>
  <si>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</si>
  <si>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</si>
  <si>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</si>
  <si>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</si>
  <si>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</si>
  <si>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</si>
  <si>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</si>
  <si>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</si>
  <si>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</si>
  <si>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</si>
  <si>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</si>
  <si>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</si>
  <si>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</si>
  <si>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</si>
  <si>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</si>
  <si>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</si>
  <si>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</si>
  <si>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</si>
  <si>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</si>
  <si>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</si>
  <si>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</si>
  <si>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</si>
  <si>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</si>
  <si>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</si>
  <si>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</si>
  <si>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</si>
  <si>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</si>
  <si>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</si>
  <si>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</si>
  <si>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</si>
  <si>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</si>
  <si>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</si>
  <si>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</si>
  <si>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</si>
  <si>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</si>
  <si>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</si>
  <si>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</si>
  <si>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</si>
  <si>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</si>
  <si>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</si>
  <si>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</si>
  <si>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</si>
  <si>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</si>
  <si>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</si>
  <si>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</si>
  <si>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</si>
  <si>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</si>
  <si>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</si>
  <si>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</si>
  <si>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</si>
  <si>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</si>
  <si>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</si>
  <si>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</si>
  <si>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</si>
  <si>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</si>
  <si>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</si>
  <si>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</si>
  <si>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</si>
  <si>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</si>
  <si>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</si>
  <si>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</si>
  <si>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</si>
  <si>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</si>
  <si>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</si>
  <si>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</si>
  <si>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</si>
  <si>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</si>
  <si>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</si>
  <si>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>Отчет о реализации инвестиционной программы акционерного общества  "Воронежская горэлектросеть"</t>
  </si>
  <si>
    <t xml:space="preserve">Фактический объем финансирования капитальных вложений на  01.01. 2019 года, млн. рублей 
(с НДС) </t>
  </si>
  <si>
    <t>Финансирование капитальных вложений 2019 года , млн. рублей (с НДС)</t>
  </si>
  <si>
    <t xml:space="preserve">Остаток финансирования капитальных вложений 
на  01.01.2019 года   в прогнозных ценах соответствующих лет,  млн. рублей (с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</si>
  <si>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</si>
  <si>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</si>
  <si>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</si>
  <si>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</si>
  <si>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</si>
  <si>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</si>
  <si>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 xml:space="preserve">РП-39, пр-т Патриотов, 45/б </t>
  </si>
  <si>
    <t>ТП-607, ул. Г. Сибиряков, 12/е</t>
  </si>
  <si>
    <t>ТП-548, ул. Рязанская, д. 117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</si>
  <si>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</si>
  <si>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</si>
  <si>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</si>
  <si>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</si>
  <si>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</si>
  <si>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</si>
  <si>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</si>
  <si>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</si>
  <si>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</si>
  <si>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</si>
  <si>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</si>
  <si>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</si>
  <si>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</si>
  <si>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</si>
  <si>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</si>
  <si>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</si>
  <si>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</si>
  <si>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</si>
  <si>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</si>
  <si>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</si>
  <si>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</si>
  <si>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</si>
  <si>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</si>
  <si>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</si>
  <si>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</si>
  <si>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</si>
  <si>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</si>
  <si>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</si>
  <si>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</si>
  <si>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</si>
  <si>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</si>
  <si>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</si>
  <si>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</si>
  <si>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</si>
  <si>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</si>
  <si>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</si>
  <si>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</si>
  <si>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</si>
  <si>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</si>
  <si>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</si>
  <si>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</si>
  <si>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</si>
  <si>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</si>
  <si>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</si>
  <si>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</si>
  <si>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</si>
  <si>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</si>
  <si>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</si>
  <si>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</si>
  <si>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</si>
  <si>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</si>
  <si>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</si>
  <si>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</si>
  <si>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</si>
  <si>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</si>
  <si>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</si>
  <si>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</si>
  <si>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</si>
  <si>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</si>
  <si>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</si>
  <si>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</si>
  <si>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</si>
  <si>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</si>
  <si>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</si>
  <si>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</si>
  <si>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</si>
  <si>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</si>
  <si>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</si>
  <si>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</si>
  <si>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</si>
  <si>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</si>
  <si>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</si>
  <si>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</si>
  <si>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</si>
  <si>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</si>
  <si>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</si>
  <si>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</si>
  <si>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</si>
  <si>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</si>
  <si>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</si>
  <si>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</si>
  <si>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</si>
  <si>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</si>
  <si>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</si>
  <si>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Приобретение автотранспорта по инвестиционной программе 2018 года.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</si>
  <si>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</si>
  <si>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</si>
  <si>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</si>
  <si>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</si>
  <si>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</si>
  <si>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</si>
  <si>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</si>
  <si>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</si>
  <si>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</si>
  <si>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</si>
  <si>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</si>
  <si>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</si>
  <si>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</si>
  <si>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</si>
  <si>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</si>
  <si>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</si>
  <si>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</si>
  <si>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</si>
  <si>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</si>
  <si>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</si>
  <si>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</si>
  <si>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</si>
  <si>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Стр-во КТП 1х250 взамен КТП-869 (трансформаторная мощность 0,25 МВА)</t>
  </si>
  <si>
    <t>F_15/2.2.5.5</t>
  </si>
  <si>
    <t>Прокладка КЛ от ТП-1256 до места соед. С КЛ в сторону ТП-676 (протяженность по трассе 1,10км)</t>
  </si>
  <si>
    <t>H_17/2.1.3.1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</si>
  <si>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</si>
  <si>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</si>
  <si>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</si>
  <si>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</si>
  <si>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ТП-1007 КЛ-1(ОАО "Центрторг") Генерала Лизюкова,62</t>
  </si>
  <si>
    <t>F_15/1.1.3.28</t>
  </si>
  <si>
    <t>Реконструкция КЛ 6,10кВ РП-28-ТП-896</t>
  </si>
  <si>
    <t>I_18/1.1.3.22</t>
  </si>
  <si>
    <t xml:space="preserve">Вынос КЛ-6кВ: ТП-1093-ТП-1757, ТП-1098-ТП-1757, ТП-1196-ТП-1757 из зоны стр-ва Корольковой, 59,61 </t>
  </si>
  <si>
    <t>H_17/1.1.4.15</t>
  </si>
  <si>
    <t>Вынос КТП-1622 п.Репное (Когтев С.А.)</t>
  </si>
  <si>
    <t>G_16/1.3.7.8</t>
  </si>
  <si>
    <t>Платонова 15 вынос КЛ-6 кВ ТП-140-ТП-1239,ТП-19-ТП-1239(Воронежбетон)</t>
  </si>
  <si>
    <t>F_15/1.1.3.29</t>
  </si>
  <si>
    <t>Реконструкция КЛ 6,10кВ РП-21-ТП-751</t>
  </si>
  <si>
    <t>I_18/1.1.3.23</t>
  </si>
  <si>
    <t>Реконструкция КЛ 0,4 кВ ТП-10</t>
  </si>
  <si>
    <t>E_18/1.1.2.19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</si>
  <si>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</si>
  <si>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</si>
  <si>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</si>
  <si>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</si>
  <si>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</si>
  <si>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</si>
  <si>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</si>
  <si>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</si>
  <si>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Реконструкция низковольтного оборудования в ТП-339</t>
  </si>
  <si>
    <t>I_18/1.5.25.А.</t>
  </si>
  <si>
    <t>Строительство КЛ-0,4 кВ ТП-396, ул. Брусилова, д. 4Е(ООО Фрегат)</t>
  </si>
  <si>
    <t>I_18/2.2.7.36</t>
  </si>
  <si>
    <t>Реконструкция низковольтногооборудования в ТП-910</t>
  </si>
  <si>
    <t>I_18/1.5.16.А.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</si>
  <si>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</si>
  <si>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</si>
  <si>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</si>
  <si>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</si>
  <si>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</si>
  <si>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</si>
  <si>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</si>
  <si>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</si>
  <si>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</si>
  <si>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</si>
  <si>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</si>
  <si>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</si>
  <si>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</si>
  <si>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</si>
  <si>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</si>
  <si>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</si>
  <si>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</si>
  <si>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</si>
  <si>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КЛ-6-10 кВ для технологического присоединения. Новое строительство (протяженность 4,036 км)</t>
  </si>
  <si>
    <t>E_18/00033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</si>
  <si>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</si>
  <si>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</si>
  <si>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</si>
  <si>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</si>
  <si>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</si>
  <si>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</si>
  <si>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КЛ-10 кВ для технологического присоединения. Новое строительство (протяженность -  2,819 км)</t>
  </si>
  <si>
    <t>H_17/00081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</si>
  <si>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</si>
  <si>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</si>
  <si>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</si>
  <si>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</si>
  <si>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ТП с одним трансформатором 0,63 МВА. по договору Т.П. (до 670 кВт) №1017 от 18.08.2014</t>
  </si>
  <si>
    <t>E_18/00012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</si>
  <si>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</si>
  <si>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</si>
  <si>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</si>
  <si>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</si>
  <si>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</si>
  <si>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</si>
  <si>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</si>
  <si>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</si>
  <si>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</si>
  <si>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</si>
  <si>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</si>
  <si>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</si>
  <si>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</si>
  <si>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</si>
  <si>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</si>
  <si>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</si>
  <si>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Выполнение проектных работ по договору Т.П. (от 150 до 670 кВт) №750 от 11.06.2014</t>
  </si>
  <si>
    <t>E_18/00053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</si>
  <si>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</si>
  <si>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</si>
  <si>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</si>
  <si>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</si>
  <si>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>Реконструкция ВЛ-0,4кВ для технологического присоединения от ТП-728 (протяженность по трассе 0,159 км)</t>
  </si>
  <si>
    <t>ТП-1188, ул. Минская, 43/3</t>
  </si>
  <si>
    <t>ТП-218А ул.Шишкова 65(11-432) Киоск (ИП Маслов Е.В.)</t>
  </si>
  <si>
    <t>ТП-65 КЛ-1 кВ ул.Краснознаменная 90 (ООО Дизайн)</t>
  </si>
  <si>
    <t>Реконструкция ВЛ-0,4кВ для технологического присоединения от ТП-19 (протяженность по трассе 0,120км)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</si>
  <si>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</si>
  <si>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</si>
  <si>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</si>
  <si>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</si>
  <si>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</si>
  <si>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</si>
  <si>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</si>
  <si>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</si>
  <si>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</si>
  <si>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</si>
  <si>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</si>
  <si>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</si>
  <si>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</si>
  <si>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</si>
  <si>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</si>
  <si>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</si>
  <si>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</si>
  <si>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</si>
  <si>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</si>
  <si>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</si>
  <si>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</si>
  <si>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</si>
  <si>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</si>
  <si>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</si>
  <si>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</si>
  <si>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</si>
  <si>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</si>
  <si>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</si>
  <si>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</si>
  <si>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</si>
  <si>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</si>
  <si>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</si>
  <si>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</si>
  <si>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Реконструкция высоковольтного оборудования (замена трансформатора 1х250) ТП-1721(б/у)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</si>
  <si>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</si>
  <si>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</si>
  <si>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</si>
  <si>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</si>
  <si>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</si>
  <si>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</si>
  <si>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</si>
  <si>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</si>
  <si>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</si>
  <si>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</si>
  <si>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</si>
  <si>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</si>
  <si>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</si>
  <si>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</si>
  <si>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</si>
  <si>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</si>
  <si>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</si>
  <si>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</si>
  <si>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</si>
  <si>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</si>
  <si>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</si>
  <si>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</si>
  <si>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</si>
  <si>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</si>
  <si>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</si>
  <si>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</si>
  <si>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</si>
  <si>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</si>
  <si>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</si>
  <si>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</si>
  <si>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</si>
  <si>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</si>
  <si>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</si>
  <si>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</si>
  <si>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</si>
  <si>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</si>
  <si>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</si>
  <si>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</si>
  <si>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</si>
  <si>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</si>
  <si>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</si>
  <si>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</si>
  <si>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</si>
  <si>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</si>
  <si>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</si>
  <si>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</si>
  <si>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</si>
  <si>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</si>
  <si>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</si>
  <si>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</si>
  <si>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</si>
  <si>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</si>
  <si>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</si>
  <si>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</si>
  <si>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</si>
  <si>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</si>
  <si>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</si>
  <si>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Вынос КЛ-0,4кВ ТП-1823 -до опоры №23 в ст.  ж/д 5 пер.Старинный (протяженностью 0,070км)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</si>
  <si>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</si>
  <si>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</si>
  <si>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</si>
  <si>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Вынос КЛ-6кВ ТП-1823 до М-7 в ТП-1451(протяженностью 0,0932км)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</si>
  <si>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</si>
  <si>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</si>
  <si>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</si>
  <si>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</si>
  <si>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</si>
  <si>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</si>
  <si>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</si>
  <si>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</si>
  <si>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</si>
  <si>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</si>
  <si>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</si>
  <si>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</si>
  <si>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</si>
  <si>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</si>
  <si>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</si>
  <si>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</si>
  <si>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</si>
  <si>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</si>
  <si>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</si>
  <si>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</si>
  <si>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</si>
  <si>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</si>
  <si>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</si>
  <si>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</si>
  <si>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</si>
  <si>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</si>
  <si>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</si>
  <si>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</si>
  <si>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</si>
  <si>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</si>
  <si>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</si>
  <si>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</si>
  <si>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</si>
  <si>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</si>
  <si>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</si>
  <si>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</si>
  <si>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</si>
  <si>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ТП-201А (протяженность по трассе 0,020км)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</si>
  <si>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</si>
  <si>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</si>
  <si>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Стр-во КТП 1х630 с выносом взамен КТП-734 по адресу:  с/х выставка, парк Динамо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</si>
  <si>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</si>
  <si>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</si>
  <si>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ТП-65, ул.Краснознаменная 90 (ООО Дизайн)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</si>
  <si>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</si>
  <si>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</si>
  <si>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</si>
  <si>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</si>
  <si>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</si>
  <si>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</si>
  <si>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</si>
  <si>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</si>
  <si>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</si>
  <si>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</si>
  <si>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</si>
  <si>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</si>
  <si>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</si>
  <si>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</si>
  <si>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</si>
  <si>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</si>
  <si>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</si>
  <si>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</si>
  <si>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</si>
  <si>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</si>
  <si>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</si>
  <si>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</si>
  <si>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</si>
  <si>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</si>
  <si>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</si>
  <si>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Вынос ЛЭП ВЛ-0,4кВ ТП-81 по адресу: пр.Московский</t>
  </si>
  <si>
    <t>E_19/1.1.2.28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</si>
  <si>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</si>
  <si>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</si>
  <si>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</si>
  <si>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</si>
  <si>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</si>
  <si>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</si>
  <si>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</si>
  <si>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</si>
  <si>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</si>
  <si>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ТП-396, ул. Брусилова, 4/Е (ООО Фрегат)</t>
  </si>
  <si>
    <t xml:space="preserve">Строительство ТП-1757 КЛ-1кВ ул.Корольковой 11в 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</si>
  <si>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</si>
  <si>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</si>
  <si>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</si>
  <si>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</si>
  <si>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</si>
  <si>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</si>
  <si>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</si>
  <si>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</si>
  <si>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</si>
  <si>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</si>
  <si>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</si>
  <si>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</si>
  <si>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</si>
  <si>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</si>
  <si>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 (Длительное согласования прохождения КЛ с собственником участка)</t>
  </si>
  <si>
    <t>Ликвидация технологических нарушений.</t>
  </si>
  <si>
    <t>Организация электроснабжения общегородского выпускного вечера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</si>
  <si>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</si>
  <si>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</si>
  <si>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</si>
  <si>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 xml:space="preserve">Объект переходящий по инвестиционной программе 2018 года. </t>
  </si>
  <si>
    <t>Заказ топосъемки</t>
  </si>
  <si>
    <t>Работы выполнены. Уточнение ПСД, снижение стоимости работ.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</si>
  <si>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</si>
  <si>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Ликвидация последствий технологических нарушений</t>
  </si>
  <si>
    <t>Ликвидация последствий технологических нарушений.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</si>
  <si>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</si>
  <si>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</si>
  <si>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В связи с невозможностью пообъектного планирования мероприятия по замене трансформаторов плановый объем финансирования устанавливается общей суммой.</t>
  </si>
  <si>
    <t>Проведена внеплановая реконструкция в связи с приведением сетей в соответствие с ПУЭ ( правилами устройства установок).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</si>
  <si>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</si>
  <si>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</si>
  <si>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за 4 квартал 2019 года</t>
  </si>
  <si>
    <t>Год раскрытия информации: 2020 год</t>
  </si>
  <si>
    <t>Е_19/0001.2.4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</si>
  <si>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</si>
  <si>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</si>
  <si>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</si>
  <si>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</si>
  <si>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</si>
  <si>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</si>
  <si>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 xml:space="preserve"> Строительство 2КЛ-10 кВ от РП-92 протяженностью 2х0,42 км. по договору Т.П. (от 150 до 670 кВт)  №425 от 13.06.2018</t>
  </si>
  <si>
    <t>J_19/00025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</si>
  <si>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</si>
  <si>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</si>
  <si>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2КЛ-10 кВ от ТП-1026 протяженностью 2х0,305 км. по договору Т.П. (от 150 до 670 кВт)  №63 от 22.03.2017</t>
  </si>
  <si>
    <t>J_19/00027</t>
  </si>
  <si>
    <t xml:space="preserve"> Строительство 2КЛ-10 кВ от ТП-1103 протяженностью 2х0,27 км. по договору Т.П. (от 150 до 670 кВт)  №64 от 22.03.2018</t>
  </si>
  <si>
    <t>J_19/00028</t>
  </si>
  <si>
    <t xml:space="preserve"> Строительство 2КЛ-10 кВ от ТП-475, ТП-500 протяженностью 0,93 км. по договору Т.П. (от 150 до 670 кВт)  №616 от 03.06.2019</t>
  </si>
  <si>
    <t>J_19/00029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</si>
  <si>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</si>
  <si>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</si>
  <si>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 xml:space="preserve"> Строительство 2КЛ-10 кВ протяженностью 2х0,54 км. по договору Т.П. (свыше 670 кВт) №1217 от 16.01.2014</t>
  </si>
  <si>
    <t>Строительство КЛ-1 кВ  ТП-204 до границы участка заявителя,  протяженностью L=4x0,0275 км  по договору Т.П. (свыше 150 до 670 кВт) №1010 от 16.10.2019 г (заявитель -ФГБОУ ВО "ВГТУ", ул. 20-летия Октября, 79/б)</t>
  </si>
  <si>
    <t>J_19/00033</t>
  </si>
  <si>
    <t>Строительство КЛ-1 кВ  ТП-343 и ТП-244 до границы участка заявителя,  протяженностью 0,14 км по договору Т.П. (свыше 150 до 670 кВт) №1046 от 10.10.2019 г (заявитель -Специализированный застройщик "ДСК-1", ул. Ленинградская, 20а, 20б, 22а, 22б)</t>
  </si>
  <si>
    <t>J_19/00034</t>
  </si>
  <si>
    <t>Строительство 2КЛ-1 кВ  ТП-937 до границы участка заявителя, протяженностью L=2x0,1 км по договору Т.П. (свыше 150 до 670 кВт) №825 от 23.07.2019 г (заявитель -АО "ДСК" Ленинский пр-кт, 201)</t>
  </si>
  <si>
    <t>J_19/00035</t>
  </si>
  <si>
    <t>Строительство КЛ-10 кВ  ТП-1426 до границы участка заявителя  протяженностью L=1,16 км по договору Т.П. (свыше 150 до 670 кВт) №1259 от 30.10.2019 г (заявитель -Специализированный застройщик "Арт-ДЕКО", ул. Березовая Роща, 1б)</t>
  </si>
  <si>
    <t>J_19/00036</t>
  </si>
  <si>
    <t>Строительство КЛ-10 кВ  ТП-645 и ТП-644 до границы участка заявителя  протяженностью 0,85 км по договору Т.П. (свыше 670 кВт) №1047 от 23.09.2019 г (заявитель -ООО "Ремстрой", ул. Остужева, 2/1)</t>
  </si>
  <si>
    <t>J_19/00037</t>
  </si>
  <si>
    <t>Строительство КЛ-10 кВ  ТП-645 и ТП-644 до границы участка заявителя  протяженностью 0,85 км по договору Т.П. (свыше 150 до 670 кВт) №1047 от 23.09.2019 г (заявитель -ООО "Ремстрой", ул. Остужева, 2/1)</t>
  </si>
  <si>
    <t>J_19/00038</t>
  </si>
  <si>
    <t>Установка в резервной ВВ ячейке РУ-6 кВ БКТП-326 ВН (ВНА) по договору Т.П. (свыше 670 кВт) №1353 от 10.01.2020 г (заявитель -Единая дирекция капитального строительства, ул. Вайцеховского, 2/4)</t>
  </si>
  <si>
    <t>К_20/00001</t>
  </si>
  <si>
    <t>E_19/1.1.4.1</t>
  </si>
  <si>
    <t>E_19/1.1.4.2</t>
  </si>
  <si>
    <t>E_19/1.1.4.3</t>
  </si>
  <si>
    <t>E_19/1.1.4.4</t>
  </si>
  <si>
    <t>E_19/1.1.4.5</t>
  </si>
  <si>
    <t>E_19/1.1.4.6</t>
  </si>
  <si>
    <t>E_19/1.1.4.14</t>
  </si>
  <si>
    <t>E_19/1.1.4.15</t>
  </si>
  <si>
    <t>E_19/1.1.4.16</t>
  </si>
  <si>
    <t>E_19/1.1.4.17</t>
  </si>
  <si>
    <t>E_19/1.1.4.18</t>
  </si>
  <si>
    <t>E_19/1.1.4.19</t>
  </si>
  <si>
    <t>E_19/1.1.4.20</t>
  </si>
  <si>
    <t>E_19/1.1.4.21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</si>
  <si>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</si>
  <si>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</si>
  <si>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</si>
  <si>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</si>
  <si>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ТП-344 ул.Плехановская,49т</t>
  </si>
  <si>
    <t>E_19/1.3.24</t>
  </si>
  <si>
    <t>ТП-297 ул.Плехановская,59т</t>
  </si>
  <si>
    <t>E_19/1.3.25</t>
  </si>
  <si>
    <t>E_19/1.3.5.17.А</t>
  </si>
  <si>
    <t>E_19/1.3.5.18.А</t>
  </si>
  <si>
    <t>E_19/1.3.5.11.А</t>
  </si>
  <si>
    <t>E_19/1.3.5.12.А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</si>
  <si>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</si>
  <si>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</si>
  <si>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</si>
  <si>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</si>
  <si>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</si>
  <si>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</si>
  <si>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</si>
  <si>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</si>
  <si>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</si>
  <si>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</si>
  <si>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</si>
  <si>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</si>
  <si>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</si>
  <si>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</si>
  <si>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</si>
  <si>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</si>
  <si>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</si>
  <si>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</si>
  <si>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</si>
  <si>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</si>
  <si>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</si>
  <si>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</si>
  <si>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</si>
  <si>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</si>
  <si>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</si>
  <si>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</si>
  <si>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</si>
  <si>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</si>
  <si>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</si>
  <si>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</si>
  <si>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</si>
  <si>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</si>
  <si>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</si>
  <si>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</si>
  <si>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</si>
  <si>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</si>
  <si>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</si>
  <si>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</si>
  <si>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</si>
  <si>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</si>
  <si>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</si>
  <si>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</si>
  <si>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</si>
  <si>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</si>
  <si>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</si>
  <si>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</si>
  <si>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</si>
  <si>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</si>
  <si>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</si>
  <si>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</si>
  <si>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</si>
  <si>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</si>
  <si>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</si>
  <si>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</si>
  <si>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</si>
  <si>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</si>
  <si>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</si>
  <si>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</si>
  <si>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</si>
  <si>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</si>
  <si>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</si>
  <si>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</si>
  <si>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</si>
  <si>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</si>
  <si>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</si>
  <si>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</si>
  <si>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</si>
  <si>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</si>
  <si>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</si>
  <si>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</si>
  <si>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</si>
  <si>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</si>
  <si>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</si>
  <si>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</si>
  <si>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E_19/1.1.2.13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</si>
  <si>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</si>
  <si>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</si>
  <si>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</si>
  <si>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</si>
  <si>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</si>
  <si>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</si>
  <si>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Платонова 9,11 вынос КЛ-6кВ и КЛ-0,4кВ (ООО "Комплекс ТехСтрой")</t>
  </si>
  <si>
    <t>E_19/1.1.2.17А</t>
  </si>
  <si>
    <t>E_19/1.1.2.20</t>
  </si>
  <si>
    <t>Вынос КЛ-0,4кВ ТП-460 - до ж/д 36 ул.Пирогова (протяженностью 0,265км)</t>
  </si>
  <si>
    <t>E_19/1.1.2.32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</si>
  <si>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</si>
  <si>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</si>
  <si>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</si>
  <si>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</si>
  <si>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</si>
  <si>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</si>
  <si>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</si>
  <si>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</si>
  <si>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</si>
  <si>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</si>
  <si>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</si>
  <si>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</si>
  <si>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</si>
  <si>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</si>
  <si>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</si>
  <si>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</si>
  <si>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</si>
  <si>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</si>
  <si>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</si>
  <si>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</si>
  <si>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</si>
  <si>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</si>
  <si>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</si>
  <si>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</si>
  <si>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</si>
  <si>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</si>
  <si>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</si>
  <si>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</si>
  <si>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E_19/1.1.3.35</t>
  </si>
  <si>
    <t>E_19/1.1.3.36</t>
  </si>
  <si>
    <t>E_19/1.1.3.37</t>
  </si>
  <si>
    <t>Вынос КЛ-6кВ ГПП-6 -РП-19 ф.108 (протяженность по трассе 0,040км)</t>
  </si>
  <si>
    <t>ПС-16 до РП-20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</si>
  <si>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</si>
  <si>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</si>
  <si>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</si>
  <si>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</si>
  <si>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</si>
  <si>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</si>
  <si>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</si>
  <si>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</si>
  <si>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</si>
  <si>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</si>
  <si>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</si>
  <si>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</si>
  <si>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</si>
  <si>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</si>
  <si>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</si>
  <si>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E_19/2.1.3.1</t>
  </si>
  <si>
    <t>E_19/2.1.3.2</t>
  </si>
  <si>
    <t>E_19/2.1.3.3</t>
  </si>
  <si>
    <t>E_19/2.1.3.4</t>
  </si>
  <si>
    <t>E_19/2.1.3.5</t>
  </si>
  <si>
    <t>E_19/2.1.3.6</t>
  </si>
  <si>
    <t>E_19/2.1.3.7</t>
  </si>
  <si>
    <t>Прокладка КЛ-10 кВ сеч.3х120 ТП-480 до БКТП-34Н</t>
  </si>
  <si>
    <t>E_19/2.1.3.8</t>
  </si>
  <si>
    <t>E_19/2.1.3.9</t>
  </si>
  <si>
    <t>E_19/2.1.3.10</t>
  </si>
  <si>
    <t>E_19/2.1.3.11</t>
  </si>
  <si>
    <t>E_19/2.1.3.12</t>
  </si>
  <si>
    <t>E_19/2.1.3.13</t>
  </si>
  <si>
    <t>E_19/2.1.3.14</t>
  </si>
  <si>
    <t>E_19/2.1.3.15</t>
  </si>
  <si>
    <t>E_19/2.1.3.16</t>
  </si>
  <si>
    <t>E_19/2.1.3.17</t>
  </si>
  <si>
    <t>E_19/2.1.3.18</t>
  </si>
  <si>
    <t>E_19/2.1.3.19</t>
  </si>
  <si>
    <t>E_19/2.1.3.20</t>
  </si>
  <si>
    <t>E_19/2.1.3.21</t>
  </si>
  <si>
    <t>E_19/2.1.3.22</t>
  </si>
  <si>
    <t>E_19/2.1.3.23</t>
  </si>
  <si>
    <t>E_19/2.1.3.24</t>
  </si>
  <si>
    <t>Стр-во КТП  взамен КТП-136 по адресу: Ботанический сад ,ВГУ</t>
  </si>
  <si>
    <t>I_18/2.2.6.17</t>
  </si>
  <si>
    <t>E_19/1.4.13</t>
  </si>
  <si>
    <t>Новогодняя декорация</t>
  </si>
  <si>
    <t>E_19/1.4.14</t>
  </si>
  <si>
    <t>Реконструкция КЛ-0,4кВ ТП-812 до ж/д 286 ул. 9 Января  (протяженностью 1,192км)</t>
  </si>
  <si>
    <t>E_19/1.1.2.27</t>
  </si>
  <si>
    <t xml:space="preserve"> Строительство КЛ-10 кВ  ТП-1026 протяженностью 0,52 км. по договору Т.П. (свыше 670 кВт) №2641 от 24.12.2014</t>
  </si>
  <si>
    <t>J_19/00031</t>
  </si>
  <si>
    <t xml:space="preserve"> Строительство 4КЛ-10 кВ  ТП-1347 протяженностью 0,52 км. по договору Т.П. (свыше 670 кВт) №2641 от 24.12.2014</t>
  </si>
  <si>
    <t>Вынос ТП-460- ТП-251 (протяженность 0,193км)</t>
  </si>
  <si>
    <t>E_19/1.1.3.34</t>
  </si>
  <si>
    <t>I_18/2.2.2.</t>
  </si>
  <si>
    <t>Перенос сроков выполнения работ на 2020 год в связи с проведением торговых процедур (отсутствие материалов).</t>
  </si>
  <si>
    <t>Уточнение ПСД, снижение стоимости материалов в результате проведения конкурсных процедур.</t>
  </si>
  <si>
    <t>Уточнение ПСД, увеличение стоимости материалов в результате проведения конкурсных процедур.</t>
  </si>
  <si>
    <t>Объекты переходящие по инвестиционной программе 2018 года.(Задержка поставки оборудования)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</si>
  <si>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</si>
  <si>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Уточнение ПСД, снижение стоимости материаловв результате конкупсных процедур.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</si>
  <si>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</si>
  <si>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</si>
  <si>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Уточнение ПСД, увеличение стоимости материаловв результате проведения конкурсных процедур.</t>
  </si>
  <si>
    <t>Восстановление элементов благоустройства</t>
  </si>
  <si>
    <t>Выполнены проектные работы по инвестиционной программе 2020 года.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</si>
  <si>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</si>
  <si>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Перенос сроков выполнения работ  на 1 квартал 2020  года в связи с дительным согласованием проектных работ..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</si>
</sst>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0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Border="1"/>
    <xf numFmtId="0" fontId="29" fillId="0" borderId="0" xfId="54" applyFont="1" applyAlignment="1">
      <alignment vertical="center"/>
    </xf>
    <xf numFmtId="0" fontId="31" fillId="0" borderId="0" xfId="37" applyFont="1" applyAlignment="1">
      <alignment horizontal="right"/>
    </xf>
    <xf numFmtId="0" fontId="29" fillId="0" borderId="0" xfId="54" applyFont="1" applyAlignment="1">
      <alignment horizontal="center" vertical="center"/>
    </xf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 applyBorder="1" applyAlignment="1"/>
    <xf numFmtId="0" fontId="31" fillId="0" borderId="0" xfId="0" applyFont="1" applyFill="1" applyAlignment="1"/>
    <xf numFmtId="0" fontId="35" fillId="0" borderId="0" xfId="54" applyFont="1" applyFill="1" applyAlignment="1">
      <alignment vertical="center"/>
    </xf>
    <xf numFmtId="0" fontId="29" fillId="0" borderId="0" xfId="54" applyFont="1" applyFill="1" applyAlignment="1">
      <alignment vertical="center"/>
    </xf>
    <xf numFmtId="0" fontId="36" fillId="0" borderId="0" xfId="37" applyFont="1" applyFill="1"/>
    <xf numFmtId="0" fontId="9" fillId="0" borderId="0" xfId="37" applyFont="1" applyFill="1"/>
    <xf numFmtId="0" fontId="37" fillId="24" borderId="0" xfId="37" applyFont="1" applyFill="1"/>
    <xf numFmtId="0" fontId="37" fillId="0" borderId="0" xfId="37" applyFont="1" applyFill="1"/>
    <xf numFmtId="167" fontId="37" fillId="0" borderId="0" xfId="37" applyNumberFormat="1" applyFont="1" applyFill="1"/>
    <xf numFmtId="0" fontId="37" fillId="24" borderId="0" xfId="37" applyFont="1" applyFill="1" applyAlignment="1">
      <alignment horizontal="right" vertical="center"/>
    </xf>
    <xf numFmtId="0" fontId="37" fillId="24" borderId="0" xfId="37" applyFont="1" applyFill="1" applyAlignment="1">
      <alignment horizontal="right"/>
    </xf>
    <xf numFmtId="4" fontId="37" fillId="0" borderId="0" xfId="37" applyNumberFormat="1" applyFont="1" applyFill="1"/>
    <xf numFmtId="0" fontId="37" fillId="24" borderId="0" xfId="37" applyFont="1" applyFill="1" applyBorder="1" applyAlignment="1">
      <alignment horizontal="center"/>
    </xf>
    <xf numFmtId="0" fontId="37" fillId="0" borderId="0" xfId="37" applyFont="1" applyFill="1" applyBorder="1" applyAlignment="1">
      <alignment horizontal="center"/>
    </xf>
    <xf numFmtId="167" fontId="37" fillId="0" borderId="0" xfId="37" applyNumberFormat="1" applyFont="1" applyFill="1" applyBorder="1" applyAlignment="1">
      <alignment horizontal="center"/>
    </xf>
    <xf numFmtId="0" fontId="38" fillId="24" borderId="0" xfId="54" applyFont="1" applyFill="1" applyAlignment="1">
      <alignment horizontal="center" vertical="center"/>
    </xf>
    <xf numFmtId="0" fontId="38" fillId="0" borderId="0" xfId="54" applyFont="1" applyFill="1" applyAlignment="1">
      <alignment horizontal="center" vertical="center"/>
    </xf>
    <xf numFmtId="167" fontId="38" fillId="0" borderId="0" xfId="54" applyNumberFormat="1" applyFont="1" applyFill="1" applyAlignment="1">
      <alignment horizontal="center" vertical="center"/>
    </xf>
    <xf numFmtId="167" fontId="37" fillId="24" borderId="0" xfId="37" applyNumberFormat="1" applyFont="1" applyFill="1"/>
    <xf numFmtId="0" fontId="37" fillId="0" borderId="10" xfId="37" applyFont="1" applyFill="1" applyBorder="1" applyAlignment="1">
      <alignment horizontal="center" vertical="center" wrapText="1"/>
    </xf>
    <xf numFmtId="0" fontId="37" fillId="24" borderId="10" xfId="37" applyFont="1" applyFill="1" applyBorder="1" applyAlignment="1">
      <alignment horizontal="center" vertical="center" wrapText="1"/>
    </xf>
    <xf numFmtId="167" fontId="37" fillId="0" borderId="10" xfId="37" applyNumberFormat="1" applyFont="1" applyFill="1" applyBorder="1" applyAlignment="1">
      <alignment horizontal="center" vertical="center" wrapText="1"/>
    </xf>
    <xf numFmtId="3" fontId="37" fillId="0" borderId="10" xfId="37" applyNumberFormat="1" applyFont="1" applyFill="1" applyBorder="1" applyAlignment="1">
      <alignment horizontal="center" vertical="center" wrapText="1"/>
    </xf>
    <xf numFmtId="0" fontId="39" fillId="0" borderId="10" xfId="0" quotePrefix="1" applyFont="1" applyFill="1" applyBorder="1" applyAlignment="1">
      <alignment horizontal="center" vertical="top"/>
    </xf>
    <xf numFmtId="0" fontId="39" fillId="0" borderId="10" xfId="0" applyFont="1" applyFill="1" applyBorder="1" applyAlignment="1">
      <alignment vertical="center" wrapText="1"/>
    </xf>
    <xf numFmtId="1" fontId="39" fillId="0" borderId="10" xfId="0" applyNumberFormat="1" applyFont="1" applyFill="1" applyBorder="1" applyAlignment="1">
      <alignment vertical="center"/>
    </xf>
    <xf numFmtId="167" fontId="40" fillId="0" borderId="10" xfId="37" applyNumberFormat="1" applyFont="1" applyFill="1" applyBorder="1"/>
    <xf numFmtId="4" fontId="40" fillId="0" borderId="10" xfId="37" applyNumberFormat="1" applyFont="1" applyFill="1" applyBorder="1"/>
    <xf numFmtId="0" fontId="40" fillId="0" borderId="10" xfId="37" applyFont="1" applyFill="1" applyBorder="1"/>
    <xf numFmtId="167" fontId="40" fillId="0" borderId="10" xfId="37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vertical="top" wrapText="1"/>
    </xf>
    <xf numFmtId="1" fontId="39" fillId="0" borderId="10" xfId="0" applyNumberFormat="1" applyFont="1" applyFill="1" applyBorder="1" applyAlignment="1">
      <alignment vertical="center" wrapText="1"/>
    </xf>
    <xf numFmtId="1" fontId="40" fillId="0" borderId="10" xfId="37" quotePrefix="1" applyNumberFormat="1" applyFont="1" applyFill="1" applyBorder="1" applyAlignment="1">
      <alignment horizontal="center" vertical="center"/>
    </xf>
    <xf numFmtId="1" fontId="40" fillId="0" borderId="10" xfId="37" applyNumberFormat="1" applyFont="1" applyFill="1" applyBorder="1" applyAlignment="1">
      <alignment vertical="center" wrapText="1"/>
    </xf>
    <xf numFmtId="1" fontId="40" fillId="0" borderId="10" xfId="37" applyNumberFormat="1" applyFont="1" applyFill="1" applyBorder="1" applyAlignment="1">
      <alignment vertical="center"/>
    </xf>
    <xf numFmtId="0" fontId="38" fillId="0" borderId="10" xfId="0" quotePrefix="1" applyFont="1" applyFill="1" applyBorder="1" applyAlignment="1">
      <alignment horizontal="center" vertical="top"/>
    </xf>
    <xf numFmtId="0" fontId="38" fillId="0" borderId="10" xfId="0" applyFont="1" applyFill="1" applyBorder="1" applyAlignment="1">
      <alignment vertical="top" wrapText="1"/>
    </xf>
    <xf numFmtId="0" fontId="38" fillId="0" borderId="10" xfId="0" applyFont="1" applyFill="1" applyBorder="1" applyAlignment="1">
      <alignment vertical="top"/>
    </xf>
    <xf numFmtId="167" fontId="37" fillId="0" borderId="10" xfId="37" applyNumberFormat="1" applyFont="1" applyFill="1" applyBorder="1"/>
    <xf numFmtId="4" fontId="37" fillId="0" borderId="10" xfId="37" applyNumberFormat="1" applyFont="1" applyFill="1" applyBorder="1"/>
    <xf numFmtId="0" fontId="38" fillId="0" borderId="10" xfId="0" applyFont="1" applyFill="1" applyBorder="1" applyAlignment="1">
      <alignment wrapText="1"/>
    </xf>
    <xf numFmtId="0" fontId="37" fillId="0" borderId="10" xfId="0" applyFont="1" applyFill="1" applyBorder="1"/>
    <xf numFmtId="1" fontId="38" fillId="0" borderId="10" xfId="0" applyNumberFormat="1" applyFont="1" applyFill="1" applyBorder="1" applyAlignment="1">
      <alignment vertical="center" wrapText="1"/>
    </xf>
    <xf numFmtId="167" fontId="37" fillId="0" borderId="10" xfId="37" applyNumberFormat="1" applyFont="1" applyFill="1" applyBorder="1" applyAlignment="1">
      <alignment horizontal="right"/>
    </xf>
    <xf numFmtId="0" fontId="37" fillId="0" borderId="10" xfId="0" quotePrefix="1" applyFont="1" applyFill="1" applyBorder="1" applyAlignment="1">
      <alignment horizontal="center"/>
    </xf>
    <xf numFmtId="2" fontId="38" fillId="0" borderId="10" xfId="0" quotePrefix="1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vertical="top" wrapText="1"/>
    </xf>
    <xf numFmtId="1" fontId="38" fillId="0" borderId="10" xfId="0" applyNumberFormat="1" applyFont="1" applyFill="1" applyBorder="1" applyAlignment="1">
      <alignment vertical="top"/>
    </xf>
    <xf numFmtId="0" fontId="37" fillId="0" borderId="10" xfId="0" applyFont="1" applyFill="1" applyBorder="1" applyAlignment="1">
      <alignment horizontal="left" vertical="top" wrapText="1"/>
    </xf>
    <xf numFmtId="0" fontId="37" fillId="0" borderId="10" xfId="37" applyFont="1" applyFill="1" applyBorder="1" applyAlignment="1">
      <alignment vertical="center" wrapText="1"/>
    </xf>
    <xf numFmtId="0" fontId="37" fillId="0" borderId="13" xfId="37" applyFont="1" applyFill="1" applyBorder="1" applyAlignment="1">
      <alignment horizontal="center" vertical="center" wrapText="1"/>
    </xf>
    <xf numFmtId="1" fontId="37" fillId="0" borderId="10" xfId="37" quotePrefix="1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wrapText="1"/>
    </xf>
    <xf numFmtId="1" fontId="38" fillId="0" borderId="10" xfId="0" applyNumberFormat="1" applyFont="1" applyFill="1" applyBorder="1"/>
    <xf numFmtId="0" fontId="37" fillId="0" borderId="10" xfId="37" applyFont="1" applyFill="1" applyBorder="1"/>
    <xf numFmtId="2" fontId="37" fillId="0" borderId="11" xfId="0" quotePrefix="1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wrapText="1"/>
    </xf>
    <xf numFmtId="0" fontId="37" fillId="0" borderId="11" xfId="0" applyFont="1" applyFill="1" applyBorder="1"/>
    <xf numFmtId="0" fontId="39" fillId="0" borderId="11" xfId="0" quotePrefix="1" applyFont="1" applyFill="1" applyBorder="1" applyAlignment="1">
      <alignment horizontal="center" vertical="top"/>
    </xf>
    <xf numFmtId="0" fontId="39" fillId="0" borderId="11" xfId="0" applyFont="1" applyFill="1" applyBorder="1" applyAlignment="1">
      <alignment vertical="top" wrapText="1"/>
    </xf>
    <xf numFmtId="1" fontId="39" fillId="0" borderId="11" xfId="0" applyNumberFormat="1" applyFont="1" applyFill="1" applyBorder="1" applyAlignment="1">
      <alignment vertical="center" wrapText="1"/>
    </xf>
    <xf numFmtId="0" fontId="38" fillId="0" borderId="11" xfId="0" quotePrefix="1" applyFont="1" applyFill="1" applyBorder="1" applyAlignment="1">
      <alignment horizontal="center" vertical="top"/>
    </xf>
    <xf numFmtId="0" fontId="38" fillId="0" borderId="11" xfId="0" applyFont="1" applyFill="1" applyBorder="1" applyAlignment="1">
      <alignment vertical="top" wrapText="1"/>
    </xf>
    <xf numFmtId="1" fontId="38" fillId="0" borderId="11" xfId="0" applyNumberFormat="1" applyFont="1" applyFill="1" applyBorder="1" applyAlignment="1">
      <alignment vertical="center" wrapText="1"/>
    </xf>
    <xf numFmtId="1" fontId="37" fillId="0" borderId="10" xfId="37" applyNumberFormat="1" applyFont="1" applyFill="1" applyBorder="1" applyAlignment="1">
      <alignment vertical="center" wrapText="1"/>
    </xf>
    <xf numFmtId="1" fontId="37" fillId="0" borderId="10" xfId="37" applyNumberFormat="1" applyFont="1" applyFill="1" applyBorder="1" applyAlignment="1">
      <alignment vertical="center"/>
    </xf>
    <xf numFmtId="1" fontId="37" fillId="0" borderId="10" xfId="0" applyNumberFormat="1" applyFont="1" applyFill="1" applyBorder="1"/>
    <xf numFmtId="0" fontId="37" fillId="0" borderId="10" xfId="0" applyFont="1" applyFill="1" applyBorder="1" applyAlignment="1">
      <alignment vertical="center" wrapText="1"/>
    </xf>
    <xf numFmtId="0" fontId="38" fillId="0" borderId="10" xfId="0" quotePrefix="1" applyFont="1" applyFill="1" applyBorder="1" applyAlignment="1">
      <alignment horizontal="center"/>
    </xf>
    <xf numFmtId="0" fontId="38" fillId="0" borderId="10" xfId="0" applyFont="1" applyFill="1" applyBorder="1"/>
    <xf numFmtId="167" fontId="37" fillId="0" borderId="10" xfId="37" applyNumberFormat="1" applyFont="1" applyFill="1" applyBorder="1" applyAlignment="1">
      <alignment vertical="center" wrapText="1"/>
    </xf>
    <xf numFmtId="0" fontId="37" fillId="0" borderId="10" xfId="0" quotePrefix="1" applyFont="1" applyFill="1" applyBorder="1"/>
    <xf numFmtId="167" fontId="37" fillId="0" borderId="10" xfId="0" quotePrefix="1" applyNumberFormat="1" applyFont="1" applyFill="1" applyBorder="1" applyAlignment="1">
      <alignment horizontal="center"/>
    </xf>
    <xf numFmtId="167" fontId="37" fillId="0" borderId="10" xfId="0" applyNumberFormat="1" applyFont="1" applyFill="1" applyBorder="1" applyAlignment="1">
      <alignment wrapText="1"/>
    </xf>
    <xf numFmtId="167" fontId="37" fillId="0" borderId="10" xfId="37" applyNumberFormat="1" applyFont="1" applyFill="1" applyBorder="1" applyAlignment="1">
      <alignment vertical="center"/>
    </xf>
    <xf numFmtId="2" fontId="37" fillId="0" borderId="10" xfId="37" quotePrefix="1" applyNumberFormat="1" applyFont="1" applyFill="1" applyBorder="1" applyAlignment="1">
      <alignment horizontal="center" vertical="center" wrapText="1"/>
    </xf>
    <xf numFmtId="168" fontId="37" fillId="0" borderId="10" xfId="37" applyNumberFormat="1" applyFont="1" applyFill="1" applyBorder="1"/>
    <xf numFmtId="0" fontId="37" fillId="0" borderId="11" xfId="37" applyFont="1" applyFill="1" applyBorder="1" applyAlignment="1">
      <alignment horizontal="center" vertical="center" wrapText="1"/>
    </xf>
    <xf numFmtId="0" fontId="37" fillId="0" borderId="14" xfId="37" applyFont="1" applyFill="1" applyBorder="1" applyAlignment="1">
      <alignment horizontal="center" vertical="center" wrapText="1"/>
    </xf>
    <xf numFmtId="0" fontId="37" fillId="0" borderId="13" xfId="37" applyFont="1" applyFill="1" applyBorder="1" applyAlignment="1">
      <alignment horizontal="center" vertical="center" wrapText="1"/>
    </xf>
    <xf numFmtId="167" fontId="37" fillId="0" borderId="11" xfId="37" applyNumberFormat="1" applyFont="1" applyFill="1" applyBorder="1" applyAlignment="1">
      <alignment vertical="center" wrapText="1"/>
    </xf>
    <xf numFmtId="167" fontId="37" fillId="0" borderId="14" xfId="37" applyNumberFormat="1" applyFont="1" applyFill="1" applyBorder="1" applyAlignment="1">
      <alignment vertical="center" wrapText="1"/>
    </xf>
    <xf numFmtId="167" fontId="37" fillId="0" borderId="13" xfId="37" applyNumberFormat="1" applyFont="1" applyFill="1" applyBorder="1" applyAlignment="1">
      <alignment vertical="center" wrapText="1"/>
    </xf>
    <xf numFmtId="0" fontId="37" fillId="0" borderId="11" xfId="37" applyFont="1" applyFill="1" applyBorder="1" applyAlignment="1">
      <alignment vertical="center" wrapText="1"/>
    </xf>
    <xf numFmtId="0" fontId="37" fillId="0" borderId="14" xfId="37" applyFont="1" applyFill="1" applyBorder="1" applyAlignment="1">
      <alignment vertical="center" wrapText="1"/>
    </xf>
    <xf numFmtId="0" fontId="37" fillId="0" borderId="13" xfId="37" applyFont="1" applyFill="1" applyBorder="1" applyAlignment="1">
      <alignment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24" borderId="16" xfId="37" applyFont="1" applyFill="1" applyBorder="1" applyAlignment="1">
      <alignment horizontal="center"/>
    </xf>
    <xf numFmtId="0" fontId="37" fillId="24" borderId="10" xfId="37" applyFont="1" applyFill="1" applyBorder="1" applyAlignment="1">
      <alignment horizontal="center" vertical="center" wrapText="1"/>
    </xf>
    <xf numFmtId="0" fontId="37" fillId="0" borderId="12" xfId="37" applyFont="1" applyFill="1" applyBorder="1" applyAlignment="1">
      <alignment horizontal="center" vertical="center" wrapText="1"/>
    </xf>
    <xf numFmtId="0" fontId="37" fillId="0" borderId="17" xfId="37" applyFont="1" applyFill="1" applyBorder="1" applyAlignment="1">
      <alignment horizontal="center" vertical="center" wrapText="1"/>
    </xf>
    <xf numFmtId="0" fontId="37" fillId="0" borderId="15" xfId="37" applyFont="1" applyFill="1" applyBorder="1" applyAlignment="1">
      <alignment horizontal="center" vertical="center" wrapText="1"/>
    </xf>
    <xf numFmtId="0" fontId="37" fillId="24" borderId="11" xfId="37" applyFont="1" applyFill="1" applyBorder="1" applyAlignment="1">
      <alignment horizontal="center" vertical="center" wrapText="1"/>
    </xf>
    <xf numFmtId="0" fontId="37" fillId="24" borderId="14" xfId="37" applyFont="1" applyFill="1" applyBorder="1" applyAlignment="1">
      <alignment horizontal="center" vertical="center" wrapText="1"/>
    </xf>
    <xf numFmtId="0" fontId="37" fillId="24" borderId="13" xfId="37" applyFont="1" applyFill="1" applyBorder="1" applyAlignment="1">
      <alignment horizontal="center" vertical="center" wrapText="1"/>
    </xf>
    <xf numFmtId="0" fontId="37" fillId="24" borderId="0" xfId="37" applyFont="1" applyFill="1" applyBorder="1" applyAlignment="1">
      <alignment horizontal="center"/>
    </xf>
    <xf numFmtId="0" fontId="37" fillId="24" borderId="0" xfId="37" applyFont="1" applyFill="1" applyAlignment="1">
      <alignment horizontal="center" wrapText="1"/>
    </xf>
    <xf numFmtId="0" fontId="38" fillId="24" borderId="0" xfId="54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8" fillId="0" borderId="0" xfId="54" applyFont="1" applyFill="1" applyAlignment="1">
      <alignment horizontal="center" vertical="center"/>
    </xf>
    <xf numFmtId="4" fontId="37" fillId="0" borderId="11" xfId="37" applyNumberFormat="1" applyFont="1" applyFill="1" applyBorder="1" applyAlignment="1">
      <alignment vertical="center" wrapText="1"/>
    </xf>
    <xf numFmtId="4" fontId="37" fillId="0" borderId="14" xfId="37" applyNumberFormat="1" applyFont="1" applyFill="1" applyBorder="1" applyAlignment="1">
      <alignment vertical="center" wrapText="1"/>
    </xf>
    <xf numFmtId="4" fontId="37" fillId="0" borderId="13" xfId="37" applyNumberFormat="1" applyFont="1" applyFill="1" applyBorder="1" applyAlignment="1">
      <alignment vertical="center" wrapText="1"/>
    </xf>
    <xf numFmtId="167" fontId="37" fillId="0" borderId="11" xfId="37" applyNumberFormat="1" applyFont="1" applyFill="1" applyBorder="1" applyAlignment="1">
      <alignment vertical="center"/>
    </xf>
    <xf numFmtId="167" fontId="37" fillId="0" borderId="14" xfId="37" applyNumberFormat="1" applyFont="1" applyFill="1" applyBorder="1" applyAlignment="1">
      <alignment vertical="center"/>
    </xf>
    <xf numFmtId="167" fontId="37" fillId="0" borderId="13" xfId="37" applyNumberFormat="1" applyFont="1" applyFill="1" applyBorder="1" applyAlignment="1">
      <alignment vertical="center"/>
    </xf>
    <xf numFmtId="0" fontId="41" fillId="0" borderId="11" xfId="45" applyFont="1" applyFill="1" applyBorder="1" applyAlignment="1">
      <alignment horizontal="center" vertical="center" wrapText="1"/>
    </xf>
    <xf numFmtId="0" fontId="41" fillId="0" borderId="14" xfId="45" applyFont="1" applyFill="1" applyBorder="1" applyAlignment="1">
      <alignment horizontal="center" vertical="center" wrapText="1"/>
    </xf>
    <xf numFmtId="0" fontId="41" fillId="0" borderId="13" xfId="45" applyFont="1" applyFill="1" applyBorder="1" applyAlignment="1">
      <alignment horizontal="center" vertical="center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3"/>
  <sheetViews>
    <sheetView tabSelected="1" zoomScaleNormal="100" zoomScaleSheetLayoutView="80" workbookViewId="0">
      <pane xSplit="3" ySplit="18" topLeftCell="D469" activePane="bottomRight" state="frozen"/>
      <selection pane="topRight" activeCell="D1" sqref="D1"/>
      <selection pane="bottomLeft" activeCell="A17" sqref="A17"/>
      <selection pane="bottomRight" activeCell="I3" sqref="I3"/>
    </sheetView>
  </sheetViews>
  <sheetFormatPr defaultRowHeight="15.75" x14ac:dyDescent="0.25"/>
  <cols>
    <col min="1" max="1" width="10.375" style="15" customWidth="1"/>
    <col min="2" max="2" width="59.125" style="15" customWidth="1"/>
    <col min="3" max="3" width="13" style="15" customWidth="1"/>
    <col min="4" max="6" width="11.125" style="16" customWidth="1"/>
    <col min="7" max="7" width="9" style="16" customWidth="1"/>
    <col min="8" max="8" width="9" style="15" customWidth="1"/>
    <col min="9" max="15" width="9" style="16" customWidth="1"/>
    <col min="16" max="16" width="9" style="17" customWidth="1"/>
    <col min="17" max="17" width="13.25" style="15" customWidth="1"/>
    <col min="18" max="19" width="10.375" style="15" customWidth="1"/>
    <col min="20" max="20" width="37.75" style="15" customWidth="1"/>
    <col min="21" max="22" width="10.625" style="2" customWidth="1"/>
    <col min="23" max="23" width="12.125" style="2" customWidth="1"/>
    <col min="24" max="24" width="10.625" style="2" customWidth="1"/>
    <col min="25" max="25" width="22.75" style="2" customWidth="1"/>
    <col min="26" max="63" width="10.625" style="2" customWidth="1"/>
    <col min="64" max="64" width="12.125" style="2" customWidth="1"/>
    <col min="65" max="65" width="11.5" style="2" customWidth="1"/>
    <col min="66" max="66" width="14.125" style="2" customWidth="1"/>
    <col min="67" max="67" width="15.125" style="2" customWidth="1"/>
    <col min="68" max="68" width="13" style="2" customWidth="1"/>
    <col min="69" max="69" width="11.75" style="2" customWidth="1"/>
    <col min="70" max="70" width="17.5" style="2" customWidth="1"/>
    <col min="71" max="16384" width="9" style="2"/>
  </cols>
  <sheetData>
    <row r="1" spans="1:34" ht="23.25" customHeight="1" x14ac:dyDescent="0.25">
      <c r="T1" s="18" t="s">
        <v>42</v>
      </c>
      <c r="V1" s="1"/>
    </row>
    <row r="2" spans="1:34" ht="20.25" customHeight="1" x14ac:dyDescent="0.25">
      <c r="E2" s="17"/>
      <c r="T2" s="19" t="s">
        <v>0</v>
      </c>
      <c r="V2" s="1"/>
    </row>
    <row r="3" spans="1:34" ht="18.75" customHeight="1" x14ac:dyDescent="0.25">
      <c r="E3" s="20"/>
      <c r="T3" s="19" t="s">
        <v>44</v>
      </c>
      <c r="V3" s="1"/>
    </row>
    <row r="4" spans="1:34" s="3" customFormat="1" ht="18.75" customHeight="1" x14ac:dyDescent="0.3">
      <c r="A4" s="106" t="s">
        <v>43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9"/>
      <c r="V4" s="9"/>
    </row>
    <row r="5" spans="1:34" s="3" customFormat="1" ht="16.5" customHeight="1" x14ac:dyDescent="0.3">
      <c r="A5" s="107" t="s">
        <v>746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7"/>
      <c r="V5" s="7"/>
      <c r="W5" s="7"/>
    </row>
    <row r="6" spans="1:34" s="3" customFormat="1" ht="16.5" customHeight="1" x14ac:dyDescent="0.3">
      <c r="A6" s="21"/>
      <c r="B6" s="21"/>
      <c r="C6" s="21"/>
      <c r="D6" s="22"/>
      <c r="E6" s="23"/>
      <c r="F6" s="22"/>
      <c r="G6" s="22"/>
      <c r="H6" s="21"/>
      <c r="I6" s="22"/>
      <c r="J6" s="22"/>
      <c r="K6" s="22"/>
      <c r="L6" s="22"/>
      <c r="M6" s="22"/>
      <c r="N6" s="22"/>
      <c r="O6" s="22"/>
      <c r="P6" s="23"/>
      <c r="Q6" s="21"/>
      <c r="R6" s="21"/>
      <c r="S6" s="21"/>
      <c r="T6" s="21"/>
      <c r="U6" s="8"/>
      <c r="V6" s="8"/>
    </row>
    <row r="7" spans="1:34" s="3" customFormat="1" ht="18.75" customHeight="1" x14ac:dyDescent="0.3">
      <c r="A7" s="107" t="s">
        <v>319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7"/>
      <c r="V7" s="7"/>
    </row>
    <row r="8" spans="1:34" ht="20.25" customHeight="1" x14ac:dyDescent="0.25">
      <c r="A8" s="108" t="s">
        <v>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4"/>
      <c r="V8" s="4"/>
    </row>
    <row r="9" spans="1:34" ht="13.5" customHeight="1" x14ac:dyDescent="0.25">
      <c r="A9" s="24"/>
      <c r="B9" s="24"/>
      <c r="C9" s="24"/>
      <c r="D9" s="25"/>
      <c r="E9" s="25"/>
      <c r="F9" s="25"/>
      <c r="G9" s="25"/>
      <c r="H9" s="24"/>
      <c r="I9" s="25"/>
      <c r="J9" s="25"/>
      <c r="K9" s="25"/>
      <c r="L9" s="25"/>
      <c r="M9" s="25"/>
      <c r="N9" s="25"/>
      <c r="O9" s="25"/>
      <c r="P9" s="26"/>
      <c r="Q9" s="24"/>
      <c r="R9" s="24"/>
      <c r="S9" s="24"/>
      <c r="T9" s="24"/>
      <c r="U9" s="6"/>
      <c r="V9" s="6"/>
    </row>
    <row r="10" spans="1:34" ht="17.25" customHeight="1" x14ac:dyDescent="0.3">
      <c r="A10" s="109" t="s">
        <v>747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"/>
      <c r="V10" s="10"/>
    </row>
    <row r="11" spans="1:34" ht="18.75" customHeight="1" x14ac:dyDescent="0.25">
      <c r="A11" s="110" t="s">
        <v>744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7.25" customHeight="1" x14ac:dyDescent="0.25">
      <c r="A12" s="110" t="s">
        <v>745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8.75" customHeight="1" x14ac:dyDescent="0.3">
      <c r="H13" s="27"/>
      <c r="J13" s="17"/>
      <c r="L13" s="17"/>
      <c r="M13" s="17"/>
      <c r="N13" s="17"/>
      <c r="R13" s="27"/>
      <c r="S13" s="27"/>
      <c r="V13" s="5"/>
    </row>
    <row r="14" spans="1:34" ht="19.5" customHeight="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"/>
      <c r="V14" s="9"/>
    </row>
    <row r="15" spans="1:34" ht="84.75" customHeight="1" x14ac:dyDescent="0.25">
      <c r="A15" s="99" t="s">
        <v>8</v>
      </c>
      <c r="B15" s="99" t="s">
        <v>6</v>
      </c>
      <c r="C15" s="99" t="s">
        <v>1</v>
      </c>
      <c r="D15" s="86" t="s">
        <v>45</v>
      </c>
      <c r="E15" s="86" t="s">
        <v>320</v>
      </c>
      <c r="F15" s="86" t="s">
        <v>322</v>
      </c>
      <c r="G15" s="100" t="s">
        <v>321</v>
      </c>
      <c r="H15" s="101"/>
      <c r="I15" s="101"/>
      <c r="J15" s="101"/>
      <c r="K15" s="101"/>
      <c r="L15" s="101"/>
      <c r="M15" s="101"/>
      <c r="N15" s="101"/>
      <c r="O15" s="101"/>
      <c r="P15" s="102"/>
      <c r="Q15" s="103" t="s">
        <v>46</v>
      </c>
      <c r="R15" s="99" t="s">
        <v>41</v>
      </c>
      <c r="S15" s="99"/>
      <c r="T15" s="99" t="s">
        <v>2</v>
      </c>
      <c r="U15" s="3"/>
      <c r="V15" s="3"/>
    </row>
    <row r="16" spans="1:34" ht="69" customHeight="1" x14ac:dyDescent="0.25">
      <c r="A16" s="99"/>
      <c r="B16" s="99"/>
      <c r="C16" s="99"/>
      <c r="D16" s="87"/>
      <c r="E16" s="87"/>
      <c r="F16" s="87"/>
      <c r="G16" s="100" t="s">
        <v>7</v>
      </c>
      <c r="H16" s="102"/>
      <c r="I16" s="100" t="s">
        <v>10</v>
      </c>
      <c r="J16" s="102"/>
      <c r="K16" s="100" t="s">
        <v>11</v>
      </c>
      <c r="L16" s="102"/>
      <c r="M16" s="100" t="s">
        <v>12</v>
      </c>
      <c r="N16" s="102"/>
      <c r="O16" s="100" t="s">
        <v>13</v>
      </c>
      <c r="P16" s="102"/>
      <c r="Q16" s="104"/>
      <c r="R16" s="99" t="s">
        <v>47</v>
      </c>
      <c r="S16" s="99" t="s">
        <v>3</v>
      </c>
      <c r="T16" s="99"/>
    </row>
    <row r="17" spans="1:20" ht="32.25" customHeight="1" x14ac:dyDescent="0.25">
      <c r="A17" s="99"/>
      <c r="B17" s="99"/>
      <c r="C17" s="99"/>
      <c r="D17" s="88"/>
      <c r="E17" s="88"/>
      <c r="F17" s="88"/>
      <c r="G17" s="28" t="s">
        <v>4</v>
      </c>
      <c r="H17" s="29" t="s">
        <v>5</v>
      </c>
      <c r="I17" s="28" t="s">
        <v>4</v>
      </c>
      <c r="J17" s="28" t="s">
        <v>5</v>
      </c>
      <c r="K17" s="28" t="s">
        <v>4</v>
      </c>
      <c r="L17" s="28" t="s">
        <v>5</v>
      </c>
      <c r="M17" s="28" t="s">
        <v>4</v>
      </c>
      <c r="N17" s="28" t="s">
        <v>5</v>
      </c>
      <c r="O17" s="28" t="s">
        <v>4</v>
      </c>
      <c r="P17" s="30" t="s">
        <v>5</v>
      </c>
      <c r="Q17" s="105"/>
      <c r="R17" s="99"/>
      <c r="S17" s="99"/>
      <c r="T17" s="99"/>
    </row>
    <row r="18" spans="1:20" x14ac:dyDescent="0.25">
      <c r="A18" s="29">
        <v>1</v>
      </c>
      <c r="B18" s="29">
        <f>A18+1</f>
        <v>2</v>
      </c>
      <c r="C18" s="29">
        <f t="shared" ref="C18:T18" si="0">B18+1</f>
        <v>3</v>
      </c>
      <c r="D18" s="28">
        <f t="shared" si="0"/>
        <v>4</v>
      </c>
      <c r="E18" s="28">
        <f>D18+1</f>
        <v>5</v>
      </c>
      <c r="F18" s="28">
        <f t="shared" si="0"/>
        <v>6</v>
      </c>
      <c r="G18" s="28">
        <f>F18+1</f>
        <v>7</v>
      </c>
      <c r="H18" s="29">
        <f t="shared" si="0"/>
        <v>8</v>
      </c>
      <c r="I18" s="28">
        <f>H18+1</f>
        <v>9</v>
      </c>
      <c r="J18" s="28">
        <f>I18+1</f>
        <v>10</v>
      </c>
      <c r="K18" s="28">
        <f>J18+1</f>
        <v>11</v>
      </c>
      <c r="L18" s="28">
        <f t="shared" si="0"/>
        <v>12</v>
      </c>
      <c r="M18" s="28">
        <f>L18+1</f>
        <v>13</v>
      </c>
      <c r="N18" s="28">
        <f t="shared" si="0"/>
        <v>14</v>
      </c>
      <c r="O18" s="28">
        <f>N18+1</f>
        <v>15</v>
      </c>
      <c r="P18" s="31">
        <f t="shared" si="0"/>
        <v>16</v>
      </c>
      <c r="Q18" s="29">
        <f t="shared" si="0"/>
        <v>17</v>
      </c>
      <c r="R18" s="29">
        <f t="shared" si="0"/>
        <v>18</v>
      </c>
      <c r="S18" s="29">
        <f t="shared" si="0"/>
        <v>19</v>
      </c>
      <c r="T18" s="29">
        <f t="shared" si="0"/>
        <v>20</v>
      </c>
    </row>
    <row r="19" spans="1:20" s="13" customFormat="1" x14ac:dyDescent="0.25">
      <c r="A19" s="32" t="s">
        <v>49</v>
      </c>
      <c r="B19" s="33" t="s">
        <v>14</v>
      </c>
      <c r="C19" s="34" t="s">
        <v>50</v>
      </c>
      <c r="D19" s="35">
        <v>357.37923074000003</v>
      </c>
      <c r="E19" s="35">
        <f>E20+E21+E22+E23+E24+E25</f>
        <v>56.503586195999993</v>
      </c>
      <c r="F19" s="35">
        <f t="shared" ref="F19:F82" si="1">D19-E19</f>
        <v>300.87564454400001</v>
      </c>
      <c r="G19" s="35">
        <f t="shared" ref="G19:G28" si="2">I19+K19+M19+O19</f>
        <v>357.37923074000003</v>
      </c>
      <c r="H19" s="35">
        <f>J19+L19+N19+P19</f>
        <v>299.23256245200002</v>
      </c>
      <c r="I19" s="35">
        <f>I20+I21+I22+I23+I24+I25</f>
        <v>37.149223553072268</v>
      </c>
      <c r="J19" s="35">
        <f t="shared" ref="J19:O19" si="3">J20+J21+J22+J23+J24+J25</f>
        <v>43.817229384000001</v>
      </c>
      <c r="K19" s="35">
        <f t="shared" si="3"/>
        <v>139.4478873125299</v>
      </c>
      <c r="L19" s="35">
        <f t="shared" si="3"/>
        <v>38.294204496000006</v>
      </c>
      <c r="M19" s="35">
        <f t="shared" si="3"/>
        <v>93.020520523296</v>
      </c>
      <c r="N19" s="35">
        <f t="shared" si="3"/>
        <v>63.579917760000008</v>
      </c>
      <c r="O19" s="35">
        <f t="shared" si="3"/>
        <v>87.76159935110185</v>
      </c>
      <c r="P19" s="35">
        <f>P20+P21+P22+P23+P24+P25</f>
        <v>153.541210812</v>
      </c>
      <c r="Q19" s="35">
        <f t="shared" ref="Q19:Q82" si="4">F19-H19</f>
        <v>1.643082091999986</v>
      </c>
      <c r="R19" s="35">
        <f>(J19+L19+N19+P19)-(I19+K19+M19+O19)</f>
        <v>-58.146668288000001</v>
      </c>
      <c r="S19" s="36">
        <f>(J19+L19+N19+P19)/(I19+K19+M19+O19)*100-100</f>
        <v>-16.270298687363507</v>
      </c>
      <c r="T19" s="37" t="s">
        <v>48</v>
      </c>
    </row>
    <row r="20" spans="1:20" s="13" customFormat="1" x14ac:dyDescent="0.25">
      <c r="A20" s="32" t="s">
        <v>51</v>
      </c>
      <c r="B20" s="33" t="s">
        <v>52</v>
      </c>
      <c r="C20" s="34" t="s">
        <v>50</v>
      </c>
      <c r="D20" s="35">
        <v>113.64030287398398</v>
      </c>
      <c r="E20" s="35">
        <f>E27</f>
        <v>47.810439551999998</v>
      </c>
      <c r="F20" s="35">
        <f t="shared" si="1"/>
        <v>65.829863321983993</v>
      </c>
      <c r="G20" s="35">
        <f t="shared" si="2"/>
        <v>113.64030287398398</v>
      </c>
      <c r="H20" s="35">
        <f t="shared" ref="H20:H83" si="5">J20+L20+N20+P20</f>
        <v>94.968026160000008</v>
      </c>
      <c r="I20" s="35">
        <f>I27</f>
        <v>27.639449718495996</v>
      </c>
      <c r="J20" s="35">
        <f t="shared" ref="J20:O20" si="6">J27</f>
        <v>10.398104916000001</v>
      </c>
      <c r="K20" s="35">
        <f t="shared" si="6"/>
        <v>27.639444718495998</v>
      </c>
      <c r="L20" s="35">
        <f t="shared" si="6"/>
        <v>23.482189488000003</v>
      </c>
      <c r="M20" s="35">
        <f t="shared" si="6"/>
        <v>27.639439718495996</v>
      </c>
      <c r="N20" s="35">
        <f t="shared" si="6"/>
        <v>43.384248828000004</v>
      </c>
      <c r="O20" s="35">
        <f t="shared" si="6"/>
        <v>30.721968718495997</v>
      </c>
      <c r="P20" s="35">
        <f>P27</f>
        <v>17.703482928000003</v>
      </c>
      <c r="Q20" s="35">
        <f t="shared" si="4"/>
        <v>-29.138162838016015</v>
      </c>
      <c r="R20" s="35">
        <f t="shared" ref="R20:R83" si="7">(J20+L20+N20+P20)-(I20+K20+M20+O20)</f>
        <v>-18.672276713983976</v>
      </c>
      <c r="S20" s="36">
        <f t="shared" ref="S20:S77" si="8">(J20+L20+N20+P20)/(I20+K20+M20+O20)*100-100</f>
        <v>-16.431033921732592</v>
      </c>
      <c r="T20" s="37" t="s">
        <v>48</v>
      </c>
    </row>
    <row r="21" spans="1:20" s="13" customFormat="1" x14ac:dyDescent="0.25">
      <c r="A21" s="32" t="s">
        <v>53</v>
      </c>
      <c r="B21" s="33" t="s">
        <v>54</v>
      </c>
      <c r="C21" s="34" t="s">
        <v>50</v>
      </c>
      <c r="D21" s="35">
        <v>160.74550229056271</v>
      </c>
      <c r="E21" s="35">
        <f>E156</f>
        <v>6.7699876559999996</v>
      </c>
      <c r="F21" s="35">
        <f t="shared" si="1"/>
        <v>153.9755146345627</v>
      </c>
      <c r="G21" s="35">
        <f t="shared" si="2"/>
        <v>160.74550229056271</v>
      </c>
      <c r="H21" s="35">
        <f t="shared" si="5"/>
        <v>115.12294576799999</v>
      </c>
      <c r="I21" s="35">
        <f>I156</f>
        <v>7.8148214776271185</v>
      </c>
      <c r="J21" s="35">
        <f t="shared" ref="J21:O21" si="9">J156</f>
        <v>22.333238231999996</v>
      </c>
      <c r="K21" s="35">
        <f t="shared" si="9"/>
        <v>83.925074750644072</v>
      </c>
      <c r="L21" s="35">
        <f t="shared" si="9"/>
        <v>11.432494152000004</v>
      </c>
      <c r="M21" s="35">
        <f t="shared" si="9"/>
        <v>38.865134849410182</v>
      </c>
      <c r="N21" s="35">
        <f t="shared" si="9"/>
        <v>17.201938164000001</v>
      </c>
      <c r="O21" s="35">
        <f t="shared" si="9"/>
        <v>30.140471212881359</v>
      </c>
      <c r="P21" s="35">
        <f>P156</f>
        <v>64.155275219999993</v>
      </c>
      <c r="Q21" s="35">
        <f t="shared" si="4"/>
        <v>38.852568866562706</v>
      </c>
      <c r="R21" s="35">
        <f t="shared" si="7"/>
        <v>-45.622556522562718</v>
      </c>
      <c r="S21" s="36">
        <f t="shared" si="8"/>
        <v>-28.381855711331582</v>
      </c>
      <c r="T21" s="37" t="s">
        <v>48</v>
      </c>
    </row>
    <row r="22" spans="1:20" s="13" customFormat="1" ht="25.5" x14ac:dyDescent="0.25">
      <c r="A22" s="32" t="s">
        <v>55</v>
      </c>
      <c r="B22" s="33" t="s">
        <v>56</v>
      </c>
      <c r="C22" s="34" t="s">
        <v>50</v>
      </c>
      <c r="D22" s="35">
        <v>0</v>
      </c>
      <c r="E22" s="35">
        <f>E442</f>
        <v>0</v>
      </c>
      <c r="F22" s="35">
        <f t="shared" si="1"/>
        <v>0</v>
      </c>
      <c r="G22" s="35">
        <f t="shared" si="2"/>
        <v>0</v>
      </c>
      <c r="H22" s="35">
        <f t="shared" si="5"/>
        <v>0</v>
      </c>
      <c r="I22" s="35">
        <f>I442</f>
        <v>0</v>
      </c>
      <c r="J22" s="35">
        <f>J442</f>
        <v>0</v>
      </c>
      <c r="K22" s="35">
        <v>0</v>
      </c>
      <c r="L22" s="35">
        <f>L442</f>
        <v>0</v>
      </c>
      <c r="M22" s="35">
        <v>0</v>
      </c>
      <c r="N22" s="35">
        <f>N442</f>
        <v>0</v>
      </c>
      <c r="O22" s="35">
        <v>0</v>
      </c>
      <c r="P22" s="35">
        <v>0</v>
      </c>
      <c r="Q22" s="35">
        <f t="shared" si="4"/>
        <v>0</v>
      </c>
      <c r="R22" s="35">
        <f t="shared" si="7"/>
        <v>0</v>
      </c>
      <c r="S22" s="36">
        <v>0</v>
      </c>
      <c r="T22" s="37" t="s">
        <v>48</v>
      </c>
    </row>
    <row r="23" spans="1:20" s="13" customFormat="1" x14ac:dyDescent="0.25">
      <c r="A23" s="32" t="s">
        <v>57</v>
      </c>
      <c r="B23" s="33" t="s">
        <v>58</v>
      </c>
      <c r="C23" s="34" t="s">
        <v>50</v>
      </c>
      <c r="D23" s="35">
        <v>29.063289575453304</v>
      </c>
      <c r="E23" s="35">
        <f>E445</f>
        <v>1.1462098439999999</v>
      </c>
      <c r="F23" s="35">
        <f t="shared" si="1"/>
        <v>27.917079731453303</v>
      </c>
      <c r="G23" s="35">
        <f t="shared" si="2"/>
        <v>29.063289575453304</v>
      </c>
      <c r="H23" s="35">
        <f t="shared" si="5"/>
        <v>51.819581147999997</v>
      </c>
      <c r="I23" s="35">
        <f>I445</f>
        <v>1.6949523569491527</v>
      </c>
      <c r="J23" s="35">
        <f t="shared" ref="J23:O24" si="10">J445</f>
        <v>1.3588357440000003</v>
      </c>
      <c r="K23" s="35">
        <f t="shared" si="10"/>
        <v>5.2157398433898301</v>
      </c>
      <c r="L23" s="35">
        <f t="shared" si="10"/>
        <v>3.5467055880000005</v>
      </c>
      <c r="M23" s="35">
        <f t="shared" si="10"/>
        <v>18.025945955389833</v>
      </c>
      <c r="N23" s="35">
        <f t="shared" si="10"/>
        <v>2.9937307679999998</v>
      </c>
      <c r="O23" s="35">
        <f t="shared" si="10"/>
        <v>4.1266514197244906</v>
      </c>
      <c r="P23" s="35">
        <f>P445</f>
        <v>43.920309048</v>
      </c>
      <c r="Q23" s="35">
        <f t="shared" si="4"/>
        <v>-23.902501416546695</v>
      </c>
      <c r="R23" s="35">
        <f t="shared" si="7"/>
        <v>22.756291572546694</v>
      </c>
      <c r="S23" s="36">
        <f t="shared" si="8"/>
        <v>78.299091069740882</v>
      </c>
      <c r="T23" s="37" t="s">
        <v>48</v>
      </c>
    </row>
    <row r="24" spans="1:20" s="13" customFormat="1" ht="25.5" x14ac:dyDescent="0.25">
      <c r="A24" s="32" t="s">
        <v>59</v>
      </c>
      <c r="B24" s="33" t="s">
        <v>60</v>
      </c>
      <c r="C24" s="34" t="s">
        <v>50</v>
      </c>
      <c r="D24" s="35">
        <v>0</v>
      </c>
      <c r="E24" s="35">
        <f>E497</f>
        <v>0</v>
      </c>
      <c r="F24" s="35">
        <f t="shared" si="1"/>
        <v>0</v>
      </c>
      <c r="G24" s="35">
        <f t="shared" si="2"/>
        <v>0</v>
      </c>
      <c r="H24" s="35">
        <f t="shared" si="5"/>
        <v>0</v>
      </c>
      <c r="I24" s="35">
        <f t="shared" ref="I24" si="11">I446</f>
        <v>0</v>
      </c>
      <c r="J24" s="35">
        <f t="shared" si="10"/>
        <v>0</v>
      </c>
      <c r="K24" s="35">
        <v>0</v>
      </c>
      <c r="L24" s="35">
        <f t="shared" si="10"/>
        <v>0</v>
      </c>
      <c r="M24" s="35">
        <v>0</v>
      </c>
      <c r="N24" s="35">
        <f t="shared" si="10"/>
        <v>0</v>
      </c>
      <c r="O24" s="35">
        <v>0</v>
      </c>
      <c r="P24" s="35">
        <v>0</v>
      </c>
      <c r="Q24" s="35">
        <f t="shared" si="4"/>
        <v>0</v>
      </c>
      <c r="R24" s="35">
        <f t="shared" si="7"/>
        <v>0</v>
      </c>
      <c r="S24" s="36">
        <v>0</v>
      </c>
      <c r="T24" s="37" t="s">
        <v>48</v>
      </c>
    </row>
    <row r="25" spans="1:20" s="13" customFormat="1" x14ac:dyDescent="0.25">
      <c r="A25" s="32" t="s">
        <v>61</v>
      </c>
      <c r="B25" s="33" t="s">
        <v>62</v>
      </c>
      <c r="C25" s="34" t="s">
        <v>50</v>
      </c>
      <c r="D25" s="35">
        <v>53.930136000000005</v>
      </c>
      <c r="E25" s="35">
        <f>E498</f>
        <v>0.77694914399999992</v>
      </c>
      <c r="F25" s="35">
        <f t="shared" si="1"/>
        <v>53.153186856000005</v>
      </c>
      <c r="G25" s="35">
        <f t="shared" si="2"/>
        <v>53.930136000000005</v>
      </c>
      <c r="H25" s="35">
        <f t="shared" si="5"/>
        <v>37.322009375999997</v>
      </c>
      <c r="I25" s="35">
        <f t="shared" ref="I25:O25" si="12">I498</f>
        <v>0</v>
      </c>
      <c r="J25" s="35">
        <f t="shared" si="12"/>
        <v>9.727050492</v>
      </c>
      <c r="K25" s="35">
        <f t="shared" si="12"/>
        <v>22.667628000000001</v>
      </c>
      <c r="L25" s="35">
        <f t="shared" si="12"/>
        <v>-0.16718473200000003</v>
      </c>
      <c r="M25" s="35">
        <f t="shared" si="12"/>
        <v>8.49</v>
      </c>
      <c r="N25" s="35">
        <f t="shared" si="12"/>
        <v>0</v>
      </c>
      <c r="O25" s="35">
        <f t="shared" si="12"/>
        <v>22.772507999999998</v>
      </c>
      <c r="P25" s="35">
        <f>P498</f>
        <v>27.762143615999996</v>
      </c>
      <c r="Q25" s="35">
        <f t="shared" si="4"/>
        <v>15.831177480000008</v>
      </c>
      <c r="R25" s="35">
        <f t="shared" si="7"/>
        <v>-16.608126624000008</v>
      </c>
      <c r="S25" s="36">
        <f t="shared" si="8"/>
        <v>-30.795632749748691</v>
      </c>
      <c r="T25" s="37" t="s">
        <v>48</v>
      </c>
    </row>
    <row r="26" spans="1:20" s="13" customFormat="1" x14ac:dyDescent="0.25">
      <c r="A26" s="32" t="s">
        <v>63</v>
      </c>
      <c r="B26" s="33" t="s">
        <v>64</v>
      </c>
      <c r="C26" s="34" t="s">
        <v>50</v>
      </c>
      <c r="D26" s="35">
        <v>0</v>
      </c>
      <c r="E26" s="35">
        <v>0</v>
      </c>
      <c r="F26" s="35">
        <f t="shared" si="1"/>
        <v>0</v>
      </c>
      <c r="G26" s="35">
        <f t="shared" si="2"/>
        <v>0</v>
      </c>
      <c r="H26" s="35">
        <f t="shared" si="5"/>
        <v>0</v>
      </c>
      <c r="I26" s="38">
        <v>0</v>
      </c>
      <c r="J26" s="35">
        <v>0</v>
      </c>
      <c r="K26" s="38">
        <v>0</v>
      </c>
      <c r="L26" s="35">
        <v>0</v>
      </c>
      <c r="M26" s="38">
        <v>0</v>
      </c>
      <c r="N26" s="35">
        <v>0</v>
      </c>
      <c r="O26" s="38">
        <v>0</v>
      </c>
      <c r="P26" s="35">
        <v>0</v>
      </c>
      <c r="Q26" s="35">
        <f t="shared" si="4"/>
        <v>0</v>
      </c>
      <c r="R26" s="35">
        <f t="shared" si="7"/>
        <v>0</v>
      </c>
      <c r="S26" s="36">
        <v>0</v>
      </c>
      <c r="T26" s="37" t="s">
        <v>48</v>
      </c>
    </row>
    <row r="27" spans="1:20" s="13" customFormat="1" ht="15.75" customHeight="1" x14ac:dyDescent="0.25">
      <c r="A27" s="32" t="s">
        <v>15</v>
      </c>
      <c r="B27" s="39" t="s">
        <v>65</v>
      </c>
      <c r="C27" s="40" t="s">
        <v>50</v>
      </c>
      <c r="D27" s="35">
        <v>113.64030287398398</v>
      </c>
      <c r="E27" s="35">
        <f>E28+E135</f>
        <v>47.810439551999998</v>
      </c>
      <c r="F27" s="35">
        <f t="shared" si="1"/>
        <v>65.829863321983993</v>
      </c>
      <c r="G27" s="35">
        <f t="shared" si="2"/>
        <v>113.64030287398398</v>
      </c>
      <c r="H27" s="35">
        <f t="shared" si="5"/>
        <v>94.968026160000008</v>
      </c>
      <c r="I27" s="35">
        <f t="shared" ref="I27:O27" si="13">I28+I135</f>
        <v>27.639449718495996</v>
      </c>
      <c r="J27" s="35">
        <f t="shared" si="13"/>
        <v>10.398104916000001</v>
      </c>
      <c r="K27" s="35">
        <f t="shared" si="13"/>
        <v>27.639444718495998</v>
      </c>
      <c r="L27" s="35">
        <f t="shared" si="13"/>
        <v>23.482189488000003</v>
      </c>
      <c r="M27" s="35">
        <f t="shared" si="13"/>
        <v>27.639439718495996</v>
      </c>
      <c r="N27" s="35">
        <f t="shared" si="13"/>
        <v>43.384248828000004</v>
      </c>
      <c r="O27" s="35">
        <f t="shared" si="13"/>
        <v>30.721968718495997</v>
      </c>
      <c r="P27" s="35">
        <f>P28+P135</f>
        <v>17.703482928000003</v>
      </c>
      <c r="Q27" s="35">
        <f t="shared" si="4"/>
        <v>-29.138162838016015</v>
      </c>
      <c r="R27" s="35">
        <f t="shared" si="7"/>
        <v>-18.672276713983976</v>
      </c>
      <c r="S27" s="36">
        <f t="shared" si="8"/>
        <v>-16.431033921732592</v>
      </c>
      <c r="T27" s="117" t="s">
        <v>653</v>
      </c>
    </row>
    <row r="28" spans="1:20" s="13" customFormat="1" ht="25.5" x14ac:dyDescent="0.25">
      <c r="A28" s="32" t="s">
        <v>16</v>
      </c>
      <c r="B28" s="39" t="s">
        <v>66</v>
      </c>
      <c r="C28" s="40" t="s">
        <v>50</v>
      </c>
      <c r="D28" s="35">
        <v>110.741792</v>
      </c>
      <c r="E28" s="35">
        <f>E30+E45+E61</f>
        <v>47.737404900000001</v>
      </c>
      <c r="F28" s="35">
        <f t="shared" si="1"/>
        <v>63.004387100000002</v>
      </c>
      <c r="G28" s="35">
        <f t="shared" si="2"/>
        <v>110.741792</v>
      </c>
      <c r="H28" s="35">
        <f t="shared" si="5"/>
        <v>93.883652159999997</v>
      </c>
      <c r="I28" s="35">
        <f>I30+I45+I61</f>
        <v>26.914821999999997</v>
      </c>
      <c r="J28" s="35">
        <v>10.079964540000001</v>
      </c>
      <c r="K28" s="35">
        <f t="shared" ref="K28:P28" si="14">K30+K45+K61</f>
        <v>26.914816999999999</v>
      </c>
      <c r="L28" s="35">
        <f t="shared" si="14"/>
        <v>23.240863908000001</v>
      </c>
      <c r="M28" s="35">
        <f t="shared" si="14"/>
        <v>26.914811999999998</v>
      </c>
      <c r="N28" s="35">
        <f t="shared" si="14"/>
        <v>42.977073300000001</v>
      </c>
      <c r="O28" s="35">
        <f t="shared" si="14"/>
        <v>29.997340999999999</v>
      </c>
      <c r="P28" s="35">
        <f t="shared" si="14"/>
        <v>17.585750412000003</v>
      </c>
      <c r="Q28" s="35">
        <f t="shared" si="4"/>
        <v>-30.879265059999994</v>
      </c>
      <c r="R28" s="35">
        <f t="shared" si="7"/>
        <v>-16.858139840000007</v>
      </c>
      <c r="S28" s="36">
        <f t="shared" si="8"/>
        <v>-15.222924909866009</v>
      </c>
      <c r="T28" s="118"/>
    </row>
    <row r="29" spans="1:20" s="13" customFormat="1" ht="25.5" x14ac:dyDescent="0.25">
      <c r="A29" s="32" t="s">
        <v>17</v>
      </c>
      <c r="B29" s="39" t="s">
        <v>67</v>
      </c>
      <c r="C29" s="40" t="s">
        <v>50</v>
      </c>
      <c r="D29" s="35">
        <v>0</v>
      </c>
      <c r="E29" s="35">
        <v>0</v>
      </c>
      <c r="F29" s="35">
        <f t="shared" si="1"/>
        <v>0</v>
      </c>
      <c r="G29" s="35">
        <v>0</v>
      </c>
      <c r="H29" s="35">
        <f t="shared" si="5"/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f t="shared" si="4"/>
        <v>0</v>
      </c>
      <c r="R29" s="35">
        <f t="shared" si="7"/>
        <v>0</v>
      </c>
      <c r="S29" s="36">
        <v>0</v>
      </c>
      <c r="T29" s="118"/>
    </row>
    <row r="30" spans="1:20" s="13" customFormat="1" ht="25.5" x14ac:dyDescent="0.25">
      <c r="A30" s="41" t="s">
        <v>17</v>
      </c>
      <c r="B30" s="42" t="s">
        <v>68</v>
      </c>
      <c r="C30" s="43" t="s">
        <v>50</v>
      </c>
      <c r="D30" s="35">
        <v>29.772835999999998</v>
      </c>
      <c r="E30" s="35">
        <f>SUM(E31:E43)</f>
        <v>7.0085961959999992</v>
      </c>
      <c r="F30" s="35">
        <f t="shared" si="1"/>
        <v>22.764239803999999</v>
      </c>
      <c r="G30" s="35">
        <f>I30+K30+M30+O30</f>
        <v>29.772835999999998</v>
      </c>
      <c r="H30" s="35">
        <f t="shared" si="5"/>
        <v>10.163277563999999</v>
      </c>
      <c r="I30" s="35">
        <f>SUM(I31:I43)</f>
        <v>7.4432139999999993</v>
      </c>
      <c r="J30" s="35">
        <f t="shared" ref="J30:O30" si="15">SUM(J31:J43)</f>
        <v>2.4993947999999997</v>
      </c>
      <c r="K30" s="35">
        <f t="shared" si="15"/>
        <v>7.4432089999999995</v>
      </c>
      <c r="L30" s="35">
        <f t="shared" si="15"/>
        <v>2.3436489119999999</v>
      </c>
      <c r="M30" s="35">
        <f t="shared" si="15"/>
        <v>7.4432039999999997</v>
      </c>
      <c r="N30" s="35">
        <f t="shared" si="15"/>
        <v>3.4905766799999993</v>
      </c>
      <c r="O30" s="35">
        <f t="shared" si="15"/>
        <v>7.4432089999999995</v>
      </c>
      <c r="P30" s="35">
        <f>SUM(P31:P43)</f>
        <v>1.8296571719999999</v>
      </c>
      <c r="Q30" s="35">
        <f t="shared" si="4"/>
        <v>12.600962239999999</v>
      </c>
      <c r="R30" s="35">
        <f t="shared" si="7"/>
        <v>-19.609558436</v>
      </c>
      <c r="S30" s="36">
        <f t="shared" si="8"/>
        <v>-65.863925210215115</v>
      </c>
      <c r="T30" s="118"/>
    </row>
    <row r="31" spans="1:20" s="14" customFormat="1" ht="25.5" x14ac:dyDescent="0.25">
      <c r="A31" s="44" t="s">
        <v>17</v>
      </c>
      <c r="B31" s="45" t="s">
        <v>489</v>
      </c>
      <c r="C31" s="46" t="s">
        <v>490</v>
      </c>
      <c r="D31" s="47">
        <v>0</v>
      </c>
      <c r="E31" s="47">
        <f>2759.78*1.2/1000000</f>
        <v>3.3117360000000005E-3</v>
      </c>
      <c r="F31" s="47">
        <f t="shared" si="1"/>
        <v>-3.3117360000000005E-3</v>
      </c>
      <c r="G31" s="47">
        <v>0</v>
      </c>
      <c r="H31" s="47">
        <f t="shared" si="5"/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f t="shared" si="4"/>
        <v>-3.3117360000000005E-3</v>
      </c>
      <c r="R31" s="47">
        <f t="shared" si="7"/>
        <v>0</v>
      </c>
      <c r="S31" s="48">
        <v>0</v>
      </c>
      <c r="T31" s="118"/>
    </row>
    <row r="32" spans="1:20" s="14" customFormat="1" ht="25.5" x14ac:dyDescent="0.25">
      <c r="A32" s="44" t="s">
        <v>17</v>
      </c>
      <c r="B32" s="45" t="s">
        <v>485</v>
      </c>
      <c r="C32" s="46" t="s">
        <v>486</v>
      </c>
      <c r="D32" s="47">
        <v>0</v>
      </c>
      <c r="E32" s="47">
        <f>(46427.2+18233.57)*1.2/1000000</f>
        <v>7.7592923999999994E-2</v>
      </c>
      <c r="F32" s="47">
        <f t="shared" si="1"/>
        <v>-7.7592923999999994E-2</v>
      </c>
      <c r="G32" s="47">
        <v>0</v>
      </c>
      <c r="H32" s="47">
        <f t="shared" si="5"/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f t="shared" si="4"/>
        <v>-7.7592923999999994E-2</v>
      </c>
      <c r="R32" s="47">
        <f t="shared" si="7"/>
        <v>0</v>
      </c>
      <c r="S32" s="48">
        <v>0</v>
      </c>
      <c r="T32" s="118"/>
    </row>
    <row r="33" spans="1:20" s="14" customFormat="1" ht="25.5" x14ac:dyDescent="0.25">
      <c r="A33" s="44" t="s">
        <v>17</v>
      </c>
      <c r="B33" s="45" t="s">
        <v>487</v>
      </c>
      <c r="C33" s="46" t="s">
        <v>488</v>
      </c>
      <c r="D33" s="47">
        <v>0</v>
      </c>
      <c r="E33" s="47">
        <f>8822.57*1.2/1000000</f>
        <v>1.0587083999999998E-2</v>
      </c>
      <c r="F33" s="47">
        <f t="shared" si="1"/>
        <v>-1.0587083999999998E-2</v>
      </c>
      <c r="G33" s="47">
        <v>0</v>
      </c>
      <c r="H33" s="47">
        <f t="shared" si="5"/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f t="shared" si="4"/>
        <v>-1.0587083999999998E-2</v>
      </c>
      <c r="R33" s="47">
        <f t="shared" si="7"/>
        <v>0</v>
      </c>
      <c r="S33" s="48">
        <v>0</v>
      </c>
      <c r="T33" s="118"/>
    </row>
    <row r="34" spans="1:20" s="14" customFormat="1" ht="26.25" x14ac:dyDescent="0.25">
      <c r="A34" s="44" t="s">
        <v>17</v>
      </c>
      <c r="B34" s="49" t="s">
        <v>477</v>
      </c>
      <c r="C34" s="50" t="s">
        <v>478</v>
      </c>
      <c r="D34" s="47">
        <v>0</v>
      </c>
      <c r="E34" s="47">
        <f>11508.29*1.2/1000000</f>
        <v>1.3809948000000001E-2</v>
      </c>
      <c r="F34" s="47">
        <f t="shared" si="1"/>
        <v>-1.3809948000000001E-2</v>
      </c>
      <c r="G34" s="47">
        <v>0</v>
      </c>
      <c r="H34" s="47">
        <f t="shared" si="5"/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f t="shared" si="4"/>
        <v>-1.3809948000000001E-2</v>
      </c>
      <c r="R34" s="47">
        <f t="shared" si="7"/>
        <v>0</v>
      </c>
      <c r="S34" s="48">
        <v>0</v>
      </c>
      <c r="T34" s="118"/>
    </row>
    <row r="35" spans="1:20" s="14" customFormat="1" ht="26.25" x14ac:dyDescent="0.25">
      <c r="A35" s="44" t="s">
        <v>17</v>
      </c>
      <c r="B35" s="49" t="s">
        <v>481</v>
      </c>
      <c r="C35" s="50" t="s">
        <v>482</v>
      </c>
      <c r="D35" s="47">
        <v>0</v>
      </c>
      <c r="E35" s="47">
        <f>24909.32*1.2/1000000</f>
        <v>2.9891183999999998E-2</v>
      </c>
      <c r="F35" s="47">
        <f t="shared" si="1"/>
        <v>-2.9891183999999998E-2</v>
      </c>
      <c r="G35" s="47">
        <v>0</v>
      </c>
      <c r="H35" s="47">
        <f t="shared" si="5"/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f t="shared" si="4"/>
        <v>-2.9891183999999998E-2</v>
      </c>
      <c r="R35" s="47">
        <f t="shared" si="7"/>
        <v>0</v>
      </c>
      <c r="S35" s="48">
        <v>0</v>
      </c>
      <c r="T35" s="118"/>
    </row>
    <row r="36" spans="1:20" s="14" customFormat="1" ht="25.5" x14ac:dyDescent="0.25">
      <c r="A36" s="44" t="s">
        <v>17</v>
      </c>
      <c r="B36" s="45" t="s">
        <v>475</v>
      </c>
      <c r="C36" s="51" t="s">
        <v>476</v>
      </c>
      <c r="D36" s="47">
        <v>0</v>
      </c>
      <c r="E36" s="47">
        <f>(19088.72+29834.59)*1.2/1000000</f>
        <v>5.8707971999999997E-2</v>
      </c>
      <c r="F36" s="47">
        <f t="shared" si="1"/>
        <v>-5.8707971999999997E-2</v>
      </c>
      <c r="G36" s="47">
        <v>0</v>
      </c>
      <c r="H36" s="47">
        <f t="shared" si="5"/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f t="shared" si="4"/>
        <v>-5.8707971999999997E-2</v>
      </c>
      <c r="R36" s="47">
        <f t="shared" si="7"/>
        <v>0</v>
      </c>
      <c r="S36" s="48">
        <v>0</v>
      </c>
      <c r="T36" s="118"/>
    </row>
    <row r="37" spans="1:20" s="14" customFormat="1" ht="25.5" x14ac:dyDescent="0.25">
      <c r="A37" s="44" t="s">
        <v>17</v>
      </c>
      <c r="B37" s="45" t="s">
        <v>479</v>
      </c>
      <c r="C37" s="51" t="s">
        <v>480</v>
      </c>
      <c r="D37" s="47">
        <v>0</v>
      </c>
      <c r="E37" s="47">
        <f>(43458.94+17769.58+27367.1+38142.67+109577.98+38439.55+109742+48316.26+49021.14+38755.62+29933+18891.07+14874+15921)*1.2/1000000</f>
        <v>0.72025189199999995</v>
      </c>
      <c r="F37" s="47">
        <f t="shared" si="1"/>
        <v>-0.72025189199999995</v>
      </c>
      <c r="G37" s="47">
        <v>0</v>
      </c>
      <c r="H37" s="47">
        <f t="shared" si="5"/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f t="shared" si="4"/>
        <v>-0.72025189199999995</v>
      </c>
      <c r="R37" s="47">
        <f t="shared" si="7"/>
        <v>0</v>
      </c>
      <c r="S37" s="48">
        <v>0</v>
      </c>
      <c r="T37" s="118"/>
    </row>
    <row r="38" spans="1:20" s="14" customFormat="1" ht="25.5" x14ac:dyDescent="0.25">
      <c r="A38" s="44" t="s">
        <v>17</v>
      </c>
      <c r="B38" s="45" t="s">
        <v>483</v>
      </c>
      <c r="C38" s="51" t="s">
        <v>484</v>
      </c>
      <c r="D38" s="47">
        <v>0</v>
      </c>
      <c r="E38" s="47">
        <f>5078702.88*1.2/1000000</f>
        <v>6.0944434559999996</v>
      </c>
      <c r="F38" s="47">
        <f t="shared" si="1"/>
        <v>-6.0944434559999996</v>
      </c>
      <c r="G38" s="47">
        <v>0</v>
      </c>
      <c r="H38" s="47">
        <f t="shared" si="5"/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f t="shared" si="4"/>
        <v>-6.0944434559999996</v>
      </c>
      <c r="R38" s="47">
        <f t="shared" si="7"/>
        <v>0</v>
      </c>
      <c r="S38" s="48">
        <v>0</v>
      </c>
      <c r="T38" s="118"/>
    </row>
    <row r="39" spans="1:20" s="14" customFormat="1" ht="25.5" x14ac:dyDescent="0.25">
      <c r="A39" s="44" t="s">
        <v>17</v>
      </c>
      <c r="B39" s="45" t="s">
        <v>656</v>
      </c>
      <c r="C39" s="51" t="s">
        <v>418</v>
      </c>
      <c r="D39" s="47">
        <v>17.993175000000001</v>
      </c>
      <c r="E39" s="47">
        <v>0</v>
      </c>
      <c r="F39" s="47">
        <f t="shared" si="1"/>
        <v>17.993175000000001</v>
      </c>
      <c r="G39" s="47">
        <f>I39+K39+M39+O39</f>
        <v>17.993175000000001</v>
      </c>
      <c r="H39" s="47">
        <f t="shared" si="5"/>
        <v>8.1426971039999998</v>
      </c>
      <c r="I39" s="47">
        <f>3.748575*1.2+0.00001</f>
        <v>4.4982999999999995</v>
      </c>
      <c r="J39" s="47">
        <v>2.1897477239999996</v>
      </c>
      <c r="K39" s="47">
        <f>3.748575*1.2+0.000005</f>
        <v>4.4982949999999997</v>
      </c>
      <c r="L39" s="47">
        <v>2.1823331160000001</v>
      </c>
      <c r="M39" s="47">
        <f>3.748575*1.2</f>
        <v>4.4982899999999999</v>
      </c>
      <c r="N39" s="47">
        <v>2.0441635199999997</v>
      </c>
      <c r="O39" s="47">
        <f>3.748575*1.2</f>
        <v>4.4982899999999999</v>
      </c>
      <c r="P39" s="52">
        <v>1.7264527439999999</v>
      </c>
      <c r="Q39" s="47">
        <f t="shared" si="4"/>
        <v>9.850477896000001</v>
      </c>
      <c r="R39" s="47">
        <f t="shared" si="7"/>
        <v>-9.850477896000001</v>
      </c>
      <c r="S39" s="48">
        <f t="shared" si="8"/>
        <v>-54.745634919907133</v>
      </c>
      <c r="T39" s="118"/>
    </row>
    <row r="40" spans="1:20" s="14" customFormat="1" ht="25.5" x14ac:dyDescent="0.25">
      <c r="A40" s="44" t="s">
        <v>17</v>
      </c>
      <c r="B40" s="45" t="s">
        <v>657</v>
      </c>
      <c r="C40" s="51" t="s">
        <v>419</v>
      </c>
      <c r="D40" s="47">
        <v>3.5741399999999999</v>
      </c>
      <c r="E40" s="47">
        <v>0</v>
      </c>
      <c r="F40" s="47">
        <f t="shared" si="1"/>
        <v>3.5741399999999999</v>
      </c>
      <c r="G40" s="47">
        <f>I40+K40+M40+O40</f>
        <v>3.5741399999999999</v>
      </c>
      <c r="H40" s="47">
        <f t="shared" si="5"/>
        <v>0.55828309200000004</v>
      </c>
      <c r="I40" s="47">
        <f>0.7446125*1.2</f>
        <v>0.89353499999999997</v>
      </c>
      <c r="J40" s="47">
        <v>0.134362392</v>
      </c>
      <c r="K40" s="47">
        <f>0.7446125*1.2</f>
        <v>0.89353499999999997</v>
      </c>
      <c r="L40" s="47">
        <v>0.16131579600000001</v>
      </c>
      <c r="M40" s="47">
        <f>0.7446125*1.2</f>
        <v>0.89353499999999997</v>
      </c>
      <c r="N40" s="47">
        <v>0.15940047600000001</v>
      </c>
      <c r="O40" s="47">
        <f>0.7446125*1.2</f>
        <v>0.89353499999999997</v>
      </c>
      <c r="P40" s="52">
        <v>0.10320442800000001</v>
      </c>
      <c r="Q40" s="47">
        <f t="shared" si="4"/>
        <v>3.0158569079999999</v>
      </c>
      <c r="R40" s="47">
        <f t="shared" si="7"/>
        <v>-3.0158569079999999</v>
      </c>
      <c r="S40" s="48">
        <f t="shared" si="8"/>
        <v>-84.37993217948933</v>
      </c>
      <c r="T40" s="118"/>
    </row>
    <row r="41" spans="1:20" s="14" customFormat="1" ht="25.5" x14ac:dyDescent="0.25">
      <c r="A41" s="44" t="s">
        <v>17</v>
      </c>
      <c r="B41" s="45" t="s">
        <v>658</v>
      </c>
      <c r="C41" s="51" t="s">
        <v>420</v>
      </c>
      <c r="D41" s="47">
        <v>8.2055209999999992</v>
      </c>
      <c r="E41" s="47">
        <v>0</v>
      </c>
      <c r="F41" s="47">
        <f t="shared" si="1"/>
        <v>8.2055209999999992</v>
      </c>
      <c r="G41" s="47">
        <f>I41+K41+M41+O41</f>
        <v>8.2055209999999992</v>
      </c>
      <c r="H41" s="47">
        <f t="shared" si="5"/>
        <v>0.23804008799999998</v>
      </c>
      <c r="I41" s="47">
        <f>1.7094825*1.2</f>
        <v>2.0513789999999998</v>
      </c>
      <c r="J41" s="47">
        <v>0.175284684</v>
      </c>
      <c r="K41" s="47">
        <f>1.7094825*1.2</f>
        <v>2.0513789999999998</v>
      </c>
      <c r="L41" s="47">
        <v>0</v>
      </c>
      <c r="M41" s="47">
        <f>1.7094825*1.2</f>
        <v>2.0513789999999998</v>
      </c>
      <c r="N41" s="47">
        <v>6.2755403999999987E-2</v>
      </c>
      <c r="O41" s="47">
        <f>1.7094825*1.2+0.000005</f>
        <v>2.0513839999999997</v>
      </c>
      <c r="P41" s="52">
        <v>0</v>
      </c>
      <c r="Q41" s="47">
        <f t="shared" si="4"/>
        <v>7.9674809119999992</v>
      </c>
      <c r="R41" s="47">
        <f t="shared" si="7"/>
        <v>-7.9674809119999992</v>
      </c>
      <c r="S41" s="48">
        <f t="shared" si="8"/>
        <v>-97.099025302598093</v>
      </c>
      <c r="T41" s="118"/>
    </row>
    <row r="42" spans="1:20" s="14" customFormat="1" x14ac:dyDescent="0.25">
      <c r="A42" s="44" t="s">
        <v>17</v>
      </c>
      <c r="B42" s="45" t="s">
        <v>659</v>
      </c>
      <c r="C42" s="51" t="s">
        <v>421</v>
      </c>
      <c r="D42" s="47">
        <v>0</v>
      </c>
      <c r="E42" s="47">
        <v>0</v>
      </c>
      <c r="F42" s="47">
        <f t="shared" si="1"/>
        <v>0</v>
      </c>
      <c r="G42" s="47">
        <f>I42+K42+M42+O42</f>
        <v>0</v>
      </c>
      <c r="H42" s="47">
        <f t="shared" si="5"/>
        <v>1.1827680479999998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1.1827680479999998</v>
      </c>
      <c r="O42" s="47">
        <v>0</v>
      </c>
      <c r="P42" s="52">
        <v>0</v>
      </c>
      <c r="Q42" s="47">
        <f t="shared" si="4"/>
        <v>-1.1827680479999998</v>
      </c>
      <c r="R42" s="47">
        <f t="shared" si="7"/>
        <v>1.1827680479999998</v>
      </c>
      <c r="S42" s="48">
        <v>100</v>
      </c>
      <c r="T42" s="118"/>
    </row>
    <row r="43" spans="1:20" s="14" customFormat="1" ht="25.5" customHeight="1" x14ac:dyDescent="0.25">
      <c r="A43" s="44" t="s">
        <v>17</v>
      </c>
      <c r="B43" s="45" t="s">
        <v>422</v>
      </c>
      <c r="C43" s="51" t="s">
        <v>423</v>
      </c>
      <c r="D43" s="47">
        <v>0</v>
      </c>
      <c r="E43" s="47">
        <v>0</v>
      </c>
      <c r="F43" s="47">
        <f t="shared" si="1"/>
        <v>0</v>
      </c>
      <c r="G43" s="47">
        <v>0</v>
      </c>
      <c r="H43" s="47">
        <f t="shared" si="5"/>
        <v>4.1489231999999994E-2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4.1489231999999994E-2</v>
      </c>
      <c r="O43" s="47">
        <v>0</v>
      </c>
      <c r="P43" s="52">
        <v>0</v>
      </c>
      <c r="Q43" s="47">
        <f t="shared" si="4"/>
        <v>-4.1489231999999994E-2</v>
      </c>
      <c r="R43" s="47">
        <f t="shared" si="7"/>
        <v>4.1489231999999994E-2</v>
      </c>
      <c r="S43" s="48">
        <v>100</v>
      </c>
      <c r="T43" s="118"/>
    </row>
    <row r="44" spans="1:20" s="13" customFormat="1" ht="38.25" x14ac:dyDescent="0.25">
      <c r="A44" s="41" t="s">
        <v>17</v>
      </c>
      <c r="B44" s="42" t="s">
        <v>69</v>
      </c>
      <c r="C44" s="43" t="s">
        <v>50</v>
      </c>
      <c r="D44" s="35">
        <v>0</v>
      </c>
      <c r="E44" s="35">
        <v>0</v>
      </c>
      <c r="F44" s="35">
        <f t="shared" si="1"/>
        <v>0</v>
      </c>
      <c r="G44" s="35">
        <f>I44+K44+M44+O44</f>
        <v>0</v>
      </c>
      <c r="H44" s="35">
        <f t="shared" si="5"/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f t="shared" si="4"/>
        <v>0</v>
      </c>
      <c r="R44" s="35">
        <f t="shared" si="7"/>
        <v>0</v>
      </c>
      <c r="S44" s="36">
        <v>0</v>
      </c>
      <c r="T44" s="118"/>
    </row>
    <row r="45" spans="1:20" s="13" customFormat="1" ht="25.5" x14ac:dyDescent="0.25">
      <c r="A45" s="32" t="s">
        <v>18</v>
      </c>
      <c r="B45" s="39" t="s">
        <v>70</v>
      </c>
      <c r="C45" s="40" t="s">
        <v>50</v>
      </c>
      <c r="D45" s="35">
        <v>18.981767999999999</v>
      </c>
      <c r="E45" s="35">
        <f>SUM(E46:E58)</f>
        <v>5.7439582080000005</v>
      </c>
      <c r="F45" s="35">
        <f t="shared" si="1"/>
        <v>13.237809791999998</v>
      </c>
      <c r="G45" s="35">
        <f>SUM(G46:G58)</f>
        <v>18.981767999999999</v>
      </c>
      <c r="H45" s="35">
        <f t="shared" si="5"/>
        <v>44.103798191999999</v>
      </c>
      <c r="I45" s="35">
        <f t="shared" ref="I45:O45" si="16">SUM(I46:I58)</f>
        <v>4.7454419999999997</v>
      </c>
      <c r="J45" s="35">
        <f t="shared" si="16"/>
        <v>5.8191848879999997</v>
      </c>
      <c r="K45" s="35">
        <f t="shared" si="16"/>
        <v>4.7454419999999997</v>
      </c>
      <c r="L45" s="35">
        <f t="shared" si="16"/>
        <v>7.8729189359999996</v>
      </c>
      <c r="M45" s="35">
        <f t="shared" si="16"/>
        <v>4.7454419999999997</v>
      </c>
      <c r="N45" s="35">
        <f t="shared" si="16"/>
        <v>17.748483732</v>
      </c>
      <c r="O45" s="35">
        <f t="shared" si="16"/>
        <v>4.7454419999999997</v>
      </c>
      <c r="P45" s="35">
        <f>SUM(P46:P58)</f>
        <v>12.663210636000002</v>
      </c>
      <c r="Q45" s="35">
        <f t="shared" si="4"/>
        <v>-30.865988399999999</v>
      </c>
      <c r="R45" s="35">
        <f t="shared" si="7"/>
        <v>25.122030192</v>
      </c>
      <c r="S45" s="36">
        <f t="shared" si="8"/>
        <v>132.34821009296925</v>
      </c>
      <c r="T45" s="118"/>
    </row>
    <row r="46" spans="1:20" s="14" customFormat="1" ht="25.5" x14ac:dyDescent="0.25">
      <c r="A46" s="44" t="s">
        <v>18</v>
      </c>
      <c r="B46" s="45" t="s">
        <v>495</v>
      </c>
      <c r="C46" s="46" t="s">
        <v>496</v>
      </c>
      <c r="D46" s="47">
        <v>0</v>
      </c>
      <c r="E46" s="47">
        <f>7715*1.2/1000000</f>
        <v>9.2580000000000006E-3</v>
      </c>
      <c r="F46" s="47">
        <f t="shared" si="1"/>
        <v>-9.2580000000000006E-3</v>
      </c>
      <c r="G46" s="47">
        <v>0</v>
      </c>
      <c r="H46" s="47">
        <f t="shared" si="5"/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f t="shared" si="4"/>
        <v>-9.2580000000000006E-3</v>
      </c>
      <c r="R46" s="47">
        <f t="shared" si="7"/>
        <v>0</v>
      </c>
      <c r="S46" s="48">
        <v>0</v>
      </c>
      <c r="T46" s="118"/>
    </row>
    <row r="47" spans="1:20" s="14" customFormat="1" ht="25.5" x14ac:dyDescent="0.25">
      <c r="A47" s="44" t="s">
        <v>18</v>
      </c>
      <c r="B47" s="45" t="s">
        <v>497</v>
      </c>
      <c r="C47" s="46" t="s">
        <v>498</v>
      </c>
      <c r="D47" s="47">
        <v>0</v>
      </c>
      <c r="E47" s="47">
        <f>50949.09*1.2/1000000</f>
        <v>6.1138907999999999E-2</v>
      </c>
      <c r="F47" s="47">
        <f t="shared" si="1"/>
        <v>-6.1138907999999999E-2</v>
      </c>
      <c r="G47" s="47">
        <v>0</v>
      </c>
      <c r="H47" s="47">
        <f t="shared" si="5"/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f t="shared" si="4"/>
        <v>-6.1138907999999999E-2</v>
      </c>
      <c r="R47" s="47">
        <f t="shared" si="7"/>
        <v>0</v>
      </c>
      <c r="S47" s="48">
        <v>0</v>
      </c>
      <c r="T47" s="118"/>
    </row>
    <row r="48" spans="1:20" s="14" customFormat="1" ht="26.25" x14ac:dyDescent="0.25">
      <c r="A48" s="53" t="s">
        <v>18</v>
      </c>
      <c r="B48" s="49" t="s">
        <v>491</v>
      </c>
      <c r="C48" s="50" t="s">
        <v>492</v>
      </c>
      <c r="D48" s="47">
        <v>0</v>
      </c>
      <c r="E48" s="47">
        <f>(59375.34+63604.02+48121.08+30058.3+78113.76+226278.38+48834.89+43258.23+92)*1.2/1000000</f>
        <v>0.7172831999999999</v>
      </c>
      <c r="F48" s="47">
        <f t="shared" si="1"/>
        <v>-0.7172831999999999</v>
      </c>
      <c r="G48" s="47">
        <v>0</v>
      </c>
      <c r="H48" s="47">
        <f t="shared" si="5"/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f t="shared" si="4"/>
        <v>-0.7172831999999999</v>
      </c>
      <c r="R48" s="47">
        <f t="shared" si="7"/>
        <v>0</v>
      </c>
      <c r="S48" s="48">
        <v>0</v>
      </c>
      <c r="T48" s="118"/>
    </row>
    <row r="49" spans="1:20" s="14" customFormat="1" ht="26.25" x14ac:dyDescent="0.25">
      <c r="A49" s="53" t="s">
        <v>18</v>
      </c>
      <c r="B49" s="49" t="s">
        <v>501</v>
      </c>
      <c r="C49" s="50" t="s">
        <v>502</v>
      </c>
      <c r="D49" s="47">
        <v>0</v>
      </c>
      <c r="E49" s="47">
        <f>(50278.56+54476.29+32864.11)*1.2/1000000</f>
        <v>0.165142752</v>
      </c>
      <c r="F49" s="47">
        <f t="shared" si="1"/>
        <v>-0.165142752</v>
      </c>
      <c r="G49" s="47">
        <v>0</v>
      </c>
      <c r="H49" s="47">
        <f t="shared" si="5"/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f t="shared" si="4"/>
        <v>-0.165142752</v>
      </c>
      <c r="R49" s="47">
        <f t="shared" si="7"/>
        <v>0</v>
      </c>
      <c r="S49" s="48">
        <v>0</v>
      </c>
      <c r="T49" s="118"/>
    </row>
    <row r="50" spans="1:20" s="14" customFormat="1" ht="26.25" x14ac:dyDescent="0.25">
      <c r="A50" s="53" t="s">
        <v>18</v>
      </c>
      <c r="B50" s="49" t="s">
        <v>499</v>
      </c>
      <c r="C50" s="50" t="s">
        <v>500</v>
      </c>
      <c r="D50" s="47">
        <v>0</v>
      </c>
      <c r="E50" s="47">
        <f>(22839.33+40645.46+44939.54+98966.1+48469.75+50213.24)*1.2/1000000</f>
        <v>0.367288104</v>
      </c>
      <c r="F50" s="47">
        <f t="shared" si="1"/>
        <v>-0.367288104</v>
      </c>
      <c r="G50" s="47">
        <v>0</v>
      </c>
      <c r="H50" s="47">
        <f t="shared" si="5"/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f t="shared" si="4"/>
        <v>-0.367288104</v>
      </c>
      <c r="R50" s="47">
        <f t="shared" si="7"/>
        <v>0</v>
      </c>
      <c r="S50" s="48">
        <v>0</v>
      </c>
      <c r="T50" s="118"/>
    </row>
    <row r="51" spans="1:20" s="14" customFormat="1" ht="26.25" x14ac:dyDescent="0.25">
      <c r="A51" s="53" t="s">
        <v>18</v>
      </c>
      <c r="B51" s="49" t="s">
        <v>475</v>
      </c>
      <c r="C51" s="50" t="s">
        <v>476</v>
      </c>
      <c r="D51" s="47">
        <v>0</v>
      </c>
      <c r="E51" s="47">
        <f>(34398.93+3597.36+37057.47+13371.36+30046.44+1700+40393.89+50562.62+47967.03+52433.99+197825.5+38418.6+46700.61+74755.25+19946+18082+48158.64+43668.43+17971+47605.43+33647.77+52880.72+17930+51483.87+69049.64+41047.6+28714.44+15836+17136+46448.8+42252.79+51425.57+17691.08+18153+278786.27+41703.59+36781.78+47965.63+53765.11+49130.03+31283.31)*1.2/1000000</f>
        <v>2.2893282600000009</v>
      </c>
      <c r="F51" s="47">
        <f t="shared" si="1"/>
        <v>-2.2893282600000009</v>
      </c>
      <c r="G51" s="47">
        <v>0</v>
      </c>
      <c r="H51" s="47">
        <f t="shared" si="5"/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f t="shared" si="4"/>
        <v>-2.2893282600000009</v>
      </c>
      <c r="R51" s="47">
        <f t="shared" si="7"/>
        <v>0</v>
      </c>
      <c r="S51" s="48">
        <v>0</v>
      </c>
      <c r="T51" s="118"/>
    </row>
    <row r="52" spans="1:20" s="14" customFormat="1" ht="26.25" x14ac:dyDescent="0.25">
      <c r="A52" s="53" t="s">
        <v>18</v>
      </c>
      <c r="B52" s="49" t="s">
        <v>493</v>
      </c>
      <c r="C52" s="50" t="s">
        <v>494</v>
      </c>
      <c r="D52" s="47">
        <v>0</v>
      </c>
      <c r="E52" s="47">
        <f>(30110.57+47184.57+22941.38+55189.49+18083+18153+18020+900+54092.65+22994+30110.57+26643.82+30110.57+44941.17+750782.07+383028.2+45904.57+48899.66+41240.38+49812.63)*1.2/1000000</f>
        <v>2.0869707599999994</v>
      </c>
      <c r="F52" s="47">
        <f t="shared" si="1"/>
        <v>-2.0869707599999994</v>
      </c>
      <c r="G52" s="47">
        <v>0</v>
      </c>
      <c r="H52" s="47">
        <f t="shared" si="5"/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f t="shared" si="4"/>
        <v>-2.0869707599999994</v>
      </c>
      <c r="R52" s="47">
        <f t="shared" si="7"/>
        <v>0</v>
      </c>
      <c r="S52" s="48">
        <v>0</v>
      </c>
      <c r="T52" s="118"/>
    </row>
    <row r="53" spans="1:20" s="14" customFormat="1" ht="26.25" x14ac:dyDescent="0.25">
      <c r="A53" s="53" t="s">
        <v>18</v>
      </c>
      <c r="B53" s="49" t="s">
        <v>503</v>
      </c>
      <c r="C53" s="50" t="s">
        <v>504</v>
      </c>
      <c r="D53" s="47">
        <v>0</v>
      </c>
      <c r="E53" s="47">
        <f>39623.52*1.2/1000000</f>
        <v>4.7548223999999993E-2</v>
      </c>
      <c r="F53" s="47">
        <f t="shared" si="1"/>
        <v>-4.7548223999999993E-2</v>
      </c>
      <c r="G53" s="47">
        <v>0</v>
      </c>
      <c r="H53" s="47">
        <f t="shared" si="5"/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f t="shared" si="4"/>
        <v>-4.7548223999999993E-2</v>
      </c>
      <c r="R53" s="47">
        <f t="shared" si="7"/>
        <v>0</v>
      </c>
      <c r="S53" s="48">
        <v>0</v>
      </c>
      <c r="T53" s="118"/>
    </row>
    <row r="54" spans="1:20" s="14" customFormat="1" x14ac:dyDescent="0.25">
      <c r="A54" s="54" t="s">
        <v>18</v>
      </c>
      <c r="B54" s="49" t="s">
        <v>666</v>
      </c>
      <c r="C54" s="51" t="s">
        <v>748</v>
      </c>
      <c r="D54" s="47">
        <v>0</v>
      </c>
      <c r="E54" s="47">
        <v>0</v>
      </c>
      <c r="F54" s="47">
        <f t="shared" si="1"/>
        <v>0</v>
      </c>
      <c r="G54" s="47">
        <f t="shared" ref="G54:G60" si="17">I54+K54+M54+O54</f>
        <v>0</v>
      </c>
      <c r="H54" s="47">
        <f t="shared" si="5"/>
        <v>1.1816853959999998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0.57910361999999993</v>
      </c>
      <c r="O54" s="47">
        <v>0</v>
      </c>
      <c r="P54" s="47">
        <v>0.60258177599999996</v>
      </c>
      <c r="Q54" s="47">
        <f t="shared" si="4"/>
        <v>-1.1816853959999998</v>
      </c>
      <c r="R54" s="47">
        <f t="shared" si="7"/>
        <v>1.1816853959999998</v>
      </c>
      <c r="S54" s="48">
        <v>100</v>
      </c>
      <c r="T54" s="118"/>
    </row>
    <row r="55" spans="1:20" s="14" customFormat="1" ht="26.25" x14ac:dyDescent="0.25">
      <c r="A55" s="44" t="s">
        <v>18</v>
      </c>
      <c r="B55" s="49" t="s">
        <v>660</v>
      </c>
      <c r="C55" s="51" t="s">
        <v>661</v>
      </c>
      <c r="D55" s="47">
        <v>1.2205920000000001</v>
      </c>
      <c r="E55" s="47">
        <v>0</v>
      </c>
      <c r="F55" s="47">
        <f t="shared" si="1"/>
        <v>1.2205920000000001</v>
      </c>
      <c r="G55" s="47">
        <f t="shared" si="17"/>
        <v>1.2205920000000001</v>
      </c>
      <c r="H55" s="47">
        <f t="shared" si="5"/>
        <v>4.515393972</v>
      </c>
      <c r="I55" s="47">
        <f>0.25429*1.2</f>
        <v>0.30514800000000003</v>
      </c>
      <c r="J55" s="47">
        <v>0.33969806399999991</v>
      </c>
      <c r="K55" s="47">
        <f>0.25429*1.2</f>
        <v>0.30514800000000003</v>
      </c>
      <c r="L55" s="47">
        <v>0.89355231599999985</v>
      </c>
      <c r="M55" s="47">
        <f>0.25429*1.2</f>
        <v>0.30514800000000003</v>
      </c>
      <c r="N55" s="47">
        <v>0.55873935599999991</v>
      </c>
      <c r="O55" s="47">
        <f>0.25429*1.2</f>
        <v>0.30514800000000003</v>
      </c>
      <c r="P55" s="47">
        <v>2.7234042360000004</v>
      </c>
      <c r="Q55" s="47">
        <f t="shared" si="4"/>
        <v>-3.2948019720000001</v>
      </c>
      <c r="R55" s="47">
        <f t="shared" si="7"/>
        <v>3.2948019720000001</v>
      </c>
      <c r="S55" s="48">
        <f t="shared" si="8"/>
        <v>269.93475067835931</v>
      </c>
      <c r="T55" s="118"/>
    </row>
    <row r="56" spans="1:20" s="14" customFormat="1" ht="26.25" x14ac:dyDescent="0.25">
      <c r="A56" s="44" t="s">
        <v>18</v>
      </c>
      <c r="B56" s="49" t="s">
        <v>662</v>
      </c>
      <c r="C56" s="51" t="s">
        <v>663</v>
      </c>
      <c r="D56" s="47">
        <v>11.093064</v>
      </c>
      <c r="E56" s="47">
        <v>0</v>
      </c>
      <c r="F56" s="47">
        <f t="shared" si="1"/>
        <v>11.093064</v>
      </c>
      <c r="G56" s="47">
        <f t="shared" si="17"/>
        <v>11.093064</v>
      </c>
      <c r="H56" s="47">
        <f t="shared" si="5"/>
        <v>22.890924792</v>
      </c>
      <c r="I56" s="47">
        <f>2.311055*1.2</f>
        <v>2.773266</v>
      </c>
      <c r="J56" s="47">
        <v>4.1703643799999996</v>
      </c>
      <c r="K56" s="47">
        <f>2.311055*1.2</f>
        <v>2.773266</v>
      </c>
      <c r="L56" s="47">
        <v>5.5817898960000001</v>
      </c>
      <c r="M56" s="47">
        <f>2.311055*1.2</f>
        <v>2.773266</v>
      </c>
      <c r="N56" s="47">
        <v>10.071730080000002</v>
      </c>
      <c r="O56" s="47">
        <f>2.311055*1.2</f>
        <v>2.773266</v>
      </c>
      <c r="P56" s="47">
        <v>3.0670404360000001</v>
      </c>
      <c r="Q56" s="47">
        <f t="shared" si="4"/>
        <v>-11.797860792</v>
      </c>
      <c r="R56" s="47">
        <f t="shared" si="7"/>
        <v>11.797860792</v>
      </c>
      <c r="S56" s="48">
        <f t="shared" si="8"/>
        <v>106.35349072176993</v>
      </c>
      <c r="T56" s="118"/>
    </row>
    <row r="57" spans="1:20" s="14" customFormat="1" ht="26.25" x14ac:dyDescent="0.25">
      <c r="A57" s="44" t="s">
        <v>18</v>
      </c>
      <c r="B57" s="49" t="s">
        <v>664</v>
      </c>
      <c r="C57" s="51" t="s">
        <v>665</v>
      </c>
      <c r="D57" s="47">
        <v>6.6681119999999998</v>
      </c>
      <c r="E57" s="47">
        <v>0</v>
      </c>
      <c r="F57" s="47">
        <f t="shared" si="1"/>
        <v>6.6681119999999998</v>
      </c>
      <c r="G57" s="47">
        <f t="shared" si="17"/>
        <v>6.6681119999999998</v>
      </c>
      <c r="H57" s="47">
        <f t="shared" si="5"/>
        <v>13.990107132</v>
      </c>
      <c r="I57" s="47">
        <f>1.38919*1.2</f>
        <v>1.667028</v>
      </c>
      <c r="J57" s="47">
        <v>1.249617948</v>
      </c>
      <c r="K57" s="47">
        <f>1.38919*1.2</f>
        <v>1.667028</v>
      </c>
      <c r="L57" s="47">
        <v>1.3889367239999999</v>
      </c>
      <c r="M57" s="47">
        <f>1.38919*1.2</f>
        <v>1.667028</v>
      </c>
      <c r="N57" s="47">
        <v>5.2561811279999997</v>
      </c>
      <c r="O57" s="47">
        <f>1.38919*1.2</f>
        <v>1.667028</v>
      </c>
      <c r="P57" s="47">
        <v>6.0953713320000009</v>
      </c>
      <c r="Q57" s="47">
        <f t="shared" si="4"/>
        <v>-7.3219951320000005</v>
      </c>
      <c r="R57" s="47">
        <f t="shared" si="7"/>
        <v>7.3219951320000005</v>
      </c>
      <c r="S57" s="48">
        <f t="shared" si="8"/>
        <v>109.80612101296438</v>
      </c>
      <c r="T57" s="118"/>
    </row>
    <row r="58" spans="1:20" s="14" customFormat="1" ht="30.75" customHeight="1" x14ac:dyDescent="0.25">
      <c r="A58" s="44" t="s">
        <v>18</v>
      </c>
      <c r="B58" s="49" t="s">
        <v>422</v>
      </c>
      <c r="C58" s="51" t="s">
        <v>424</v>
      </c>
      <c r="D58" s="47">
        <v>0</v>
      </c>
      <c r="E58" s="47">
        <v>0</v>
      </c>
      <c r="F58" s="47">
        <f t="shared" si="1"/>
        <v>0</v>
      </c>
      <c r="G58" s="47">
        <f t="shared" si="17"/>
        <v>0</v>
      </c>
      <c r="H58" s="47">
        <f t="shared" si="5"/>
        <v>1.5256869000000002</v>
      </c>
      <c r="I58" s="47">
        <v>0</v>
      </c>
      <c r="J58" s="47">
        <v>5.9504495999999997E-2</v>
      </c>
      <c r="K58" s="47">
        <v>0</v>
      </c>
      <c r="L58" s="47">
        <v>8.6400000000000001E-3</v>
      </c>
      <c r="M58" s="47">
        <v>0</v>
      </c>
      <c r="N58" s="47">
        <v>1.2827295480000003</v>
      </c>
      <c r="O58" s="47">
        <v>0</v>
      </c>
      <c r="P58" s="47">
        <v>0.17481285599999999</v>
      </c>
      <c r="Q58" s="47">
        <f t="shared" si="4"/>
        <v>-1.5256869000000002</v>
      </c>
      <c r="R58" s="47">
        <f t="shared" si="7"/>
        <v>1.5256869000000002</v>
      </c>
      <c r="S58" s="48">
        <v>100</v>
      </c>
      <c r="T58" s="118"/>
    </row>
    <row r="59" spans="1:20" s="13" customFormat="1" ht="25.5" x14ac:dyDescent="0.25">
      <c r="A59" s="41" t="s">
        <v>18</v>
      </c>
      <c r="B59" s="42" t="s">
        <v>71</v>
      </c>
      <c r="C59" s="43" t="s">
        <v>50</v>
      </c>
      <c r="D59" s="35">
        <v>0</v>
      </c>
      <c r="E59" s="35">
        <v>0</v>
      </c>
      <c r="F59" s="35">
        <f t="shared" si="1"/>
        <v>0</v>
      </c>
      <c r="G59" s="35">
        <f t="shared" si="17"/>
        <v>0</v>
      </c>
      <c r="H59" s="35">
        <f t="shared" si="5"/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 t="shared" si="4"/>
        <v>0</v>
      </c>
      <c r="R59" s="35">
        <f t="shared" si="7"/>
        <v>0</v>
      </c>
      <c r="S59" s="36">
        <v>0</v>
      </c>
      <c r="T59" s="118"/>
    </row>
    <row r="60" spans="1:20" s="13" customFormat="1" ht="38.25" x14ac:dyDescent="0.25">
      <c r="A60" s="41" t="s">
        <v>18</v>
      </c>
      <c r="B60" s="42" t="s">
        <v>72</v>
      </c>
      <c r="C60" s="43" t="s">
        <v>50</v>
      </c>
      <c r="D60" s="35">
        <v>0</v>
      </c>
      <c r="E60" s="35">
        <v>0</v>
      </c>
      <c r="F60" s="35">
        <f t="shared" si="1"/>
        <v>0</v>
      </c>
      <c r="G60" s="35">
        <f t="shared" si="17"/>
        <v>0</v>
      </c>
      <c r="H60" s="35">
        <f t="shared" si="5"/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si="4"/>
        <v>0</v>
      </c>
      <c r="R60" s="35">
        <f t="shared" si="7"/>
        <v>0</v>
      </c>
      <c r="S60" s="36">
        <v>0</v>
      </c>
      <c r="T60" s="118"/>
    </row>
    <row r="61" spans="1:20" s="13" customFormat="1" ht="33" customHeight="1" x14ac:dyDescent="0.25">
      <c r="A61" s="32" t="s">
        <v>19</v>
      </c>
      <c r="B61" s="39" t="s">
        <v>73</v>
      </c>
      <c r="C61" s="40" t="s">
        <v>50</v>
      </c>
      <c r="D61" s="35">
        <v>61.987187999999996</v>
      </c>
      <c r="E61" s="35">
        <f>SUM(E62:E102)</f>
        <v>34.984850496</v>
      </c>
      <c r="F61" s="35">
        <f t="shared" si="1"/>
        <v>27.002337503999996</v>
      </c>
      <c r="G61" s="35">
        <f>SUM(G62:G84)</f>
        <v>61.987187999999996</v>
      </c>
      <c r="H61" s="35">
        <f t="shared" si="5"/>
        <v>39.616576404</v>
      </c>
      <c r="I61" s="35">
        <f>SUM(I62:I84)</f>
        <v>14.726165999999999</v>
      </c>
      <c r="J61" s="35">
        <f>SUM(J62:J84)</f>
        <v>1.7613848520000002</v>
      </c>
      <c r="K61" s="35">
        <f>SUM(K62:K84)</f>
        <v>14.726165999999999</v>
      </c>
      <c r="L61" s="35">
        <f>SUM(L62:L123)</f>
        <v>13.024296059999999</v>
      </c>
      <c r="M61" s="35">
        <f>SUM(M62:M84)</f>
        <v>14.726165999999999</v>
      </c>
      <c r="N61" s="35">
        <v>21.738012888</v>
      </c>
      <c r="O61" s="35">
        <f>SUM(O62:O84)</f>
        <v>17.808689999999999</v>
      </c>
      <c r="P61" s="35">
        <f>SUM(P62:P122)</f>
        <v>3.0928826039999997</v>
      </c>
      <c r="Q61" s="35">
        <f t="shared" si="4"/>
        <v>-12.614238900000004</v>
      </c>
      <c r="R61" s="35">
        <f t="shared" si="7"/>
        <v>-22.370611595999996</v>
      </c>
      <c r="S61" s="36">
        <f t="shared" si="8"/>
        <v>-36.089089242118867</v>
      </c>
      <c r="T61" s="118"/>
    </row>
    <row r="62" spans="1:20" s="14" customFormat="1" ht="33" customHeight="1" x14ac:dyDescent="0.25">
      <c r="A62" s="44" t="s">
        <v>19</v>
      </c>
      <c r="B62" s="45" t="s">
        <v>505</v>
      </c>
      <c r="C62" s="51" t="s">
        <v>506</v>
      </c>
      <c r="D62" s="47">
        <v>0</v>
      </c>
      <c r="E62" s="47">
        <f>80919.1*1.2/1000000</f>
        <v>9.7102919999999995E-2</v>
      </c>
      <c r="F62" s="47">
        <f t="shared" si="1"/>
        <v>-9.7102919999999995E-2</v>
      </c>
      <c r="G62" s="47">
        <v>0</v>
      </c>
      <c r="H62" s="47">
        <f t="shared" si="5"/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f t="shared" si="4"/>
        <v>-9.7102919999999995E-2</v>
      </c>
      <c r="R62" s="47">
        <f t="shared" si="7"/>
        <v>0</v>
      </c>
      <c r="S62" s="48">
        <v>0</v>
      </c>
      <c r="T62" s="118"/>
    </row>
    <row r="63" spans="1:20" s="14" customFormat="1" ht="33" customHeight="1" x14ac:dyDescent="0.25">
      <c r="A63" s="44" t="s">
        <v>19</v>
      </c>
      <c r="B63" s="45" t="s">
        <v>434</v>
      </c>
      <c r="C63" s="51" t="s">
        <v>435</v>
      </c>
      <c r="D63" s="47">
        <v>0</v>
      </c>
      <c r="E63" s="47">
        <f>652422.93*1.2/1000000</f>
        <v>0.78290751600000008</v>
      </c>
      <c r="F63" s="47">
        <f t="shared" si="1"/>
        <v>-0.78290751600000008</v>
      </c>
      <c r="G63" s="47">
        <v>0</v>
      </c>
      <c r="H63" s="47">
        <f t="shared" si="5"/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f t="shared" si="4"/>
        <v>-0.78290751600000008</v>
      </c>
      <c r="R63" s="47">
        <f t="shared" si="7"/>
        <v>0</v>
      </c>
      <c r="S63" s="48">
        <v>0</v>
      </c>
      <c r="T63" s="118"/>
    </row>
    <row r="64" spans="1:20" s="14" customFormat="1" ht="33" customHeight="1" x14ac:dyDescent="0.25">
      <c r="A64" s="44" t="s">
        <v>19</v>
      </c>
      <c r="B64" s="45" t="s">
        <v>436</v>
      </c>
      <c r="C64" s="51" t="s">
        <v>437</v>
      </c>
      <c r="D64" s="47">
        <v>0</v>
      </c>
      <c r="E64" s="47">
        <f>480576.75*1.2/1000000</f>
        <v>0.57669209999999993</v>
      </c>
      <c r="F64" s="47">
        <f t="shared" si="1"/>
        <v>-0.57669209999999993</v>
      </c>
      <c r="G64" s="47">
        <v>0</v>
      </c>
      <c r="H64" s="47">
        <f t="shared" si="5"/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f t="shared" si="4"/>
        <v>-0.57669209999999993</v>
      </c>
      <c r="R64" s="47">
        <f t="shared" si="7"/>
        <v>0</v>
      </c>
      <c r="S64" s="48">
        <v>0</v>
      </c>
      <c r="T64" s="118"/>
    </row>
    <row r="65" spans="1:20" s="14" customFormat="1" ht="33" customHeight="1" x14ac:dyDescent="0.25">
      <c r="A65" s="44" t="s">
        <v>19</v>
      </c>
      <c r="B65" s="45" t="s">
        <v>527</v>
      </c>
      <c r="C65" s="51" t="s">
        <v>528</v>
      </c>
      <c r="D65" s="47">
        <v>0</v>
      </c>
      <c r="E65" s="47">
        <f>365082.49*1.2/1000000</f>
        <v>0.43809898799999997</v>
      </c>
      <c r="F65" s="47">
        <f t="shared" si="1"/>
        <v>-0.43809898799999997</v>
      </c>
      <c r="G65" s="47">
        <v>0</v>
      </c>
      <c r="H65" s="47">
        <f t="shared" si="5"/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f t="shared" si="4"/>
        <v>-0.43809898799999997</v>
      </c>
      <c r="R65" s="47">
        <f t="shared" si="7"/>
        <v>0</v>
      </c>
      <c r="S65" s="48">
        <v>0</v>
      </c>
      <c r="T65" s="118"/>
    </row>
    <row r="66" spans="1:20" s="14" customFormat="1" ht="33" customHeight="1" x14ac:dyDescent="0.25">
      <c r="A66" s="44" t="s">
        <v>19</v>
      </c>
      <c r="B66" s="45" t="s">
        <v>507</v>
      </c>
      <c r="C66" s="51" t="s">
        <v>508</v>
      </c>
      <c r="D66" s="47">
        <v>0</v>
      </c>
      <c r="E66" s="47">
        <f>1005993.42*1.2/1000000</f>
        <v>1.207192104</v>
      </c>
      <c r="F66" s="47">
        <f t="shared" si="1"/>
        <v>-1.207192104</v>
      </c>
      <c r="G66" s="47">
        <v>0</v>
      </c>
      <c r="H66" s="47">
        <f t="shared" si="5"/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f t="shared" si="4"/>
        <v>-1.207192104</v>
      </c>
      <c r="R66" s="47">
        <f t="shared" si="7"/>
        <v>0</v>
      </c>
      <c r="S66" s="48">
        <v>0</v>
      </c>
      <c r="T66" s="118"/>
    </row>
    <row r="67" spans="1:20" s="14" customFormat="1" ht="33" customHeight="1" x14ac:dyDescent="0.25">
      <c r="A67" s="44" t="s">
        <v>19</v>
      </c>
      <c r="B67" s="45" t="s">
        <v>523</v>
      </c>
      <c r="C67" s="51" t="s">
        <v>524</v>
      </c>
      <c r="D67" s="47">
        <v>0</v>
      </c>
      <c r="E67" s="47">
        <f>62236.17*1.2/1000000</f>
        <v>7.4683403999999995E-2</v>
      </c>
      <c r="F67" s="47">
        <f t="shared" si="1"/>
        <v>-7.4683403999999995E-2</v>
      </c>
      <c r="G67" s="47">
        <v>0</v>
      </c>
      <c r="H67" s="47">
        <f t="shared" si="5"/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f t="shared" si="4"/>
        <v>-7.4683403999999995E-2</v>
      </c>
      <c r="R67" s="47">
        <f t="shared" si="7"/>
        <v>0</v>
      </c>
      <c r="S67" s="48">
        <v>0</v>
      </c>
      <c r="T67" s="118"/>
    </row>
    <row r="68" spans="1:20" s="14" customFormat="1" ht="33" customHeight="1" x14ac:dyDescent="0.25">
      <c r="A68" s="44" t="s">
        <v>19</v>
      </c>
      <c r="B68" s="45" t="s">
        <v>515</v>
      </c>
      <c r="C68" s="51" t="s">
        <v>516</v>
      </c>
      <c r="D68" s="47">
        <v>0</v>
      </c>
      <c r="E68" s="47">
        <f>45050.44*1.2/1000000</f>
        <v>5.4060527999999997E-2</v>
      </c>
      <c r="F68" s="47">
        <f t="shared" si="1"/>
        <v>-5.4060527999999997E-2</v>
      </c>
      <c r="G68" s="47">
        <v>0</v>
      </c>
      <c r="H68" s="47">
        <f t="shared" si="5"/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f t="shared" si="4"/>
        <v>-5.4060527999999997E-2</v>
      </c>
      <c r="R68" s="47">
        <f t="shared" si="7"/>
        <v>0</v>
      </c>
      <c r="S68" s="48">
        <v>0</v>
      </c>
      <c r="T68" s="118"/>
    </row>
    <row r="69" spans="1:20" s="14" customFormat="1" ht="33" customHeight="1" x14ac:dyDescent="0.25">
      <c r="A69" s="44" t="s">
        <v>19</v>
      </c>
      <c r="B69" s="45" t="s">
        <v>509</v>
      </c>
      <c r="C69" s="51" t="s">
        <v>510</v>
      </c>
      <c r="D69" s="47">
        <v>0</v>
      </c>
      <c r="E69" s="47">
        <f>112400.85*1.2/1000000</f>
        <v>0.13488101999999999</v>
      </c>
      <c r="F69" s="47">
        <f t="shared" si="1"/>
        <v>-0.13488101999999999</v>
      </c>
      <c r="G69" s="47">
        <v>0</v>
      </c>
      <c r="H69" s="47">
        <f t="shared" si="5"/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f t="shared" si="4"/>
        <v>-0.13488101999999999</v>
      </c>
      <c r="R69" s="47">
        <f t="shared" si="7"/>
        <v>0</v>
      </c>
      <c r="S69" s="48">
        <v>0</v>
      </c>
      <c r="T69" s="118"/>
    </row>
    <row r="70" spans="1:20" s="14" customFormat="1" ht="33" customHeight="1" x14ac:dyDescent="0.25">
      <c r="A70" s="44" t="s">
        <v>19</v>
      </c>
      <c r="B70" s="45" t="s">
        <v>529</v>
      </c>
      <c r="C70" s="51" t="s">
        <v>530</v>
      </c>
      <c r="D70" s="47">
        <v>0</v>
      </c>
      <c r="E70" s="47">
        <f>48181.54*1.2/1000000</f>
        <v>5.7817847999999998E-2</v>
      </c>
      <c r="F70" s="47">
        <f t="shared" si="1"/>
        <v>-5.7817847999999998E-2</v>
      </c>
      <c r="G70" s="47">
        <v>0</v>
      </c>
      <c r="H70" s="47">
        <f t="shared" si="5"/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f t="shared" si="4"/>
        <v>-5.7817847999999998E-2</v>
      </c>
      <c r="R70" s="47">
        <f t="shared" si="7"/>
        <v>0</v>
      </c>
      <c r="S70" s="48">
        <v>0</v>
      </c>
      <c r="T70" s="118"/>
    </row>
    <row r="71" spans="1:20" s="14" customFormat="1" ht="33" customHeight="1" x14ac:dyDescent="0.25">
      <c r="A71" s="44" t="s">
        <v>19</v>
      </c>
      <c r="B71" s="45" t="s">
        <v>517</v>
      </c>
      <c r="C71" s="51" t="s">
        <v>518</v>
      </c>
      <c r="D71" s="47">
        <v>0</v>
      </c>
      <c r="E71" s="47">
        <f>52632.41*1.2/1000000</f>
        <v>6.3158891999999994E-2</v>
      </c>
      <c r="F71" s="47">
        <f t="shared" si="1"/>
        <v>-6.3158891999999994E-2</v>
      </c>
      <c r="G71" s="47">
        <v>0</v>
      </c>
      <c r="H71" s="47">
        <f t="shared" si="5"/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f t="shared" si="4"/>
        <v>-6.3158891999999994E-2</v>
      </c>
      <c r="R71" s="47">
        <f t="shared" si="7"/>
        <v>0</v>
      </c>
      <c r="S71" s="48">
        <v>0</v>
      </c>
      <c r="T71" s="118"/>
    </row>
    <row r="72" spans="1:20" s="14" customFormat="1" ht="33" customHeight="1" x14ac:dyDescent="0.25">
      <c r="A72" s="44" t="s">
        <v>19</v>
      </c>
      <c r="B72" s="45" t="s">
        <v>521</v>
      </c>
      <c r="C72" s="51" t="s">
        <v>522</v>
      </c>
      <c r="D72" s="47">
        <v>0</v>
      </c>
      <c r="E72" s="47">
        <f>36372.31*1.2/1000000</f>
        <v>4.3646772E-2</v>
      </c>
      <c r="F72" s="47">
        <f t="shared" si="1"/>
        <v>-4.3646772E-2</v>
      </c>
      <c r="G72" s="47">
        <v>0</v>
      </c>
      <c r="H72" s="47">
        <f t="shared" si="5"/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f t="shared" si="4"/>
        <v>-4.3646772E-2</v>
      </c>
      <c r="R72" s="47">
        <f t="shared" si="7"/>
        <v>0</v>
      </c>
      <c r="S72" s="48">
        <v>0</v>
      </c>
      <c r="T72" s="118"/>
    </row>
    <row r="73" spans="1:20" s="14" customFormat="1" ht="33" customHeight="1" x14ac:dyDescent="0.25">
      <c r="A73" s="44" t="s">
        <v>19</v>
      </c>
      <c r="B73" s="45" t="s">
        <v>519</v>
      </c>
      <c r="C73" s="51" t="s">
        <v>520</v>
      </c>
      <c r="D73" s="47">
        <v>0</v>
      </c>
      <c r="E73" s="47">
        <f>25496.72*1.2/1000000</f>
        <v>3.0596063999999999E-2</v>
      </c>
      <c r="F73" s="47">
        <f t="shared" si="1"/>
        <v>-3.0596063999999999E-2</v>
      </c>
      <c r="G73" s="47">
        <v>0</v>
      </c>
      <c r="H73" s="47">
        <f t="shared" si="5"/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f t="shared" si="4"/>
        <v>-3.0596063999999999E-2</v>
      </c>
      <c r="R73" s="47">
        <f t="shared" si="7"/>
        <v>0</v>
      </c>
      <c r="S73" s="48">
        <v>0</v>
      </c>
      <c r="T73" s="118"/>
    </row>
    <row r="74" spans="1:20" s="14" customFormat="1" ht="33" customHeight="1" x14ac:dyDescent="0.25">
      <c r="A74" s="44" t="s">
        <v>19</v>
      </c>
      <c r="B74" s="45" t="s">
        <v>511</v>
      </c>
      <c r="C74" s="51" t="s">
        <v>512</v>
      </c>
      <c r="D74" s="47">
        <v>0</v>
      </c>
      <c r="E74" s="47">
        <f>25720605.89*1.2/1000000</f>
        <v>30.864727068000001</v>
      </c>
      <c r="F74" s="47">
        <f t="shared" si="1"/>
        <v>-30.864727068000001</v>
      </c>
      <c r="G74" s="47">
        <v>0</v>
      </c>
      <c r="H74" s="47">
        <f t="shared" si="5"/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f t="shared" si="4"/>
        <v>-30.864727068000001</v>
      </c>
      <c r="R74" s="47">
        <f t="shared" si="7"/>
        <v>0</v>
      </c>
      <c r="S74" s="48">
        <v>0</v>
      </c>
      <c r="T74" s="118"/>
    </row>
    <row r="75" spans="1:20" s="14" customFormat="1" ht="33" customHeight="1" x14ac:dyDescent="0.25">
      <c r="A75" s="44" t="s">
        <v>19</v>
      </c>
      <c r="B75" s="45" t="s">
        <v>513</v>
      </c>
      <c r="C75" s="51" t="s">
        <v>514</v>
      </c>
      <c r="D75" s="47">
        <v>0</v>
      </c>
      <c r="E75" s="47">
        <f>440788.25*1.2/1000000</f>
        <v>0.52894589999999997</v>
      </c>
      <c r="F75" s="47">
        <f t="shared" si="1"/>
        <v>-0.52894589999999997</v>
      </c>
      <c r="G75" s="47">
        <v>0</v>
      </c>
      <c r="H75" s="47">
        <f t="shared" si="5"/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f t="shared" si="4"/>
        <v>-0.52894589999999997</v>
      </c>
      <c r="R75" s="47">
        <f t="shared" si="7"/>
        <v>0</v>
      </c>
      <c r="S75" s="48">
        <v>0</v>
      </c>
      <c r="T75" s="118"/>
    </row>
    <row r="76" spans="1:20" s="14" customFormat="1" ht="33" customHeight="1" x14ac:dyDescent="0.25">
      <c r="A76" s="44" t="s">
        <v>19</v>
      </c>
      <c r="B76" s="45" t="s">
        <v>525</v>
      </c>
      <c r="C76" s="51" t="s">
        <v>526</v>
      </c>
      <c r="D76" s="47">
        <v>0</v>
      </c>
      <c r="E76" s="47">
        <f>(67178.81-41896)*1.2/1000000</f>
        <v>3.0339371999999996E-2</v>
      </c>
      <c r="F76" s="47">
        <f t="shared" si="1"/>
        <v>-3.0339371999999996E-2</v>
      </c>
      <c r="G76" s="47">
        <v>0</v>
      </c>
      <c r="H76" s="47">
        <f t="shared" si="5"/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f t="shared" si="4"/>
        <v>-3.0339371999999996E-2</v>
      </c>
      <c r="R76" s="47">
        <f t="shared" si="7"/>
        <v>0</v>
      </c>
      <c r="S76" s="48">
        <v>0</v>
      </c>
      <c r="T76" s="118"/>
    </row>
    <row r="77" spans="1:20" s="14" customFormat="1" ht="33" customHeight="1" x14ac:dyDescent="0.25">
      <c r="A77" s="44" t="s">
        <v>19</v>
      </c>
      <c r="B77" s="45" t="s">
        <v>667</v>
      </c>
      <c r="C77" s="51" t="s">
        <v>668</v>
      </c>
      <c r="D77" s="47">
        <v>61.987187999999996</v>
      </c>
      <c r="E77" s="47">
        <v>0</v>
      </c>
      <c r="F77" s="47">
        <f t="shared" si="1"/>
        <v>61.987187999999996</v>
      </c>
      <c r="G77" s="47">
        <f>I77+K77+M77+O77</f>
        <v>61.987187999999996</v>
      </c>
      <c r="H77" s="47">
        <f t="shared" si="5"/>
        <v>0</v>
      </c>
      <c r="I77" s="47">
        <f>12.271805*1.2</f>
        <v>14.726165999999999</v>
      </c>
      <c r="J77" s="47">
        <v>0</v>
      </c>
      <c r="K77" s="47">
        <f>12.271805*1.2</f>
        <v>14.726165999999999</v>
      </c>
      <c r="L77" s="47">
        <v>0</v>
      </c>
      <c r="M77" s="47">
        <f>12.271805*1.2</f>
        <v>14.726165999999999</v>
      </c>
      <c r="N77" s="47">
        <v>0</v>
      </c>
      <c r="O77" s="47">
        <f>14.840575*1.2</f>
        <v>17.808689999999999</v>
      </c>
      <c r="P77" s="47">
        <v>0</v>
      </c>
      <c r="Q77" s="47">
        <f t="shared" si="4"/>
        <v>61.987187999999996</v>
      </c>
      <c r="R77" s="47">
        <f t="shared" si="7"/>
        <v>-61.987187999999996</v>
      </c>
      <c r="S77" s="48">
        <f t="shared" si="8"/>
        <v>-100</v>
      </c>
      <c r="T77" s="118"/>
    </row>
    <row r="78" spans="1:20" s="14" customFormat="1" ht="38.25" x14ac:dyDescent="0.25">
      <c r="A78" s="44" t="s">
        <v>19</v>
      </c>
      <c r="B78" s="45" t="s">
        <v>425</v>
      </c>
      <c r="C78" s="51" t="s">
        <v>426</v>
      </c>
      <c r="D78" s="47">
        <v>0</v>
      </c>
      <c r="E78" s="47">
        <v>0</v>
      </c>
      <c r="F78" s="47">
        <f t="shared" si="1"/>
        <v>0</v>
      </c>
      <c r="G78" s="47">
        <v>0</v>
      </c>
      <c r="H78" s="47">
        <f t="shared" si="5"/>
        <v>-1.56E-3</v>
      </c>
      <c r="I78" s="47">
        <v>0</v>
      </c>
      <c r="J78" s="47">
        <v>-1.56E-3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f t="shared" si="4"/>
        <v>1.56E-3</v>
      </c>
      <c r="R78" s="47">
        <f t="shared" si="7"/>
        <v>-1.56E-3</v>
      </c>
      <c r="S78" s="48">
        <v>100</v>
      </c>
      <c r="T78" s="118"/>
    </row>
    <row r="79" spans="1:20" s="14" customFormat="1" ht="38.25" x14ac:dyDescent="0.25">
      <c r="A79" s="44" t="s">
        <v>19</v>
      </c>
      <c r="B79" s="45" t="s">
        <v>438</v>
      </c>
      <c r="C79" s="51" t="s">
        <v>427</v>
      </c>
      <c r="D79" s="47">
        <v>0</v>
      </c>
      <c r="E79" s="47">
        <v>0</v>
      </c>
      <c r="F79" s="47">
        <f t="shared" si="1"/>
        <v>0</v>
      </c>
      <c r="G79" s="47">
        <v>0</v>
      </c>
      <c r="H79" s="47">
        <f t="shared" si="5"/>
        <v>11.206508784</v>
      </c>
      <c r="I79" s="47">
        <v>0</v>
      </c>
      <c r="J79" s="47">
        <v>0.17834620799999998</v>
      </c>
      <c r="K79" s="47">
        <v>0</v>
      </c>
      <c r="L79" s="47">
        <v>11.028162576</v>
      </c>
      <c r="M79" s="47">
        <v>0</v>
      </c>
      <c r="N79" s="47">
        <v>0</v>
      </c>
      <c r="O79" s="47">
        <v>0</v>
      </c>
      <c r="P79" s="47">
        <v>0</v>
      </c>
      <c r="Q79" s="47">
        <f t="shared" si="4"/>
        <v>-11.206508784</v>
      </c>
      <c r="R79" s="47">
        <f t="shared" si="7"/>
        <v>11.206508784</v>
      </c>
      <c r="S79" s="48">
        <v>100</v>
      </c>
      <c r="T79" s="118"/>
    </row>
    <row r="80" spans="1:20" s="14" customFormat="1" ht="25.5" x14ac:dyDescent="0.25">
      <c r="A80" s="44" t="s">
        <v>19</v>
      </c>
      <c r="B80" s="45" t="s">
        <v>428</v>
      </c>
      <c r="C80" s="51" t="s">
        <v>429</v>
      </c>
      <c r="D80" s="47">
        <v>0</v>
      </c>
      <c r="E80" s="47">
        <v>0</v>
      </c>
      <c r="F80" s="47">
        <f t="shared" si="1"/>
        <v>0</v>
      </c>
      <c r="G80" s="47">
        <v>0</v>
      </c>
      <c r="H80" s="47">
        <f t="shared" si="5"/>
        <v>1.0689042600000001</v>
      </c>
      <c r="I80" s="47">
        <v>0</v>
      </c>
      <c r="J80" s="47">
        <v>1.0689042600000001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f t="shared" si="4"/>
        <v>-1.0689042600000001</v>
      </c>
      <c r="R80" s="47">
        <f t="shared" si="7"/>
        <v>1.0689042600000001</v>
      </c>
      <c r="S80" s="48">
        <v>100</v>
      </c>
      <c r="T80" s="118"/>
    </row>
    <row r="81" spans="1:20" s="14" customFormat="1" ht="25.5" x14ac:dyDescent="0.25">
      <c r="A81" s="44" t="s">
        <v>19</v>
      </c>
      <c r="B81" s="45" t="s">
        <v>430</v>
      </c>
      <c r="C81" s="51" t="s">
        <v>431</v>
      </c>
      <c r="D81" s="47">
        <v>0</v>
      </c>
      <c r="E81" s="47">
        <v>0</v>
      </c>
      <c r="F81" s="47">
        <f t="shared" si="1"/>
        <v>0</v>
      </c>
      <c r="G81" s="47">
        <v>0</v>
      </c>
      <c r="H81" s="47">
        <f t="shared" si="5"/>
        <v>6.7079544000000005E-2</v>
      </c>
      <c r="I81" s="47">
        <v>0</v>
      </c>
      <c r="J81" s="47">
        <v>6.7079544000000005E-2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f t="shared" si="4"/>
        <v>-6.7079544000000005E-2</v>
      </c>
      <c r="R81" s="47">
        <f t="shared" si="7"/>
        <v>6.7079544000000005E-2</v>
      </c>
      <c r="S81" s="48">
        <v>100</v>
      </c>
      <c r="T81" s="118"/>
    </row>
    <row r="82" spans="1:20" s="14" customFormat="1" ht="38.25" x14ac:dyDescent="0.25">
      <c r="A82" s="44" t="s">
        <v>19</v>
      </c>
      <c r="B82" s="45" t="s">
        <v>432</v>
      </c>
      <c r="C82" s="51" t="s">
        <v>433</v>
      </c>
      <c r="D82" s="47">
        <v>0</v>
      </c>
      <c r="E82" s="47">
        <v>0</v>
      </c>
      <c r="F82" s="47">
        <f t="shared" si="1"/>
        <v>0</v>
      </c>
      <c r="G82" s="47">
        <f>I82+K82+M82+O82</f>
        <v>0</v>
      </c>
      <c r="H82" s="47">
        <f t="shared" si="5"/>
        <v>8.8783331999999993E-2</v>
      </c>
      <c r="I82" s="47">
        <v>0</v>
      </c>
      <c r="J82" s="47">
        <v>4.5197736000000002E-2</v>
      </c>
      <c r="K82" s="47">
        <v>0</v>
      </c>
      <c r="L82" s="47">
        <v>3.1585595999999994E-2</v>
      </c>
      <c r="M82" s="47">
        <v>0</v>
      </c>
      <c r="N82" s="47">
        <v>0</v>
      </c>
      <c r="O82" s="47">
        <v>0</v>
      </c>
      <c r="P82" s="47">
        <v>1.2E-2</v>
      </c>
      <c r="Q82" s="47">
        <f t="shared" si="4"/>
        <v>-8.8783331999999993E-2</v>
      </c>
      <c r="R82" s="47">
        <f t="shared" si="7"/>
        <v>8.8783331999999993E-2</v>
      </c>
      <c r="S82" s="48">
        <v>100</v>
      </c>
      <c r="T82" s="118"/>
    </row>
    <row r="83" spans="1:20" s="14" customFormat="1" ht="25.5" x14ac:dyDescent="0.25">
      <c r="A83" s="44" t="s">
        <v>19</v>
      </c>
      <c r="B83" s="45" t="s">
        <v>434</v>
      </c>
      <c r="C83" s="51" t="s">
        <v>435</v>
      </c>
      <c r="D83" s="47">
        <v>0</v>
      </c>
      <c r="E83" s="47">
        <v>0</v>
      </c>
      <c r="F83" s="47">
        <f t="shared" ref="F83:F143" si="18">D83-E83</f>
        <v>0</v>
      </c>
      <c r="G83" s="47">
        <f>I83+K83+M83+O83</f>
        <v>0</v>
      </c>
      <c r="H83" s="47">
        <f t="shared" si="5"/>
        <v>6.0000000000000001E-3</v>
      </c>
      <c r="I83" s="47">
        <v>0</v>
      </c>
      <c r="J83" s="47">
        <v>6.0000000000000001E-3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f t="shared" ref="Q83:Q143" si="19">F83-H83</f>
        <v>-6.0000000000000001E-3</v>
      </c>
      <c r="R83" s="47">
        <f t="shared" si="7"/>
        <v>6.0000000000000001E-3</v>
      </c>
      <c r="S83" s="48">
        <v>100</v>
      </c>
      <c r="T83" s="118"/>
    </row>
    <row r="84" spans="1:20" s="14" customFormat="1" ht="25.5" x14ac:dyDescent="0.25">
      <c r="A84" s="44" t="s">
        <v>19</v>
      </c>
      <c r="B84" s="45" t="s">
        <v>436</v>
      </c>
      <c r="C84" s="51" t="s">
        <v>437</v>
      </c>
      <c r="D84" s="47">
        <v>0</v>
      </c>
      <c r="E84" s="47">
        <v>0</v>
      </c>
      <c r="F84" s="47">
        <f t="shared" si="18"/>
        <v>0</v>
      </c>
      <c r="G84" s="47">
        <f>I84+K84+M84+O84</f>
        <v>0</v>
      </c>
      <c r="H84" s="47">
        <f t="shared" ref="H84:H143" si="20">J84+L84+N84+P84</f>
        <v>0.39741710400000002</v>
      </c>
      <c r="I84" s="47">
        <v>0</v>
      </c>
      <c r="J84" s="47">
        <v>0.39741710400000002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f t="shared" si="19"/>
        <v>-0.39741710400000002</v>
      </c>
      <c r="R84" s="47">
        <f t="shared" ref="R84:R143" si="21">(J84+L84+N84+P84)-(I84+K84+M84+O84)</f>
        <v>0.39741710400000002</v>
      </c>
      <c r="S84" s="48">
        <v>100</v>
      </c>
      <c r="T84" s="118"/>
    </row>
    <row r="85" spans="1:20" s="14" customFormat="1" ht="25.5" x14ac:dyDescent="0.25">
      <c r="A85" s="54" t="s">
        <v>19</v>
      </c>
      <c r="B85" s="45" t="s">
        <v>974</v>
      </c>
      <c r="C85" s="51" t="s">
        <v>975</v>
      </c>
      <c r="D85" s="47">
        <v>0</v>
      </c>
      <c r="E85" s="47">
        <v>0</v>
      </c>
      <c r="F85" s="47">
        <f t="shared" si="18"/>
        <v>0</v>
      </c>
      <c r="G85" s="47">
        <f t="shared" ref="G85:G86" si="22">I85+K85+M85+O85</f>
        <v>0</v>
      </c>
      <c r="H85" s="47">
        <f t="shared" si="20"/>
        <v>-2.5402488000000001E-2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-2.5402488000000001E-2</v>
      </c>
      <c r="Q85" s="47">
        <f t="shared" si="19"/>
        <v>2.5402488000000001E-2</v>
      </c>
      <c r="R85" s="47">
        <f t="shared" si="21"/>
        <v>-2.5402488000000001E-2</v>
      </c>
      <c r="S85" s="48">
        <v>100</v>
      </c>
      <c r="T85" s="118"/>
    </row>
    <row r="86" spans="1:20" s="14" customFormat="1" ht="25.5" x14ac:dyDescent="0.25">
      <c r="A86" s="54" t="s">
        <v>19</v>
      </c>
      <c r="B86" s="45" t="s">
        <v>976</v>
      </c>
      <c r="C86" s="51" t="s">
        <v>975</v>
      </c>
      <c r="D86" s="47">
        <v>0</v>
      </c>
      <c r="E86" s="47">
        <v>0</v>
      </c>
      <c r="F86" s="47">
        <f t="shared" si="18"/>
        <v>0</v>
      </c>
      <c r="G86" s="47">
        <f t="shared" si="22"/>
        <v>0</v>
      </c>
      <c r="H86" s="47">
        <f t="shared" si="20"/>
        <v>-2.3812319999999996E-3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-2.3812319999999996E-3</v>
      </c>
      <c r="Q86" s="47">
        <f t="shared" si="19"/>
        <v>2.3812319999999996E-3</v>
      </c>
      <c r="R86" s="47">
        <f t="shared" si="21"/>
        <v>-2.3812319999999996E-3</v>
      </c>
      <c r="S86" s="48">
        <v>100</v>
      </c>
      <c r="T86" s="118"/>
    </row>
    <row r="87" spans="1:20" s="14" customFormat="1" ht="25.5" x14ac:dyDescent="0.25">
      <c r="A87" s="54" t="s">
        <v>19</v>
      </c>
      <c r="B87" s="45" t="s">
        <v>635</v>
      </c>
      <c r="C87" s="51" t="s">
        <v>636</v>
      </c>
      <c r="D87" s="47">
        <v>0</v>
      </c>
      <c r="E87" s="47">
        <v>0</v>
      </c>
      <c r="F87" s="47">
        <f t="shared" si="18"/>
        <v>0</v>
      </c>
      <c r="G87" s="47">
        <v>0</v>
      </c>
      <c r="H87" s="47">
        <f t="shared" si="20"/>
        <v>3.1335768E-2</v>
      </c>
      <c r="I87" s="47">
        <v>0</v>
      </c>
      <c r="J87" s="47">
        <v>0</v>
      </c>
      <c r="K87" s="47">
        <v>0</v>
      </c>
      <c r="L87" s="47">
        <v>3.1335768E-2</v>
      </c>
      <c r="M87" s="47">
        <v>0</v>
      </c>
      <c r="N87" s="47">
        <v>0</v>
      </c>
      <c r="O87" s="47">
        <v>0</v>
      </c>
      <c r="P87" s="47">
        <v>0</v>
      </c>
      <c r="Q87" s="47">
        <f t="shared" si="19"/>
        <v>-3.1335768E-2</v>
      </c>
      <c r="R87" s="47">
        <f t="shared" si="21"/>
        <v>3.1335768E-2</v>
      </c>
      <c r="S87" s="48">
        <v>100</v>
      </c>
      <c r="T87" s="118"/>
    </row>
    <row r="88" spans="1:20" s="14" customFormat="1" ht="25.5" x14ac:dyDescent="0.25">
      <c r="A88" s="54" t="s">
        <v>19</v>
      </c>
      <c r="B88" s="45" t="s">
        <v>507</v>
      </c>
      <c r="C88" s="51" t="s">
        <v>508</v>
      </c>
      <c r="D88" s="47">
        <v>0</v>
      </c>
      <c r="E88" s="47">
        <v>0</v>
      </c>
      <c r="F88" s="47">
        <f t="shared" si="18"/>
        <v>0</v>
      </c>
      <c r="G88" s="47">
        <v>0</v>
      </c>
      <c r="H88" s="47">
        <f t="shared" si="20"/>
        <v>8.9999999999999993E-3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8.9999999999999993E-3</v>
      </c>
      <c r="Q88" s="47">
        <f t="shared" si="19"/>
        <v>-8.9999999999999993E-3</v>
      </c>
      <c r="R88" s="47">
        <f t="shared" si="21"/>
        <v>8.9999999999999993E-3</v>
      </c>
      <c r="S88" s="48">
        <v>100</v>
      </c>
      <c r="T88" s="118"/>
    </row>
    <row r="89" spans="1:20" s="14" customFormat="1" ht="25.5" x14ac:dyDescent="0.25">
      <c r="A89" s="54" t="s">
        <v>19</v>
      </c>
      <c r="B89" s="45" t="s">
        <v>523</v>
      </c>
      <c r="C89" s="51" t="s">
        <v>524</v>
      </c>
      <c r="D89" s="47">
        <v>0</v>
      </c>
      <c r="E89" s="47">
        <v>0</v>
      </c>
      <c r="F89" s="47">
        <f t="shared" si="18"/>
        <v>0</v>
      </c>
      <c r="G89" s="47">
        <v>0</v>
      </c>
      <c r="H89" s="47">
        <f t="shared" si="20"/>
        <v>0.17371684800000001</v>
      </c>
      <c r="I89" s="47">
        <v>0</v>
      </c>
      <c r="J89" s="47">
        <v>0</v>
      </c>
      <c r="K89" s="47">
        <v>0</v>
      </c>
      <c r="L89" s="47">
        <v>0.17371684800000001</v>
      </c>
      <c r="M89" s="47">
        <v>0</v>
      </c>
      <c r="N89" s="47">
        <v>0</v>
      </c>
      <c r="O89" s="47">
        <v>0</v>
      </c>
      <c r="P89" s="47">
        <v>0</v>
      </c>
      <c r="Q89" s="47">
        <f t="shared" si="19"/>
        <v>-0.17371684800000001</v>
      </c>
      <c r="R89" s="47">
        <f t="shared" si="21"/>
        <v>0.17371684800000001</v>
      </c>
      <c r="S89" s="48">
        <v>100</v>
      </c>
      <c r="T89" s="118"/>
    </row>
    <row r="90" spans="1:20" s="14" customFormat="1" ht="25.5" x14ac:dyDescent="0.25">
      <c r="A90" s="54" t="s">
        <v>19</v>
      </c>
      <c r="B90" s="45" t="s">
        <v>515</v>
      </c>
      <c r="C90" s="51" t="s">
        <v>516</v>
      </c>
      <c r="D90" s="47">
        <v>0</v>
      </c>
      <c r="E90" s="47">
        <v>0</v>
      </c>
      <c r="F90" s="47">
        <f t="shared" si="18"/>
        <v>0</v>
      </c>
      <c r="G90" s="47">
        <v>0</v>
      </c>
      <c r="H90" s="47">
        <f t="shared" si="20"/>
        <v>8.9999999999999993E-3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8.9999999999999993E-3</v>
      </c>
      <c r="Q90" s="47">
        <f t="shared" si="19"/>
        <v>-8.9999999999999993E-3</v>
      </c>
      <c r="R90" s="47">
        <f t="shared" si="21"/>
        <v>8.9999999999999993E-3</v>
      </c>
      <c r="S90" s="48">
        <v>100</v>
      </c>
      <c r="T90" s="118"/>
    </row>
    <row r="91" spans="1:20" s="14" customFormat="1" ht="25.5" x14ac:dyDescent="0.25">
      <c r="A91" s="54" t="s">
        <v>19</v>
      </c>
      <c r="B91" s="45" t="s">
        <v>517</v>
      </c>
      <c r="C91" s="51" t="s">
        <v>518</v>
      </c>
      <c r="D91" s="47">
        <v>0</v>
      </c>
      <c r="E91" s="47">
        <v>0</v>
      </c>
      <c r="F91" s="47">
        <f t="shared" si="18"/>
        <v>0</v>
      </c>
      <c r="G91" s="47">
        <v>0</v>
      </c>
      <c r="H91" s="47">
        <f t="shared" si="20"/>
        <v>8.9999999999999993E-3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8.9999999999999993E-3</v>
      </c>
      <c r="Q91" s="47">
        <f t="shared" si="19"/>
        <v>-8.9999999999999993E-3</v>
      </c>
      <c r="R91" s="47">
        <f t="shared" si="21"/>
        <v>8.9999999999999993E-3</v>
      </c>
      <c r="S91" s="48">
        <v>100</v>
      </c>
      <c r="T91" s="118"/>
    </row>
    <row r="92" spans="1:20" s="14" customFormat="1" ht="25.5" x14ac:dyDescent="0.25">
      <c r="A92" s="54" t="s">
        <v>19</v>
      </c>
      <c r="B92" s="45" t="s">
        <v>521</v>
      </c>
      <c r="C92" s="51" t="s">
        <v>522</v>
      </c>
      <c r="D92" s="47">
        <v>0</v>
      </c>
      <c r="E92" s="47">
        <v>0</v>
      </c>
      <c r="F92" s="47">
        <f t="shared" si="18"/>
        <v>0</v>
      </c>
      <c r="G92" s="47">
        <v>0</v>
      </c>
      <c r="H92" s="47">
        <f t="shared" si="20"/>
        <v>8.9999999999999993E-3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8.9999999999999993E-3</v>
      </c>
      <c r="Q92" s="47">
        <f t="shared" si="19"/>
        <v>-8.9999999999999993E-3</v>
      </c>
      <c r="R92" s="47">
        <f t="shared" si="21"/>
        <v>8.9999999999999993E-3</v>
      </c>
      <c r="S92" s="48">
        <v>100</v>
      </c>
      <c r="T92" s="118"/>
    </row>
    <row r="93" spans="1:20" s="14" customFormat="1" ht="63.75" x14ac:dyDescent="0.25">
      <c r="A93" s="54" t="s">
        <v>19</v>
      </c>
      <c r="B93" s="45" t="s">
        <v>511</v>
      </c>
      <c r="C93" s="51" t="s">
        <v>512</v>
      </c>
      <c r="D93" s="47">
        <v>0</v>
      </c>
      <c r="E93" s="47">
        <v>0</v>
      </c>
      <c r="F93" s="47">
        <f t="shared" si="18"/>
        <v>0</v>
      </c>
      <c r="G93" s="47">
        <v>0</v>
      </c>
      <c r="H93" s="47">
        <f t="shared" si="20"/>
        <v>1.4190482520000001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1.4190482520000001</v>
      </c>
      <c r="Q93" s="47">
        <f t="shared" si="19"/>
        <v>-1.4190482520000001</v>
      </c>
      <c r="R93" s="47">
        <f t="shared" si="21"/>
        <v>1.4190482520000001</v>
      </c>
      <c r="S93" s="48">
        <v>100</v>
      </c>
      <c r="T93" s="118"/>
    </row>
    <row r="94" spans="1:20" s="14" customFormat="1" ht="25.5" x14ac:dyDescent="0.25">
      <c r="A94" s="54" t="s">
        <v>19</v>
      </c>
      <c r="B94" s="45" t="s">
        <v>637</v>
      </c>
      <c r="C94" s="51" t="s">
        <v>638</v>
      </c>
      <c r="D94" s="47">
        <v>0</v>
      </c>
      <c r="E94" s="47">
        <v>0</v>
      </c>
      <c r="F94" s="47">
        <f t="shared" si="18"/>
        <v>0</v>
      </c>
      <c r="G94" s="47">
        <v>0</v>
      </c>
      <c r="H94" s="47">
        <f t="shared" si="20"/>
        <v>7.8241487999999998E-2</v>
      </c>
      <c r="I94" s="47">
        <v>0</v>
      </c>
      <c r="J94" s="47">
        <v>0</v>
      </c>
      <c r="K94" s="47">
        <v>0</v>
      </c>
      <c r="L94" s="47">
        <v>6.1672763999999998E-2</v>
      </c>
      <c r="M94" s="47">
        <v>0</v>
      </c>
      <c r="N94" s="47">
        <v>0</v>
      </c>
      <c r="O94" s="47">
        <v>0</v>
      </c>
      <c r="P94" s="47">
        <v>1.6568724E-2</v>
      </c>
      <c r="Q94" s="47">
        <f t="shared" si="19"/>
        <v>-7.8241487999999998E-2</v>
      </c>
      <c r="R94" s="47">
        <f t="shared" si="21"/>
        <v>7.8241487999999998E-2</v>
      </c>
      <c r="S94" s="48">
        <v>100</v>
      </c>
      <c r="T94" s="118"/>
    </row>
    <row r="95" spans="1:20" s="14" customFormat="1" ht="38.25" x14ac:dyDescent="0.25">
      <c r="A95" s="54" t="s">
        <v>19</v>
      </c>
      <c r="B95" s="45" t="s">
        <v>639</v>
      </c>
      <c r="C95" s="51" t="s">
        <v>640</v>
      </c>
      <c r="D95" s="47">
        <v>0</v>
      </c>
      <c r="E95" s="47">
        <v>0</v>
      </c>
      <c r="F95" s="47">
        <f t="shared" si="18"/>
        <v>0</v>
      </c>
      <c r="G95" s="47">
        <v>0</v>
      </c>
      <c r="H95" s="47">
        <f t="shared" si="20"/>
        <v>2.3935823999999998E-2</v>
      </c>
      <c r="I95" s="47">
        <v>0</v>
      </c>
      <c r="J95" s="47">
        <v>0</v>
      </c>
      <c r="K95" s="47">
        <v>0</v>
      </c>
      <c r="L95" s="47">
        <v>1.9735823999999999E-2</v>
      </c>
      <c r="M95" s="47">
        <v>0</v>
      </c>
      <c r="N95" s="47">
        <v>0</v>
      </c>
      <c r="O95" s="47">
        <v>0</v>
      </c>
      <c r="P95" s="47">
        <v>4.1999999999999997E-3</v>
      </c>
      <c r="Q95" s="47">
        <f t="shared" si="19"/>
        <v>-2.3935823999999998E-2</v>
      </c>
      <c r="R95" s="47">
        <f t="shared" si="21"/>
        <v>2.3935823999999998E-2</v>
      </c>
      <c r="S95" s="48">
        <v>100</v>
      </c>
      <c r="T95" s="118"/>
    </row>
    <row r="96" spans="1:20" s="14" customFormat="1" ht="38.25" x14ac:dyDescent="0.25">
      <c r="A96" s="54" t="s">
        <v>19</v>
      </c>
      <c r="B96" s="45" t="s">
        <v>641</v>
      </c>
      <c r="C96" s="51" t="s">
        <v>642</v>
      </c>
      <c r="D96" s="47">
        <v>0</v>
      </c>
      <c r="E96" s="47">
        <v>0</v>
      </c>
      <c r="F96" s="47">
        <f t="shared" si="18"/>
        <v>0</v>
      </c>
      <c r="G96" s="47">
        <v>0</v>
      </c>
      <c r="H96" s="47">
        <f t="shared" si="20"/>
        <v>3.7917815999999993E-2</v>
      </c>
      <c r="I96" s="47">
        <v>0</v>
      </c>
      <c r="J96" s="47">
        <v>0</v>
      </c>
      <c r="K96" s="47">
        <v>0</v>
      </c>
      <c r="L96" s="47">
        <v>2.9204363999999997E-2</v>
      </c>
      <c r="M96" s="47">
        <v>0</v>
      </c>
      <c r="N96" s="47">
        <v>0</v>
      </c>
      <c r="O96" s="47">
        <v>0</v>
      </c>
      <c r="P96" s="47">
        <v>8.713452E-3</v>
      </c>
      <c r="Q96" s="47">
        <f t="shared" si="19"/>
        <v>-3.7917815999999993E-2</v>
      </c>
      <c r="R96" s="47">
        <f t="shared" si="21"/>
        <v>3.7917815999999993E-2</v>
      </c>
      <c r="S96" s="48">
        <v>100</v>
      </c>
      <c r="T96" s="118"/>
    </row>
    <row r="97" spans="1:20" s="14" customFormat="1" ht="38.25" x14ac:dyDescent="0.25">
      <c r="A97" s="54" t="s">
        <v>19</v>
      </c>
      <c r="B97" s="45" t="s">
        <v>643</v>
      </c>
      <c r="C97" s="51" t="s">
        <v>644</v>
      </c>
      <c r="D97" s="47">
        <v>0</v>
      </c>
      <c r="E97" s="47">
        <v>0</v>
      </c>
      <c r="F97" s="47">
        <f t="shared" si="18"/>
        <v>0</v>
      </c>
      <c r="G97" s="47">
        <v>0</v>
      </c>
      <c r="H97" s="47">
        <f t="shared" si="20"/>
        <v>4.1457815999999995E-2</v>
      </c>
      <c r="I97" s="47">
        <v>0</v>
      </c>
      <c r="J97" s="47">
        <v>0</v>
      </c>
      <c r="K97" s="47">
        <v>0</v>
      </c>
      <c r="L97" s="47">
        <v>2.9204363999999997E-2</v>
      </c>
      <c r="M97" s="47">
        <v>0</v>
      </c>
      <c r="N97" s="47">
        <v>0</v>
      </c>
      <c r="O97" s="47">
        <v>0</v>
      </c>
      <c r="P97" s="47">
        <v>1.2253452E-2</v>
      </c>
      <c r="Q97" s="47">
        <f t="shared" si="19"/>
        <v>-4.1457815999999995E-2</v>
      </c>
      <c r="R97" s="47">
        <f t="shared" si="21"/>
        <v>4.1457815999999995E-2</v>
      </c>
      <c r="S97" s="48">
        <v>100</v>
      </c>
      <c r="T97" s="118"/>
    </row>
    <row r="98" spans="1:20" s="14" customFormat="1" ht="25.5" x14ac:dyDescent="0.25">
      <c r="A98" s="54" t="s">
        <v>19</v>
      </c>
      <c r="B98" s="45" t="s">
        <v>645</v>
      </c>
      <c r="C98" s="51" t="s">
        <v>646</v>
      </c>
      <c r="D98" s="47">
        <v>0</v>
      </c>
      <c r="E98" s="47">
        <v>0</v>
      </c>
      <c r="F98" s="47">
        <f t="shared" si="18"/>
        <v>0</v>
      </c>
      <c r="G98" s="47">
        <v>0</v>
      </c>
      <c r="H98" s="47">
        <f t="shared" si="20"/>
        <v>4.6575107999999997E-2</v>
      </c>
      <c r="I98" s="47">
        <v>0</v>
      </c>
      <c r="J98" s="47">
        <v>0</v>
      </c>
      <c r="K98" s="47">
        <v>0</v>
      </c>
      <c r="L98" s="47">
        <v>4.6575107999999997E-2</v>
      </c>
      <c r="M98" s="47">
        <v>0</v>
      </c>
      <c r="N98" s="47">
        <v>0</v>
      </c>
      <c r="O98" s="47">
        <v>0</v>
      </c>
      <c r="P98" s="47">
        <v>0</v>
      </c>
      <c r="Q98" s="47">
        <f t="shared" si="19"/>
        <v>-4.6575107999999997E-2</v>
      </c>
      <c r="R98" s="47">
        <f t="shared" si="21"/>
        <v>4.6575107999999997E-2</v>
      </c>
      <c r="S98" s="48">
        <v>100</v>
      </c>
      <c r="T98" s="118"/>
    </row>
    <row r="99" spans="1:20" s="14" customFormat="1" ht="25.5" x14ac:dyDescent="0.25">
      <c r="A99" s="54" t="s">
        <v>19</v>
      </c>
      <c r="B99" s="45" t="s">
        <v>647</v>
      </c>
      <c r="C99" s="51" t="s">
        <v>648</v>
      </c>
      <c r="D99" s="47">
        <v>0</v>
      </c>
      <c r="E99" s="47">
        <v>0</v>
      </c>
      <c r="F99" s="47">
        <f t="shared" si="18"/>
        <v>0</v>
      </c>
      <c r="G99" s="47">
        <v>0</v>
      </c>
      <c r="H99" s="47">
        <f t="shared" si="20"/>
        <v>1.0918271879999999</v>
      </c>
      <c r="I99" s="47">
        <v>0</v>
      </c>
      <c r="J99" s="47">
        <v>0</v>
      </c>
      <c r="K99" s="47">
        <v>0</v>
      </c>
      <c r="L99" s="47">
        <v>1.0918271879999999</v>
      </c>
      <c r="M99" s="47">
        <v>0</v>
      </c>
      <c r="N99" s="47">
        <v>0</v>
      </c>
      <c r="O99" s="47">
        <v>0</v>
      </c>
      <c r="P99" s="47">
        <v>0</v>
      </c>
      <c r="Q99" s="47">
        <f t="shared" si="19"/>
        <v>-1.0918271879999999</v>
      </c>
      <c r="R99" s="47">
        <f t="shared" si="21"/>
        <v>1.0918271879999999</v>
      </c>
      <c r="S99" s="48">
        <v>100</v>
      </c>
      <c r="T99" s="118"/>
    </row>
    <row r="100" spans="1:20" s="14" customFormat="1" ht="25.5" x14ac:dyDescent="0.25">
      <c r="A100" s="54" t="s">
        <v>19</v>
      </c>
      <c r="B100" s="45" t="s">
        <v>649</v>
      </c>
      <c r="C100" s="51" t="s">
        <v>650</v>
      </c>
      <c r="D100" s="47">
        <v>0</v>
      </c>
      <c r="E100" s="47">
        <v>0</v>
      </c>
      <c r="F100" s="47">
        <f t="shared" si="18"/>
        <v>0</v>
      </c>
      <c r="G100" s="47">
        <v>0</v>
      </c>
      <c r="H100" s="47">
        <f t="shared" si="20"/>
        <v>0.40121049599999997</v>
      </c>
      <c r="I100" s="47">
        <v>0</v>
      </c>
      <c r="J100" s="47">
        <v>0</v>
      </c>
      <c r="K100" s="47">
        <v>0</v>
      </c>
      <c r="L100" s="47">
        <v>0.40121049599999997</v>
      </c>
      <c r="M100" s="47">
        <v>0</v>
      </c>
      <c r="N100" s="47">
        <v>0</v>
      </c>
      <c r="O100" s="47">
        <v>0</v>
      </c>
      <c r="P100" s="47">
        <v>0</v>
      </c>
      <c r="Q100" s="47">
        <f t="shared" si="19"/>
        <v>-0.40121049599999997</v>
      </c>
      <c r="R100" s="47">
        <f t="shared" si="21"/>
        <v>0.40121049599999997</v>
      </c>
      <c r="S100" s="48">
        <v>100</v>
      </c>
      <c r="T100" s="118"/>
    </row>
    <row r="101" spans="1:20" s="14" customFormat="1" ht="25.5" x14ac:dyDescent="0.25">
      <c r="A101" s="54" t="s">
        <v>19</v>
      </c>
      <c r="B101" s="45" t="s">
        <v>651</v>
      </c>
      <c r="C101" s="51" t="s">
        <v>652</v>
      </c>
      <c r="D101" s="47">
        <v>0</v>
      </c>
      <c r="E101" s="47">
        <v>0</v>
      </c>
      <c r="F101" s="47">
        <f t="shared" si="18"/>
        <v>0</v>
      </c>
      <c r="G101" s="47">
        <v>0</v>
      </c>
      <c r="H101" s="47">
        <f t="shared" si="20"/>
        <v>5.6462363999999994E-2</v>
      </c>
      <c r="I101" s="47">
        <v>0</v>
      </c>
      <c r="J101" s="47">
        <v>0</v>
      </c>
      <c r="K101" s="47">
        <v>0</v>
      </c>
      <c r="L101" s="47">
        <v>5.6462363999999994E-2</v>
      </c>
      <c r="M101" s="47">
        <v>0</v>
      </c>
      <c r="N101" s="47">
        <v>0</v>
      </c>
      <c r="O101" s="47">
        <v>0</v>
      </c>
      <c r="P101" s="47">
        <v>0</v>
      </c>
      <c r="Q101" s="47">
        <f t="shared" si="19"/>
        <v>-5.6462363999999994E-2</v>
      </c>
      <c r="R101" s="47">
        <f t="shared" si="21"/>
        <v>5.6462363999999994E-2</v>
      </c>
      <c r="S101" s="48">
        <v>100</v>
      </c>
      <c r="T101" s="118"/>
    </row>
    <row r="102" spans="1:20" s="14" customFormat="1" ht="25.5" x14ac:dyDescent="0.25">
      <c r="A102" s="54" t="s">
        <v>19</v>
      </c>
      <c r="B102" s="45" t="s">
        <v>505</v>
      </c>
      <c r="C102" s="51" t="s">
        <v>506</v>
      </c>
      <c r="D102" s="47">
        <v>0</v>
      </c>
      <c r="E102" s="47">
        <v>0</v>
      </c>
      <c r="F102" s="47">
        <f t="shared" si="18"/>
        <v>0</v>
      </c>
      <c r="G102" s="47">
        <v>0</v>
      </c>
      <c r="H102" s="47">
        <f t="shared" si="20"/>
        <v>2.3602799999999997E-2</v>
      </c>
      <c r="I102" s="47">
        <v>0</v>
      </c>
      <c r="J102" s="47">
        <v>0</v>
      </c>
      <c r="K102" s="47">
        <v>0</v>
      </c>
      <c r="L102" s="47">
        <v>2.3602799999999997E-2</v>
      </c>
      <c r="M102" s="47">
        <v>0</v>
      </c>
      <c r="N102" s="47">
        <v>0</v>
      </c>
      <c r="O102" s="47">
        <v>0</v>
      </c>
      <c r="P102" s="47">
        <v>0</v>
      </c>
      <c r="Q102" s="47">
        <f t="shared" si="19"/>
        <v>-2.3602799999999997E-2</v>
      </c>
      <c r="R102" s="47">
        <f t="shared" si="21"/>
        <v>2.3602799999999997E-2</v>
      </c>
      <c r="S102" s="48">
        <v>100</v>
      </c>
      <c r="T102" s="118"/>
    </row>
    <row r="103" spans="1:20" s="14" customFormat="1" ht="25.5" x14ac:dyDescent="0.25">
      <c r="A103" s="54" t="s">
        <v>19</v>
      </c>
      <c r="B103" s="45" t="s">
        <v>749</v>
      </c>
      <c r="C103" s="51" t="s">
        <v>750</v>
      </c>
      <c r="D103" s="47">
        <v>0</v>
      </c>
      <c r="E103" s="47">
        <v>0</v>
      </c>
      <c r="F103" s="47">
        <f t="shared" si="18"/>
        <v>0</v>
      </c>
      <c r="G103" s="47">
        <v>0</v>
      </c>
      <c r="H103" s="47">
        <f t="shared" si="20"/>
        <v>3.230628E-2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3.230628E-2</v>
      </c>
      <c r="Q103" s="47">
        <f t="shared" si="19"/>
        <v>-3.230628E-2</v>
      </c>
      <c r="R103" s="47">
        <f t="shared" si="21"/>
        <v>3.230628E-2</v>
      </c>
      <c r="S103" s="48">
        <v>100</v>
      </c>
      <c r="T103" s="118"/>
    </row>
    <row r="104" spans="1:20" s="14" customFormat="1" ht="25.5" x14ac:dyDescent="0.25">
      <c r="A104" s="54" t="s">
        <v>19</v>
      </c>
      <c r="B104" s="45" t="s">
        <v>751</v>
      </c>
      <c r="C104" s="51" t="s">
        <v>752</v>
      </c>
      <c r="D104" s="47">
        <v>0</v>
      </c>
      <c r="E104" s="47">
        <v>0</v>
      </c>
      <c r="F104" s="47">
        <f t="shared" si="18"/>
        <v>0</v>
      </c>
      <c r="G104" s="47">
        <v>0</v>
      </c>
      <c r="H104" s="47">
        <f t="shared" si="20"/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f t="shared" si="19"/>
        <v>0</v>
      </c>
      <c r="R104" s="47">
        <f t="shared" si="21"/>
        <v>0</v>
      </c>
      <c r="S104" s="48">
        <v>0</v>
      </c>
      <c r="T104" s="118"/>
    </row>
    <row r="105" spans="1:20" s="14" customFormat="1" ht="25.5" x14ac:dyDescent="0.25">
      <c r="A105" s="54" t="s">
        <v>19</v>
      </c>
      <c r="B105" s="45" t="s">
        <v>753</v>
      </c>
      <c r="C105" s="51" t="s">
        <v>754</v>
      </c>
      <c r="D105" s="47">
        <v>0</v>
      </c>
      <c r="E105" s="47">
        <v>0</v>
      </c>
      <c r="F105" s="47">
        <f t="shared" si="18"/>
        <v>0</v>
      </c>
      <c r="G105" s="47">
        <v>0</v>
      </c>
      <c r="H105" s="47">
        <f t="shared" si="20"/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f t="shared" si="19"/>
        <v>0</v>
      </c>
      <c r="R105" s="47">
        <f t="shared" si="21"/>
        <v>0</v>
      </c>
      <c r="S105" s="48">
        <v>0</v>
      </c>
      <c r="T105" s="118"/>
    </row>
    <row r="106" spans="1:20" s="14" customFormat="1" ht="25.5" x14ac:dyDescent="0.25">
      <c r="A106" s="54" t="s">
        <v>19</v>
      </c>
      <c r="B106" s="45" t="s">
        <v>755</v>
      </c>
      <c r="C106" s="51" t="s">
        <v>756</v>
      </c>
      <c r="D106" s="47">
        <v>0</v>
      </c>
      <c r="E106" s="47">
        <v>0</v>
      </c>
      <c r="F106" s="47">
        <f t="shared" si="18"/>
        <v>0</v>
      </c>
      <c r="G106" s="47">
        <v>0</v>
      </c>
      <c r="H106" s="47">
        <f t="shared" si="20"/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f t="shared" si="19"/>
        <v>0</v>
      </c>
      <c r="R106" s="47">
        <f t="shared" si="21"/>
        <v>0</v>
      </c>
      <c r="S106" s="48">
        <v>0</v>
      </c>
      <c r="T106" s="118"/>
    </row>
    <row r="107" spans="1:20" s="14" customFormat="1" ht="25.5" x14ac:dyDescent="0.25">
      <c r="A107" s="54" t="s">
        <v>19</v>
      </c>
      <c r="B107" s="45" t="s">
        <v>757</v>
      </c>
      <c r="C107" s="51" t="s">
        <v>758</v>
      </c>
      <c r="D107" s="47">
        <v>0</v>
      </c>
      <c r="E107" s="47">
        <v>0</v>
      </c>
      <c r="F107" s="47">
        <f t="shared" si="18"/>
        <v>0</v>
      </c>
      <c r="G107" s="47">
        <v>0</v>
      </c>
      <c r="H107" s="47">
        <f t="shared" si="20"/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f t="shared" si="19"/>
        <v>0</v>
      </c>
      <c r="R107" s="47">
        <f t="shared" si="21"/>
        <v>0</v>
      </c>
      <c r="S107" s="48">
        <v>0</v>
      </c>
      <c r="T107" s="118"/>
    </row>
    <row r="108" spans="1:20" s="14" customFormat="1" ht="25.5" x14ac:dyDescent="0.25">
      <c r="A108" s="54" t="s">
        <v>19</v>
      </c>
      <c r="B108" s="45" t="s">
        <v>759</v>
      </c>
      <c r="C108" s="51" t="s">
        <v>760</v>
      </c>
      <c r="D108" s="47">
        <v>0</v>
      </c>
      <c r="E108" s="47">
        <v>0</v>
      </c>
      <c r="F108" s="47">
        <f t="shared" si="18"/>
        <v>0</v>
      </c>
      <c r="G108" s="47">
        <v>0</v>
      </c>
      <c r="H108" s="47">
        <f t="shared" si="20"/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f t="shared" si="19"/>
        <v>0</v>
      </c>
      <c r="R108" s="47">
        <f t="shared" si="21"/>
        <v>0</v>
      </c>
      <c r="S108" s="48">
        <v>0</v>
      </c>
      <c r="T108" s="118"/>
    </row>
    <row r="109" spans="1:20" s="14" customFormat="1" ht="25.5" x14ac:dyDescent="0.25">
      <c r="A109" s="54" t="s">
        <v>19</v>
      </c>
      <c r="B109" s="45" t="s">
        <v>761</v>
      </c>
      <c r="C109" s="51" t="s">
        <v>762</v>
      </c>
      <c r="D109" s="47">
        <v>0</v>
      </c>
      <c r="E109" s="47">
        <v>0</v>
      </c>
      <c r="F109" s="47">
        <f t="shared" si="18"/>
        <v>0</v>
      </c>
      <c r="G109" s="47">
        <v>0</v>
      </c>
      <c r="H109" s="47">
        <f t="shared" si="20"/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f t="shared" si="19"/>
        <v>0</v>
      </c>
      <c r="R109" s="47">
        <f t="shared" si="21"/>
        <v>0</v>
      </c>
      <c r="S109" s="48">
        <v>0</v>
      </c>
      <c r="T109" s="118"/>
    </row>
    <row r="110" spans="1:20" s="14" customFormat="1" ht="25.5" x14ac:dyDescent="0.25">
      <c r="A110" s="54" t="s">
        <v>19</v>
      </c>
      <c r="B110" s="45" t="s">
        <v>763</v>
      </c>
      <c r="C110" s="51" t="s">
        <v>764</v>
      </c>
      <c r="D110" s="47">
        <v>0</v>
      </c>
      <c r="E110" s="47">
        <v>0</v>
      </c>
      <c r="F110" s="47">
        <f t="shared" si="18"/>
        <v>0</v>
      </c>
      <c r="G110" s="47">
        <v>0</v>
      </c>
      <c r="H110" s="47">
        <f t="shared" si="20"/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f t="shared" si="19"/>
        <v>0</v>
      </c>
      <c r="R110" s="47">
        <f t="shared" si="21"/>
        <v>0</v>
      </c>
      <c r="S110" s="48">
        <v>0</v>
      </c>
      <c r="T110" s="118"/>
    </row>
    <row r="111" spans="1:20" s="14" customFormat="1" ht="25.5" x14ac:dyDescent="0.25">
      <c r="A111" s="54" t="s">
        <v>19</v>
      </c>
      <c r="B111" s="45" t="s">
        <v>647</v>
      </c>
      <c r="C111" s="51" t="s">
        <v>648</v>
      </c>
      <c r="D111" s="47">
        <v>0</v>
      </c>
      <c r="E111" s="47">
        <v>0</v>
      </c>
      <c r="F111" s="47">
        <f t="shared" si="18"/>
        <v>0</v>
      </c>
      <c r="G111" s="47">
        <v>0</v>
      </c>
      <c r="H111" s="47">
        <f t="shared" si="20"/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f t="shared" si="19"/>
        <v>0</v>
      </c>
      <c r="R111" s="47">
        <f t="shared" si="21"/>
        <v>0</v>
      </c>
      <c r="S111" s="48">
        <v>0</v>
      </c>
      <c r="T111" s="118"/>
    </row>
    <row r="112" spans="1:20" s="14" customFormat="1" ht="38.25" x14ac:dyDescent="0.25">
      <c r="A112" s="54" t="s">
        <v>19</v>
      </c>
      <c r="B112" s="45" t="s">
        <v>765</v>
      </c>
      <c r="C112" s="51" t="s">
        <v>766</v>
      </c>
      <c r="D112" s="47">
        <v>0</v>
      </c>
      <c r="E112" s="47">
        <v>0</v>
      </c>
      <c r="F112" s="47">
        <f t="shared" si="18"/>
        <v>0</v>
      </c>
      <c r="G112" s="47">
        <v>0</v>
      </c>
      <c r="H112" s="47">
        <f t="shared" si="20"/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f t="shared" si="19"/>
        <v>0</v>
      </c>
      <c r="R112" s="47">
        <f t="shared" si="21"/>
        <v>0</v>
      </c>
      <c r="S112" s="48">
        <v>0</v>
      </c>
      <c r="T112" s="118"/>
    </row>
    <row r="113" spans="1:20" s="14" customFormat="1" ht="25.5" x14ac:dyDescent="0.25">
      <c r="A113" s="54" t="s">
        <v>19</v>
      </c>
      <c r="B113" s="45" t="s">
        <v>505</v>
      </c>
      <c r="C113" s="51" t="s">
        <v>506</v>
      </c>
      <c r="D113" s="47">
        <v>0</v>
      </c>
      <c r="E113" s="47">
        <v>0</v>
      </c>
      <c r="F113" s="47">
        <f t="shared" si="18"/>
        <v>0</v>
      </c>
      <c r="G113" s="47">
        <v>0</v>
      </c>
      <c r="H113" s="47">
        <f t="shared" si="20"/>
        <v>1.381683912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1.381683912</v>
      </c>
      <c r="Q113" s="47">
        <f t="shared" si="19"/>
        <v>-1.381683912</v>
      </c>
      <c r="R113" s="47">
        <f t="shared" si="21"/>
        <v>1.381683912</v>
      </c>
      <c r="S113" s="48">
        <v>100</v>
      </c>
      <c r="T113" s="118"/>
    </row>
    <row r="114" spans="1:20" s="14" customFormat="1" ht="25.5" x14ac:dyDescent="0.25">
      <c r="A114" s="54" t="s">
        <v>19</v>
      </c>
      <c r="B114" s="45" t="s">
        <v>767</v>
      </c>
      <c r="C114" s="51" t="s">
        <v>766</v>
      </c>
      <c r="D114" s="47">
        <v>0</v>
      </c>
      <c r="E114" s="47">
        <v>0</v>
      </c>
      <c r="F114" s="47">
        <f t="shared" si="18"/>
        <v>0</v>
      </c>
      <c r="G114" s="47">
        <v>0</v>
      </c>
      <c r="H114" s="47">
        <f t="shared" si="20"/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f t="shared" si="19"/>
        <v>0</v>
      </c>
      <c r="R114" s="47">
        <f t="shared" si="21"/>
        <v>0</v>
      </c>
      <c r="S114" s="48">
        <v>0</v>
      </c>
      <c r="T114" s="118"/>
    </row>
    <row r="115" spans="1:20" s="14" customFormat="1" ht="25.5" x14ac:dyDescent="0.25">
      <c r="A115" s="54" t="s">
        <v>19</v>
      </c>
      <c r="B115" s="45" t="s">
        <v>436</v>
      </c>
      <c r="C115" s="51" t="s">
        <v>437</v>
      </c>
      <c r="D115" s="47">
        <v>0</v>
      </c>
      <c r="E115" s="47">
        <v>0</v>
      </c>
      <c r="F115" s="47">
        <f t="shared" si="18"/>
        <v>0</v>
      </c>
      <c r="G115" s="47">
        <v>0</v>
      </c>
      <c r="H115" s="47">
        <f t="shared" si="20"/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f t="shared" si="19"/>
        <v>0</v>
      </c>
      <c r="R115" s="47">
        <f t="shared" si="21"/>
        <v>0</v>
      </c>
      <c r="S115" s="48">
        <v>0</v>
      </c>
      <c r="T115" s="118"/>
    </row>
    <row r="116" spans="1:20" s="14" customFormat="1" ht="38.25" x14ac:dyDescent="0.25">
      <c r="A116" s="54" t="s">
        <v>19</v>
      </c>
      <c r="B116" s="45" t="s">
        <v>768</v>
      </c>
      <c r="C116" s="51" t="s">
        <v>769</v>
      </c>
      <c r="D116" s="47">
        <v>0</v>
      </c>
      <c r="E116" s="47">
        <v>0</v>
      </c>
      <c r="F116" s="47">
        <f t="shared" si="18"/>
        <v>0</v>
      </c>
      <c r="G116" s="47">
        <v>0</v>
      </c>
      <c r="H116" s="47">
        <f t="shared" si="20"/>
        <v>3.0561227999999999E-2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3.0561227999999999E-2</v>
      </c>
      <c r="Q116" s="47">
        <f t="shared" si="19"/>
        <v>-3.0561227999999999E-2</v>
      </c>
      <c r="R116" s="47">
        <f t="shared" si="21"/>
        <v>3.0561227999999999E-2</v>
      </c>
      <c r="S116" s="48">
        <v>100</v>
      </c>
      <c r="T116" s="118"/>
    </row>
    <row r="117" spans="1:20" s="14" customFormat="1" ht="51" x14ac:dyDescent="0.25">
      <c r="A117" s="54" t="s">
        <v>19</v>
      </c>
      <c r="B117" s="45" t="s">
        <v>770</v>
      </c>
      <c r="C117" s="51" t="s">
        <v>771</v>
      </c>
      <c r="D117" s="47">
        <v>0</v>
      </c>
      <c r="E117" s="47">
        <v>0</v>
      </c>
      <c r="F117" s="47">
        <f t="shared" si="18"/>
        <v>0</v>
      </c>
      <c r="G117" s="47">
        <v>0</v>
      </c>
      <c r="H117" s="47">
        <f t="shared" si="20"/>
        <v>2.7375119999999999E-2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2.7375119999999999E-2</v>
      </c>
      <c r="Q117" s="47">
        <f t="shared" si="19"/>
        <v>-2.7375119999999999E-2</v>
      </c>
      <c r="R117" s="47">
        <f t="shared" si="21"/>
        <v>2.7375119999999999E-2</v>
      </c>
      <c r="S117" s="48">
        <v>100</v>
      </c>
      <c r="T117" s="118"/>
    </row>
    <row r="118" spans="1:20" s="14" customFormat="1" ht="38.25" x14ac:dyDescent="0.25">
      <c r="A118" s="54" t="s">
        <v>19</v>
      </c>
      <c r="B118" s="45" t="s">
        <v>772</v>
      </c>
      <c r="C118" s="51" t="s">
        <v>773</v>
      </c>
      <c r="D118" s="47">
        <v>0</v>
      </c>
      <c r="E118" s="47">
        <v>0</v>
      </c>
      <c r="F118" s="47">
        <f t="shared" si="18"/>
        <v>0</v>
      </c>
      <c r="G118" s="47">
        <v>0</v>
      </c>
      <c r="H118" s="47">
        <f t="shared" si="20"/>
        <v>2.18724E-2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2.18724E-2</v>
      </c>
      <c r="Q118" s="47">
        <f t="shared" si="19"/>
        <v>-2.18724E-2</v>
      </c>
      <c r="R118" s="47">
        <f t="shared" si="21"/>
        <v>2.18724E-2</v>
      </c>
      <c r="S118" s="48">
        <v>100</v>
      </c>
      <c r="T118" s="118"/>
    </row>
    <row r="119" spans="1:20" s="14" customFormat="1" ht="51" x14ac:dyDescent="0.25">
      <c r="A119" s="54" t="s">
        <v>19</v>
      </c>
      <c r="B119" s="45" t="s">
        <v>774</v>
      </c>
      <c r="C119" s="51" t="s">
        <v>775</v>
      </c>
      <c r="D119" s="47">
        <v>0</v>
      </c>
      <c r="E119" s="47">
        <v>0</v>
      </c>
      <c r="F119" s="47">
        <f t="shared" si="18"/>
        <v>0</v>
      </c>
      <c r="G119" s="47">
        <v>0</v>
      </c>
      <c r="H119" s="47">
        <f t="shared" si="20"/>
        <v>2.7375119999999999E-2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2.7375119999999999E-2</v>
      </c>
      <c r="Q119" s="47">
        <f t="shared" si="19"/>
        <v>-2.7375119999999999E-2</v>
      </c>
      <c r="R119" s="47">
        <f t="shared" si="21"/>
        <v>2.7375119999999999E-2</v>
      </c>
      <c r="S119" s="48">
        <v>100</v>
      </c>
      <c r="T119" s="118"/>
    </row>
    <row r="120" spans="1:20" s="14" customFormat="1" ht="38.25" x14ac:dyDescent="0.25">
      <c r="A120" s="54" t="s">
        <v>19</v>
      </c>
      <c r="B120" s="45" t="s">
        <v>776</v>
      </c>
      <c r="C120" s="51" t="s">
        <v>777</v>
      </c>
      <c r="D120" s="47">
        <v>0</v>
      </c>
      <c r="E120" s="47">
        <v>0</v>
      </c>
      <c r="F120" s="47">
        <f t="shared" si="18"/>
        <v>0</v>
      </c>
      <c r="G120" s="47">
        <v>0</v>
      </c>
      <c r="H120" s="47">
        <f t="shared" si="20"/>
        <v>3.2535120000000001E-2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3.2535120000000001E-2</v>
      </c>
      <c r="Q120" s="47">
        <f t="shared" si="19"/>
        <v>-3.2535120000000001E-2</v>
      </c>
      <c r="R120" s="47">
        <f t="shared" si="21"/>
        <v>3.2535120000000001E-2</v>
      </c>
      <c r="S120" s="48">
        <v>100</v>
      </c>
      <c r="T120" s="118"/>
    </row>
    <row r="121" spans="1:20" s="14" customFormat="1" ht="38.25" x14ac:dyDescent="0.25">
      <c r="A121" s="54" t="s">
        <v>19</v>
      </c>
      <c r="B121" s="45" t="s">
        <v>778</v>
      </c>
      <c r="C121" s="51" t="s">
        <v>779</v>
      </c>
      <c r="D121" s="47">
        <v>0</v>
      </c>
      <c r="E121" s="47">
        <v>0</v>
      </c>
      <c r="F121" s="47">
        <f t="shared" si="18"/>
        <v>0</v>
      </c>
      <c r="G121" s="47">
        <v>0</v>
      </c>
      <c r="H121" s="47">
        <f t="shared" si="20"/>
        <v>2.7228000000000002E-2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2.7228000000000002E-2</v>
      </c>
      <c r="Q121" s="47">
        <f t="shared" si="19"/>
        <v>-2.7228000000000002E-2</v>
      </c>
      <c r="R121" s="47">
        <f t="shared" si="21"/>
        <v>2.7228000000000002E-2</v>
      </c>
      <c r="S121" s="48">
        <v>100</v>
      </c>
      <c r="T121" s="118"/>
    </row>
    <row r="122" spans="1:20" s="14" customFormat="1" ht="38.25" x14ac:dyDescent="0.25">
      <c r="A122" s="54" t="s">
        <v>19</v>
      </c>
      <c r="B122" s="45" t="s">
        <v>780</v>
      </c>
      <c r="C122" s="51" t="s">
        <v>781</v>
      </c>
      <c r="D122" s="47">
        <v>0</v>
      </c>
      <c r="E122" s="47">
        <v>0</v>
      </c>
      <c r="F122" s="47">
        <f t="shared" si="18"/>
        <v>0</v>
      </c>
      <c r="G122" s="47">
        <v>0</v>
      </c>
      <c r="H122" s="47">
        <f t="shared" si="20"/>
        <v>3.0945264E-2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3.0945264E-2</v>
      </c>
      <c r="Q122" s="47">
        <f t="shared" si="19"/>
        <v>-3.0945264E-2</v>
      </c>
      <c r="R122" s="47">
        <f t="shared" si="21"/>
        <v>3.0945264E-2</v>
      </c>
      <c r="S122" s="48">
        <v>100</v>
      </c>
      <c r="T122" s="119"/>
    </row>
    <row r="123" spans="1:20" s="13" customFormat="1" ht="25.5" x14ac:dyDescent="0.25">
      <c r="A123" s="32" t="s">
        <v>20</v>
      </c>
      <c r="B123" s="39" t="s">
        <v>74</v>
      </c>
      <c r="C123" s="40" t="s">
        <v>50</v>
      </c>
      <c r="D123" s="35">
        <v>0</v>
      </c>
      <c r="E123" s="35">
        <v>0</v>
      </c>
      <c r="F123" s="35">
        <f t="shared" si="18"/>
        <v>0</v>
      </c>
      <c r="G123" s="35">
        <f t="shared" ref="G123:G143" si="23">I123+K123+M123+O123</f>
        <v>0</v>
      </c>
      <c r="H123" s="35">
        <f t="shared" si="20"/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f t="shared" si="19"/>
        <v>0</v>
      </c>
      <c r="R123" s="35">
        <f t="shared" si="21"/>
        <v>0</v>
      </c>
      <c r="S123" s="36">
        <v>0</v>
      </c>
      <c r="T123" s="37" t="s">
        <v>48</v>
      </c>
    </row>
    <row r="124" spans="1:20" s="13" customFormat="1" ht="38.25" x14ac:dyDescent="0.25">
      <c r="A124" s="32" t="s">
        <v>39</v>
      </c>
      <c r="B124" s="39" t="s">
        <v>75</v>
      </c>
      <c r="C124" s="40" t="s">
        <v>50</v>
      </c>
      <c r="D124" s="35">
        <v>0</v>
      </c>
      <c r="E124" s="35">
        <v>0</v>
      </c>
      <c r="F124" s="35">
        <f t="shared" si="18"/>
        <v>0</v>
      </c>
      <c r="G124" s="35">
        <f t="shared" si="23"/>
        <v>0</v>
      </c>
      <c r="H124" s="35">
        <f t="shared" si="20"/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f t="shared" si="19"/>
        <v>0</v>
      </c>
      <c r="R124" s="35">
        <f t="shared" si="21"/>
        <v>0</v>
      </c>
      <c r="S124" s="36">
        <v>0</v>
      </c>
      <c r="T124" s="37" t="s">
        <v>48</v>
      </c>
    </row>
    <row r="125" spans="1:20" s="13" customFormat="1" ht="25.5" x14ac:dyDescent="0.25">
      <c r="A125" s="32" t="s">
        <v>40</v>
      </c>
      <c r="B125" s="39" t="s">
        <v>76</v>
      </c>
      <c r="C125" s="40" t="s">
        <v>50</v>
      </c>
      <c r="D125" s="35">
        <v>0</v>
      </c>
      <c r="E125" s="35">
        <v>0</v>
      </c>
      <c r="F125" s="35">
        <f t="shared" si="18"/>
        <v>0</v>
      </c>
      <c r="G125" s="35">
        <f t="shared" si="23"/>
        <v>0</v>
      </c>
      <c r="H125" s="35">
        <f t="shared" si="20"/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f t="shared" si="19"/>
        <v>0</v>
      </c>
      <c r="R125" s="35">
        <f t="shared" si="21"/>
        <v>0</v>
      </c>
      <c r="S125" s="36">
        <v>0</v>
      </c>
      <c r="T125" s="37" t="s">
        <v>48</v>
      </c>
    </row>
    <row r="126" spans="1:20" s="13" customFormat="1" ht="25.5" x14ac:dyDescent="0.25">
      <c r="A126" s="32" t="s">
        <v>21</v>
      </c>
      <c r="B126" s="39" t="s">
        <v>77</v>
      </c>
      <c r="C126" s="40" t="s">
        <v>50</v>
      </c>
      <c r="D126" s="35">
        <v>0</v>
      </c>
      <c r="E126" s="35">
        <v>0</v>
      </c>
      <c r="F126" s="35">
        <f t="shared" si="18"/>
        <v>0</v>
      </c>
      <c r="G126" s="35">
        <f t="shared" si="23"/>
        <v>0</v>
      </c>
      <c r="H126" s="35">
        <f t="shared" si="20"/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f t="shared" si="19"/>
        <v>0</v>
      </c>
      <c r="R126" s="35">
        <f t="shared" si="21"/>
        <v>0</v>
      </c>
      <c r="S126" s="36">
        <v>0</v>
      </c>
      <c r="T126" s="37" t="s">
        <v>48</v>
      </c>
    </row>
    <row r="127" spans="1:20" s="13" customFormat="1" ht="25.5" x14ac:dyDescent="0.25">
      <c r="A127" s="32" t="s">
        <v>78</v>
      </c>
      <c r="B127" s="39" t="s">
        <v>79</v>
      </c>
      <c r="C127" s="40" t="s">
        <v>50</v>
      </c>
      <c r="D127" s="35">
        <v>0</v>
      </c>
      <c r="E127" s="35">
        <v>0</v>
      </c>
      <c r="F127" s="35">
        <f t="shared" si="18"/>
        <v>0</v>
      </c>
      <c r="G127" s="35">
        <f t="shared" si="23"/>
        <v>0</v>
      </c>
      <c r="H127" s="35">
        <f t="shared" si="20"/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f t="shared" si="19"/>
        <v>0</v>
      </c>
      <c r="R127" s="35">
        <f t="shared" si="21"/>
        <v>0</v>
      </c>
      <c r="S127" s="36">
        <v>0</v>
      </c>
      <c r="T127" s="37" t="s">
        <v>48</v>
      </c>
    </row>
    <row r="128" spans="1:20" s="13" customFormat="1" ht="51" x14ac:dyDescent="0.25">
      <c r="A128" s="32" t="s">
        <v>78</v>
      </c>
      <c r="B128" s="39" t="s">
        <v>80</v>
      </c>
      <c r="C128" s="40" t="s">
        <v>50</v>
      </c>
      <c r="D128" s="35">
        <v>0</v>
      </c>
      <c r="E128" s="35">
        <v>0</v>
      </c>
      <c r="F128" s="35">
        <f t="shared" si="18"/>
        <v>0</v>
      </c>
      <c r="G128" s="35">
        <f t="shared" si="23"/>
        <v>0</v>
      </c>
      <c r="H128" s="35">
        <f t="shared" si="20"/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f t="shared" si="19"/>
        <v>0</v>
      </c>
      <c r="R128" s="35">
        <f t="shared" si="21"/>
        <v>0</v>
      </c>
      <c r="S128" s="36">
        <v>0</v>
      </c>
      <c r="T128" s="37" t="s">
        <v>48</v>
      </c>
    </row>
    <row r="129" spans="1:20" s="13" customFormat="1" ht="38.25" x14ac:dyDescent="0.25">
      <c r="A129" s="32" t="s">
        <v>78</v>
      </c>
      <c r="B129" s="39" t="s">
        <v>81</v>
      </c>
      <c r="C129" s="40" t="s">
        <v>50</v>
      </c>
      <c r="D129" s="35">
        <v>0</v>
      </c>
      <c r="E129" s="35">
        <v>0</v>
      </c>
      <c r="F129" s="35">
        <f t="shared" si="18"/>
        <v>0</v>
      </c>
      <c r="G129" s="35">
        <f t="shared" si="23"/>
        <v>0</v>
      </c>
      <c r="H129" s="35">
        <f t="shared" si="20"/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f t="shared" si="19"/>
        <v>0</v>
      </c>
      <c r="R129" s="35">
        <f t="shared" si="21"/>
        <v>0</v>
      </c>
      <c r="S129" s="36">
        <v>0</v>
      </c>
      <c r="T129" s="37" t="s">
        <v>48</v>
      </c>
    </row>
    <row r="130" spans="1:20" s="13" customFormat="1" ht="51" x14ac:dyDescent="0.25">
      <c r="A130" s="32" t="s">
        <v>78</v>
      </c>
      <c r="B130" s="39" t="s">
        <v>82</v>
      </c>
      <c r="C130" s="40" t="s">
        <v>50</v>
      </c>
      <c r="D130" s="35">
        <v>0</v>
      </c>
      <c r="E130" s="35">
        <v>0</v>
      </c>
      <c r="F130" s="35">
        <f t="shared" si="18"/>
        <v>0</v>
      </c>
      <c r="G130" s="35">
        <f t="shared" si="23"/>
        <v>0</v>
      </c>
      <c r="H130" s="35">
        <f t="shared" si="20"/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f t="shared" si="19"/>
        <v>0</v>
      </c>
      <c r="R130" s="35">
        <f t="shared" si="21"/>
        <v>0</v>
      </c>
      <c r="S130" s="36">
        <v>0</v>
      </c>
      <c r="T130" s="37" t="s">
        <v>48</v>
      </c>
    </row>
    <row r="131" spans="1:20" s="13" customFormat="1" ht="25.5" x14ac:dyDescent="0.25">
      <c r="A131" s="32" t="s">
        <v>83</v>
      </c>
      <c r="B131" s="39" t="s">
        <v>79</v>
      </c>
      <c r="C131" s="40" t="s">
        <v>50</v>
      </c>
      <c r="D131" s="35">
        <v>0</v>
      </c>
      <c r="E131" s="35">
        <v>0</v>
      </c>
      <c r="F131" s="35">
        <f t="shared" si="18"/>
        <v>0</v>
      </c>
      <c r="G131" s="35">
        <f t="shared" si="23"/>
        <v>0</v>
      </c>
      <c r="H131" s="35">
        <f t="shared" si="20"/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f t="shared" si="19"/>
        <v>0</v>
      </c>
      <c r="R131" s="35">
        <f t="shared" si="21"/>
        <v>0</v>
      </c>
      <c r="S131" s="36">
        <v>0</v>
      </c>
      <c r="T131" s="37" t="s">
        <v>48</v>
      </c>
    </row>
    <row r="132" spans="1:20" s="13" customFormat="1" ht="51" x14ac:dyDescent="0.25">
      <c r="A132" s="32" t="s">
        <v>83</v>
      </c>
      <c r="B132" s="39" t="s">
        <v>80</v>
      </c>
      <c r="C132" s="40" t="s">
        <v>50</v>
      </c>
      <c r="D132" s="35">
        <v>0</v>
      </c>
      <c r="E132" s="35">
        <v>0</v>
      </c>
      <c r="F132" s="35">
        <f t="shared" si="18"/>
        <v>0</v>
      </c>
      <c r="G132" s="35">
        <f t="shared" si="23"/>
        <v>0</v>
      </c>
      <c r="H132" s="35">
        <f t="shared" si="20"/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f t="shared" si="19"/>
        <v>0</v>
      </c>
      <c r="R132" s="35">
        <f t="shared" si="21"/>
        <v>0</v>
      </c>
      <c r="S132" s="36">
        <v>0</v>
      </c>
      <c r="T132" s="37" t="s">
        <v>48</v>
      </c>
    </row>
    <row r="133" spans="1:20" s="13" customFormat="1" ht="38.25" x14ac:dyDescent="0.25">
      <c r="A133" s="32" t="s">
        <v>83</v>
      </c>
      <c r="B133" s="39" t="s">
        <v>81</v>
      </c>
      <c r="C133" s="40" t="s">
        <v>50</v>
      </c>
      <c r="D133" s="35">
        <v>0</v>
      </c>
      <c r="E133" s="35">
        <v>0</v>
      </c>
      <c r="F133" s="35">
        <f t="shared" si="18"/>
        <v>0</v>
      </c>
      <c r="G133" s="35">
        <f t="shared" si="23"/>
        <v>0</v>
      </c>
      <c r="H133" s="35">
        <f t="shared" si="20"/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f t="shared" si="19"/>
        <v>0</v>
      </c>
      <c r="R133" s="35">
        <f t="shared" si="21"/>
        <v>0</v>
      </c>
      <c r="S133" s="36">
        <v>0</v>
      </c>
      <c r="T133" s="37" t="s">
        <v>48</v>
      </c>
    </row>
    <row r="134" spans="1:20" s="13" customFormat="1" ht="51" x14ac:dyDescent="0.25">
      <c r="A134" s="32" t="s">
        <v>83</v>
      </c>
      <c r="B134" s="39" t="s">
        <v>84</v>
      </c>
      <c r="C134" s="40" t="s">
        <v>50</v>
      </c>
      <c r="D134" s="35">
        <v>0</v>
      </c>
      <c r="E134" s="35">
        <v>0</v>
      </c>
      <c r="F134" s="35">
        <f t="shared" si="18"/>
        <v>0</v>
      </c>
      <c r="G134" s="35">
        <f t="shared" si="23"/>
        <v>0</v>
      </c>
      <c r="H134" s="35">
        <f t="shared" si="20"/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f t="shared" si="19"/>
        <v>0</v>
      </c>
      <c r="R134" s="35">
        <f t="shared" si="21"/>
        <v>0</v>
      </c>
      <c r="S134" s="36">
        <v>0</v>
      </c>
      <c r="T134" s="37" t="s">
        <v>48</v>
      </c>
    </row>
    <row r="135" spans="1:20" s="13" customFormat="1" ht="38.25" x14ac:dyDescent="0.25">
      <c r="A135" s="32" t="s">
        <v>85</v>
      </c>
      <c r="B135" s="39" t="s">
        <v>86</v>
      </c>
      <c r="C135" s="40" t="s">
        <v>50</v>
      </c>
      <c r="D135" s="35">
        <v>2.8985108739839998</v>
      </c>
      <c r="E135" s="35">
        <f>E136</f>
        <v>7.3034652000000005E-2</v>
      </c>
      <c r="F135" s="35">
        <f t="shared" si="18"/>
        <v>2.8254762219839997</v>
      </c>
      <c r="G135" s="35">
        <f t="shared" si="23"/>
        <v>2.8985108739839998</v>
      </c>
      <c r="H135" s="35">
        <f t="shared" si="20"/>
        <v>1.0843739999999999</v>
      </c>
      <c r="I135" s="35">
        <f t="shared" ref="I135:O135" si="24">I136+I155</f>
        <v>0.72462771849599994</v>
      </c>
      <c r="J135" s="35">
        <f t="shared" si="24"/>
        <v>0.318140376</v>
      </c>
      <c r="K135" s="35">
        <f t="shared" si="24"/>
        <v>0.72462771849599994</v>
      </c>
      <c r="L135" s="35">
        <f t="shared" si="24"/>
        <v>0.24132558000000001</v>
      </c>
      <c r="M135" s="35">
        <f t="shared" si="24"/>
        <v>0.72462771849599994</v>
      </c>
      <c r="N135" s="35">
        <f t="shared" si="24"/>
        <v>0.40717552800000001</v>
      </c>
      <c r="O135" s="35">
        <f t="shared" si="24"/>
        <v>0.72462771849599994</v>
      </c>
      <c r="P135" s="35">
        <f>P136</f>
        <v>0.11773251600000001</v>
      </c>
      <c r="Q135" s="35">
        <f t="shared" si="19"/>
        <v>1.7411022219839998</v>
      </c>
      <c r="R135" s="35">
        <f t="shared" si="21"/>
        <v>-1.8141368739839998</v>
      </c>
      <c r="S135" s="36">
        <f t="shared" ref="S135:S137" si="25">(J135+L135+N135+P135)/(I135+K135+M135+O135)*100-100</f>
        <v>-62.588582650044394</v>
      </c>
      <c r="T135" s="37" t="s">
        <v>48</v>
      </c>
    </row>
    <row r="136" spans="1:20" s="13" customFormat="1" ht="38.25" x14ac:dyDescent="0.25">
      <c r="A136" s="32" t="s">
        <v>87</v>
      </c>
      <c r="B136" s="39" t="s">
        <v>88</v>
      </c>
      <c r="C136" s="40" t="s">
        <v>50</v>
      </c>
      <c r="D136" s="35">
        <v>2.8985108739839998</v>
      </c>
      <c r="E136" s="35">
        <f>SUM(E137:E149)</f>
        <v>7.3034652000000005E-2</v>
      </c>
      <c r="F136" s="35">
        <f t="shared" si="18"/>
        <v>2.8254762219839997</v>
      </c>
      <c r="G136" s="35">
        <f t="shared" si="23"/>
        <v>2.8985108739839998</v>
      </c>
      <c r="H136" s="35">
        <f t="shared" si="20"/>
        <v>1.0843739999999999</v>
      </c>
      <c r="I136" s="35">
        <f>SUM(I137:I149)</f>
        <v>0.72462771849599994</v>
      </c>
      <c r="J136" s="35">
        <f>SUM(J137:J149)</f>
        <v>0.318140376</v>
      </c>
      <c r="K136" s="35">
        <f>SUM(K137:K149)</f>
        <v>0.72462771849599994</v>
      </c>
      <c r="L136" s="35">
        <f>SUM(L137:L149)</f>
        <v>0.24132558000000001</v>
      </c>
      <c r="M136" s="35">
        <f>SUM(M137:M149)</f>
        <v>0.72462771849599994</v>
      </c>
      <c r="N136" s="35">
        <f>SUM(N137:N152)</f>
        <v>0.40717552800000001</v>
      </c>
      <c r="O136" s="35">
        <f>SUM(O137:O149)</f>
        <v>0.72462771849599994</v>
      </c>
      <c r="P136" s="35">
        <f>SUM(P137:P154)</f>
        <v>0.11773251600000001</v>
      </c>
      <c r="Q136" s="35">
        <f t="shared" si="19"/>
        <v>1.7411022219839998</v>
      </c>
      <c r="R136" s="35">
        <f t="shared" si="21"/>
        <v>-1.8141368739839998</v>
      </c>
      <c r="S136" s="36">
        <f t="shared" si="25"/>
        <v>-62.588582650044394</v>
      </c>
      <c r="T136" s="37" t="s">
        <v>48</v>
      </c>
    </row>
    <row r="137" spans="1:20" s="14" customFormat="1" ht="30" customHeight="1" x14ac:dyDescent="0.25">
      <c r="A137" s="44" t="s">
        <v>87</v>
      </c>
      <c r="B137" s="55" t="s">
        <v>89</v>
      </c>
      <c r="C137" s="56" t="s">
        <v>90</v>
      </c>
      <c r="D137" s="47">
        <v>2.8985108739839998</v>
      </c>
      <c r="E137" s="47">
        <f>H137</f>
        <v>0</v>
      </c>
      <c r="F137" s="47">
        <f t="shared" si="18"/>
        <v>2.8985108739839998</v>
      </c>
      <c r="G137" s="47">
        <f t="shared" si="23"/>
        <v>2.8985108739839998</v>
      </c>
      <c r="H137" s="47">
        <f t="shared" si="20"/>
        <v>0</v>
      </c>
      <c r="I137" s="47">
        <f>0.60385643208*1.2</f>
        <v>0.72462771849599994</v>
      </c>
      <c r="J137" s="47">
        <v>0</v>
      </c>
      <c r="K137" s="47">
        <f>0.60385643208*1.2</f>
        <v>0.72462771849599994</v>
      </c>
      <c r="L137" s="47">
        <v>0</v>
      </c>
      <c r="M137" s="47">
        <f>0.60385643208*1.2</f>
        <v>0.72462771849599994</v>
      </c>
      <c r="N137" s="47">
        <v>0</v>
      </c>
      <c r="O137" s="47">
        <f>0.60385643208*1.2</f>
        <v>0.72462771849599994</v>
      </c>
      <c r="P137" s="47">
        <v>0</v>
      </c>
      <c r="Q137" s="47">
        <f t="shared" si="19"/>
        <v>2.8985108739839998</v>
      </c>
      <c r="R137" s="47">
        <f t="shared" si="21"/>
        <v>-2.8985108739839998</v>
      </c>
      <c r="S137" s="48">
        <f t="shared" si="25"/>
        <v>-100</v>
      </c>
      <c r="T137" s="92" t="s">
        <v>714</v>
      </c>
    </row>
    <row r="138" spans="1:20" s="14" customFormat="1" ht="33.75" customHeight="1" x14ac:dyDescent="0.25">
      <c r="A138" s="44" t="s">
        <v>87</v>
      </c>
      <c r="B138" s="57" t="s">
        <v>323</v>
      </c>
      <c r="C138" s="46" t="s">
        <v>782</v>
      </c>
      <c r="D138" s="47">
        <v>0</v>
      </c>
      <c r="E138" s="47">
        <v>0</v>
      </c>
      <c r="F138" s="47">
        <f t="shared" si="18"/>
        <v>0</v>
      </c>
      <c r="G138" s="47">
        <f t="shared" si="23"/>
        <v>0</v>
      </c>
      <c r="H138" s="47">
        <f t="shared" si="20"/>
        <v>9.492318000000001E-2</v>
      </c>
      <c r="I138" s="47">
        <v>0</v>
      </c>
      <c r="J138" s="47">
        <v>9.492318000000001E-2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f t="shared" si="19"/>
        <v>-9.492318000000001E-2</v>
      </c>
      <c r="R138" s="47">
        <f t="shared" si="21"/>
        <v>9.492318000000001E-2</v>
      </c>
      <c r="S138" s="48">
        <v>100</v>
      </c>
      <c r="T138" s="93"/>
    </row>
    <row r="139" spans="1:20" s="14" customFormat="1" ht="34.5" customHeight="1" x14ac:dyDescent="0.25">
      <c r="A139" s="44" t="s">
        <v>87</v>
      </c>
      <c r="B139" s="57" t="s">
        <v>324</v>
      </c>
      <c r="C139" s="46" t="s">
        <v>783</v>
      </c>
      <c r="D139" s="47">
        <v>0</v>
      </c>
      <c r="E139" s="47">
        <v>0</v>
      </c>
      <c r="F139" s="47">
        <f t="shared" si="18"/>
        <v>0</v>
      </c>
      <c r="G139" s="47">
        <f t="shared" si="23"/>
        <v>0</v>
      </c>
      <c r="H139" s="47">
        <f t="shared" si="20"/>
        <v>7.9978355999999987E-2</v>
      </c>
      <c r="I139" s="47">
        <v>0</v>
      </c>
      <c r="J139" s="47">
        <v>7.9978355999999987E-2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f t="shared" si="19"/>
        <v>-7.9978355999999987E-2</v>
      </c>
      <c r="R139" s="47">
        <f t="shared" si="21"/>
        <v>7.9978355999999987E-2</v>
      </c>
      <c r="S139" s="48">
        <v>100</v>
      </c>
      <c r="T139" s="93"/>
    </row>
    <row r="140" spans="1:20" s="14" customFormat="1" ht="34.5" customHeight="1" x14ac:dyDescent="0.25">
      <c r="A140" s="44" t="s">
        <v>87</v>
      </c>
      <c r="B140" s="57" t="s">
        <v>325</v>
      </c>
      <c r="C140" s="46" t="s">
        <v>784</v>
      </c>
      <c r="D140" s="47">
        <v>0</v>
      </c>
      <c r="E140" s="47">
        <v>0</v>
      </c>
      <c r="F140" s="47">
        <f t="shared" si="18"/>
        <v>0</v>
      </c>
      <c r="G140" s="47">
        <f t="shared" si="23"/>
        <v>0</v>
      </c>
      <c r="H140" s="47">
        <f t="shared" si="20"/>
        <v>0.11273455199999999</v>
      </c>
      <c r="I140" s="47">
        <v>0</v>
      </c>
      <c r="J140" s="47">
        <v>0.11273455199999999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f t="shared" si="19"/>
        <v>-0.11273455199999999</v>
      </c>
      <c r="R140" s="47">
        <f t="shared" si="21"/>
        <v>0.11273455199999999</v>
      </c>
      <c r="S140" s="48">
        <v>100</v>
      </c>
      <c r="T140" s="93"/>
    </row>
    <row r="141" spans="1:20" s="14" customFormat="1" ht="34.5" customHeight="1" x14ac:dyDescent="0.25">
      <c r="A141" s="44" t="s">
        <v>87</v>
      </c>
      <c r="B141" s="57" t="s">
        <v>326</v>
      </c>
      <c r="C141" s="46" t="s">
        <v>785</v>
      </c>
      <c r="D141" s="47">
        <v>0</v>
      </c>
      <c r="E141" s="47">
        <v>0</v>
      </c>
      <c r="F141" s="47">
        <f t="shared" si="18"/>
        <v>0</v>
      </c>
      <c r="G141" s="47">
        <f t="shared" si="23"/>
        <v>0</v>
      </c>
      <c r="H141" s="47">
        <f t="shared" si="20"/>
        <v>1.0154688000000002E-2</v>
      </c>
      <c r="I141" s="47">
        <v>0</v>
      </c>
      <c r="J141" s="47">
        <v>1.0154688000000002E-2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f t="shared" si="19"/>
        <v>-1.0154688000000002E-2</v>
      </c>
      <c r="R141" s="47">
        <f t="shared" si="21"/>
        <v>1.0154688000000002E-2</v>
      </c>
      <c r="S141" s="48">
        <v>100</v>
      </c>
      <c r="T141" s="93"/>
    </row>
    <row r="142" spans="1:20" s="14" customFormat="1" x14ac:dyDescent="0.25">
      <c r="A142" s="44" t="s">
        <v>87</v>
      </c>
      <c r="B142" s="57" t="s">
        <v>327</v>
      </c>
      <c r="C142" s="46" t="s">
        <v>786</v>
      </c>
      <c r="D142" s="47">
        <v>0</v>
      </c>
      <c r="E142" s="47">
        <v>0</v>
      </c>
      <c r="F142" s="47">
        <f t="shared" si="18"/>
        <v>0</v>
      </c>
      <c r="G142" s="47">
        <f t="shared" si="23"/>
        <v>0</v>
      </c>
      <c r="H142" s="47">
        <f t="shared" si="20"/>
        <v>5.9166047999999999E-2</v>
      </c>
      <c r="I142" s="47">
        <v>0</v>
      </c>
      <c r="J142" s="47">
        <v>2.0349599999999999E-2</v>
      </c>
      <c r="K142" s="47">
        <v>0</v>
      </c>
      <c r="L142" s="47">
        <v>3.8816447999999996E-2</v>
      </c>
      <c r="M142" s="47">
        <v>0</v>
      </c>
      <c r="N142" s="47">
        <v>0</v>
      </c>
      <c r="O142" s="47">
        <v>0</v>
      </c>
      <c r="P142" s="47">
        <v>0</v>
      </c>
      <c r="Q142" s="47">
        <f t="shared" si="19"/>
        <v>-5.9166047999999999E-2</v>
      </c>
      <c r="R142" s="47">
        <f t="shared" si="21"/>
        <v>5.9166047999999999E-2</v>
      </c>
      <c r="S142" s="48">
        <v>100</v>
      </c>
      <c r="T142" s="94"/>
    </row>
    <row r="143" spans="1:20" s="14" customFormat="1" ht="25.5" x14ac:dyDescent="0.25">
      <c r="A143" s="44" t="s">
        <v>87</v>
      </c>
      <c r="B143" s="57" t="s">
        <v>328</v>
      </c>
      <c r="C143" s="46" t="s">
        <v>787</v>
      </c>
      <c r="D143" s="47">
        <v>0</v>
      </c>
      <c r="E143" s="47">
        <f>60862.21*1.2/1000000</f>
        <v>7.3034652000000005E-2</v>
      </c>
      <c r="F143" s="47">
        <f t="shared" si="18"/>
        <v>-7.3034652000000005E-2</v>
      </c>
      <c r="G143" s="47">
        <f t="shared" si="23"/>
        <v>0</v>
      </c>
      <c r="H143" s="47">
        <f t="shared" si="20"/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f t="shared" si="19"/>
        <v>-7.3034652000000005E-2</v>
      </c>
      <c r="R143" s="47">
        <f t="shared" si="21"/>
        <v>0</v>
      </c>
      <c r="S143" s="48">
        <v>0</v>
      </c>
      <c r="T143" s="58" t="s">
        <v>48</v>
      </c>
    </row>
    <row r="144" spans="1:20" s="14" customFormat="1" ht="25.5" x14ac:dyDescent="0.25">
      <c r="A144" s="54" t="s">
        <v>87</v>
      </c>
      <c r="B144" s="57" t="s">
        <v>531</v>
      </c>
      <c r="C144" s="46" t="s">
        <v>788</v>
      </c>
      <c r="D144" s="47">
        <v>0</v>
      </c>
      <c r="E144" s="47">
        <v>0</v>
      </c>
      <c r="F144" s="47">
        <f t="shared" ref="F144:F205" si="26">D144-E144</f>
        <v>0</v>
      </c>
      <c r="G144" s="47">
        <v>0</v>
      </c>
      <c r="H144" s="47">
        <f t="shared" ref="H144:H207" si="27">J144+L144+N144+P144</f>
        <v>8.4656700000000001E-2</v>
      </c>
      <c r="I144" s="47">
        <v>0</v>
      </c>
      <c r="J144" s="47">
        <v>0</v>
      </c>
      <c r="K144" s="47">
        <v>0</v>
      </c>
      <c r="L144" s="47">
        <v>8.4656700000000001E-2</v>
      </c>
      <c r="M144" s="47">
        <v>0</v>
      </c>
      <c r="N144" s="47">
        <v>0</v>
      </c>
      <c r="O144" s="47">
        <v>0</v>
      </c>
      <c r="P144" s="47">
        <v>0</v>
      </c>
      <c r="Q144" s="47">
        <f t="shared" ref="Q144:Q203" si="28">F144-H144</f>
        <v>-8.4656700000000001E-2</v>
      </c>
      <c r="R144" s="47">
        <f t="shared" ref="R144:R204" si="29">(J144+L144+N144+P144)-(I144+K144+M144+O144)</f>
        <v>8.4656700000000001E-2</v>
      </c>
      <c r="S144" s="48">
        <v>100</v>
      </c>
      <c r="T144" s="86" t="s">
        <v>714</v>
      </c>
    </row>
    <row r="145" spans="1:20" s="14" customFormat="1" ht="25.5" x14ac:dyDescent="0.25">
      <c r="A145" s="54" t="s">
        <v>87</v>
      </c>
      <c r="B145" s="57" t="s">
        <v>669</v>
      </c>
      <c r="C145" s="46" t="s">
        <v>789</v>
      </c>
      <c r="D145" s="47">
        <v>0</v>
      </c>
      <c r="E145" s="47">
        <v>0</v>
      </c>
      <c r="F145" s="47">
        <f t="shared" si="26"/>
        <v>0</v>
      </c>
      <c r="G145" s="47">
        <v>0</v>
      </c>
      <c r="H145" s="47">
        <f t="shared" si="27"/>
        <v>1.0646052E-2</v>
      </c>
      <c r="I145" s="47">
        <v>0</v>
      </c>
      <c r="J145" s="47">
        <v>0</v>
      </c>
      <c r="K145" s="47">
        <v>0</v>
      </c>
      <c r="L145" s="47">
        <v>1.0646052E-2</v>
      </c>
      <c r="M145" s="47">
        <v>0</v>
      </c>
      <c r="N145" s="47">
        <v>0</v>
      </c>
      <c r="O145" s="47">
        <v>0</v>
      </c>
      <c r="P145" s="47">
        <v>0</v>
      </c>
      <c r="Q145" s="47">
        <f t="shared" si="28"/>
        <v>-1.0646052E-2</v>
      </c>
      <c r="R145" s="47">
        <f t="shared" si="29"/>
        <v>1.0646052E-2</v>
      </c>
      <c r="S145" s="48">
        <v>100</v>
      </c>
      <c r="T145" s="87"/>
    </row>
    <row r="146" spans="1:20" s="14" customFormat="1" x14ac:dyDescent="0.25">
      <c r="A146" s="54" t="s">
        <v>87</v>
      </c>
      <c r="B146" s="57" t="s">
        <v>532</v>
      </c>
      <c r="C146" s="46" t="s">
        <v>790</v>
      </c>
      <c r="D146" s="47">
        <v>0</v>
      </c>
      <c r="E146" s="47">
        <v>0</v>
      </c>
      <c r="F146" s="47">
        <f t="shared" si="26"/>
        <v>0</v>
      </c>
      <c r="G146" s="47">
        <v>0</v>
      </c>
      <c r="H146" s="47">
        <f t="shared" si="27"/>
        <v>2.9595599999999993E-2</v>
      </c>
      <c r="I146" s="47">
        <v>0</v>
      </c>
      <c r="J146" s="47">
        <v>0</v>
      </c>
      <c r="K146" s="47">
        <v>0</v>
      </c>
      <c r="L146" s="47">
        <v>1.9575599999999995E-2</v>
      </c>
      <c r="M146" s="47">
        <v>0</v>
      </c>
      <c r="N146" s="47">
        <v>0</v>
      </c>
      <c r="O146" s="47">
        <v>0</v>
      </c>
      <c r="P146" s="47">
        <v>1.0019999999999999E-2</v>
      </c>
      <c r="Q146" s="47">
        <f t="shared" si="28"/>
        <v>-2.9595599999999993E-2</v>
      </c>
      <c r="R146" s="47">
        <f t="shared" si="29"/>
        <v>2.9595599999999993E-2</v>
      </c>
      <c r="S146" s="48">
        <v>100</v>
      </c>
      <c r="T146" s="87"/>
    </row>
    <row r="147" spans="1:20" s="14" customFormat="1" x14ac:dyDescent="0.25">
      <c r="A147" s="54" t="s">
        <v>87</v>
      </c>
      <c r="B147" s="57" t="s">
        <v>533</v>
      </c>
      <c r="C147" s="46" t="s">
        <v>791</v>
      </c>
      <c r="D147" s="47">
        <v>0</v>
      </c>
      <c r="E147" s="47">
        <v>0</v>
      </c>
      <c r="F147" s="47">
        <f t="shared" si="26"/>
        <v>0</v>
      </c>
      <c r="G147" s="47">
        <v>0</v>
      </c>
      <c r="H147" s="47">
        <f t="shared" si="27"/>
        <v>0.15120866400000002</v>
      </c>
      <c r="I147" s="47">
        <v>0</v>
      </c>
      <c r="J147" s="47">
        <v>0</v>
      </c>
      <c r="K147" s="47">
        <v>0</v>
      </c>
      <c r="L147" s="47">
        <v>6.0000000000000001E-3</v>
      </c>
      <c r="M147" s="47">
        <v>0</v>
      </c>
      <c r="N147" s="47">
        <v>0.14520866400000002</v>
      </c>
      <c r="O147" s="47">
        <v>0</v>
      </c>
      <c r="P147" s="47">
        <v>0</v>
      </c>
      <c r="Q147" s="47">
        <f t="shared" si="28"/>
        <v>-0.15120866400000002</v>
      </c>
      <c r="R147" s="47">
        <f t="shared" si="29"/>
        <v>0.15120866400000002</v>
      </c>
      <c r="S147" s="48">
        <v>100</v>
      </c>
      <c r="T147" s="87"/>
    </row>
    <row r="148" spans="1:20" s="14" customFormat="1" x14ac:dyDescent="0.25">
      <c r="A148" s="54" t="s">
        <v>87</v>
      </c>
      <c r="B148" s="57" t="s">
        <v>534</v>
      </c>
      <c r="C148" s="46" t="s">
        <v>792</v>
      </c>
      <c r="D148" s="47">
        <v>0</v>
      </c>
      <c r="E148" s="47">
        <v>0</v>
      </c>
      <c r="F148" s="47">
        <f t="shared" si="26"/>
        <v>0</v>
      </c>
      <c r="G148" s="47">
        <v>0</v>
      </c>
      <c r="H148" s="47">
        <f t="shared" si="27"/>
        <v>6.5305595999999994E-2</v>
      </c>
      <c r="I148" s="47">
        <v>0</v>
      </c>
      <c r="J148" s="47">
        <v>0</v>
      </c>
      <c r="K148" s="47">
        <v>0</v>
      </c>
      <c r="L148" s="47">
        <v>2.9204363999999997E-2</v>
      </c>
      <c r="M148" s="47">
        <v>0</v>
      </c>
      <c r="N148" s="47">
        <v>2.7101231999999999E-2</v>
      </c>
      <c r="O148" s="47">
        <v>0</v>
      </c>
      <c r="P148" s="47">
        <v>8.9999999999999993E-3</v>
      </c>
      <c r="Q148" s="47">
        <f t="shared" si="28"/>
        <v>-6.5305595999999994E-2</v>
      </c>
      <c r="R148" s="47">
        <f t="shared" si="29"/>
        <v>6.5305595999999994E-2</v>
      </c>
      <c r="S148" s="48">
        <v>100</v>
      </c>
      <c r="T148" s="87"/>
    </row>
    <row r="149" spans="1:20" s="14" customFormat="1" ht="25.5" x14ac:dyDescent="0.25">
      <c r="A149" s="54" t="s">
        <v>87</v>
      </c>
      <c r="B149" s="57" t="s">
        <v>535</v>
      </c>
      <c r="C149" s="46" t="s">
        <v>793</v>
      </c>
      <c r="D149" s="47">
        <v>0</v>
      </c>
      <c r="E149" s="47">
        <v>0</v>
      </c>
      <c r="F149" s="47">
        <f t="shared" si="26"/>
        <v>0</v>
      </c>
      <c r="G149" s="47">
        <v>0</v>
      </c>
      <c r="H149" s="47">
        <f t="shared" si="27"/>
        <v>5.2426415999999997E-2</v>
      </c>
      <c r="I149" s="47">
        <v>0</v>
      </c>
      <c r="J149" s="47">
        <v>0</v>
      </c>
      <c r="K149" s="47">
        <v>0</v>
      </c>
      <c r="L149" s="47">
        <v>5.2426415999999997E-2</v>
      </c>
      <c r="M149" s="47">
        <v>0</v>
      </c>
      <c r="N149" s="47">
        <v>0</v>
      </c>
      <c r="O149" s="47">
        <v>0</v>
      </c>
      <c r="P149" s="47">
        <v>0</v>
      </c>
      <c r="Q149" s="47">
        <f t="shared" si="28"/>
        <v>-5.2426415999999997E-2</v>
      </c>
      <c r="R149" s="47">
        <f t="shared" si="29"/>
        <v>5.2426415999999997E-2</v>
      </c>
      <c r="S149" s="48">
        <v>100</v>
      </c>
      <c r="T149" s="87"/>
    </row>
    <row r="150" spans="1:20" s="14" customFormat="1" ht="61.5" customHeight="1" x14ac:dyDescent="0.25">
      <c r="A150" s="54" t="s">
        <v>87</v>
      </c>
      <c r="B150" s="57" t="s">
        <v>673</v>
      </c>
      <c r="C150" s="46" t="s">
        <v>794</v>
      </c>
      <c r="D150" s="47">
        <v>0</v>
      </c>
      <c r="E150" s="47">
        <v>0</v>
      </c>
      <c r="F150" s="47">
        <f t="shared" si="26"/>
        <v>0</v>
      </c>
      <c r="G150" s="47">
        <v>0</v>
      </c>
      <c r="H150" s="47">
        <f t="shared" si="27"/>
        <v>7.619224799999999E-2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7.619224799999999E-2</v>
      </c>
      <c r="O150" s="47">
        <v>0</v>
      </c>
      <c r="P150" s="47">
        <v>0</v>
      </c>
      <c r="Q150" s="47">
        <f t="shared" si="28"/>
        <v>-7.619224799999999E-2</v>
      </c>
      <c r="R150" s="47">
        <f t="shared" si="29"/>
        <v>7.619224799999999E-2</v>
      </c>
      <c r="S150" s="48">
        <v>100</v>
      </c>
      <c r="T150" s="87"/>
    </row>
    <row r="151" spans="1:20" s="14" customFormat="1" ht="61.5" customHeight="1" x14ac:dyDescent="0.25">
      <c r="A151" s="54" t="s">
        <v>87</v>
      </c>
      <c r="B151" s="57" t="s">
        <v>674</v>
      </c>
      <c r="C151" s="46" t="s">
        <v>795</v>
      </c>
      <c r="D151" s="47">
        <v>0</v>
      </c>
      <c r="E151" s="47">
        <v>0</v>
      </c>
      <c r="F151" s="47">
        <f t="shared" si="26"/>
        <v>0</v>
      </c>
      <c r="G151" s="47">
        <v>0</v>
      </c>
      <c r="H151" s="47">
        <f t="shared" si="27"/>
        <v>8.7985811999999997E-2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8.7985811999999997E-2</v>
      </c>
      <c r="O151" s="47">
        <v>0</v>
      </c>
      <c r="P151" s="47">
        <v>0</v>
      </c>
      <c r="Q151" s="47">
        <f t="shared" si="28"/>
        <v>-8.7985811999999997E-2</v>
      </c>
      <c r="R151" s="47">
        <f t="shared" si="29"/>
        <v>8.7985811999999997E-2</v>
      </c>
      <c r="S151" s="48">
        <v>100</v>
      </c>
      <c r="T151" s="87"/>
    </row>
    <row r="152" spans="1:20" s="14" customFormat="1" ht="21.75" customHeight="1" x14ac:dyDescent="0.25">
      <c r="A152" s="54" t="s">
        <v>87</v>
      </c>
      <c r="B152" s="57" t="s">
        <v>675</v>
      </c>
      <c r="C152" s="46" t="s">
        <v>629</v>
      </c>
      <c r="D152" s="47">
        <v>0</v>
      </c>
      <c r="E152" s="47">
        <v>0</v>
      </c>
      <c r="F152" s="47">
        <f t="shared" si="26"/>
        <v>0</v>
      </c>
      <c r="G152" s="47">
        <v>0</v>
      </c>
      <c r="H152" s="47">
        <f t="shared" si="27"/>
        <v>7.0687572000000004E-2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7.0687572000000004E-2</v>
      </c>
      <c r="O152" s="47">
        <v>0</v>
      </c>
      <c r="P152" s="47">
        <v>0</v>
      </c>
      <c r="Q152" s="47">
        <f t="shared" si="28"/>
        <v>-7.0687572000000004E-2</v>
      </c>
      <c r="R152" s="47">
        <f t="shared" si="29"/>
        <v>7.0687572000000004E-2</v>
      </c>
      <c r="S152" s="48">
        <v>100</v>
      </c>
      <c r="T152" s="87"/>
    </row>
    <row r="153" spans="1:20" s="14" customFormat="1" ht="36.75" customHeight="1" x14ac:dyDescent="0.25">
      <c r="A153" s="54" t="s">
        <v>87</v>
      </c>
      <c r="B153" s="57" t="s">
        <v>796</v>
      </c>
      <c r="C153" s="46" t="s">
        <v>797</v>
      </c>
      <c r="D153" s="47">
        <v>0</v>
      </c>
      <c r="E153" s="47">
        <v>0</v>
      </c>
      <c r="F153" s="47">
        <f t="shared" si="26"/>
        <v>0</v>
      </c>
      <c r="G153" s="47">
        <v>0</v>
      </c>
      <c r="H153" s="47">
        <f t="shared" si="27"/>
        <v>7.9032048000000008E-2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7.9032048000000008E-2</v>
      </c>
      <c r="Q153" s="47">
        <f t="shared" si="28"/>
        <v>-7.9032048000000008E-2</v>
      </c>
      <c r="R153" s="47">
        <f t="shared" si="29"/>
        <v>7.9032048000000008E-2</v>
      </c>
      <c r="S153" s="48">
        <v>100</v>
      </c>
      <c r="T153" s="87"/>
    </row>
    <row r="154" spans="1:20" s="14" customFormat="1" ht="39.75" customHeight="1" x14ac:dyDescent="0.25">
      <c r="A154" s="54" t="s">
        <v>87</v>
      </c>
      <c r="B154" s="57" t="s">
        <v>798</v>
      </c>
      <c r="C154" s="46" t="s">
        <v>799</v>
      </c>
      <c r="D154" s="47">
        <v>0</v>
      </c>
      <c r="E154" s="47">
        <v>0</v>
      </c>
      <c r="F154" s="47">
        <f t="shared" si="26"/>
        <v>0</v>
      </c>
      <c r="G154" s="47">
        <v>0</v>
      </c>
      <c r="H154" s="47">
        <f t="shared" si="27"/>
        <v>1.9680468E-2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1.9680468E-2</v>
      </c>
      <c r="Q154" s="47">
        <f t="shared" si="28"/>
        <v>-1.9680468E-2</v>
      </c>
      <c r="R154" s="47">
        <f t="shared" si="29"/>
        <v>1.9680468E-2</v>
      </c>
      <c r="S154" s="48">
        <v>100</v>
      </c>
      <c r="T154" s="88"/>
    </row>
    <row r="155" spans="1:20" s="13" customFormat="1" ht="38.25" x14ac:dyDescent="0.25">
      <c r="A155" s="32" t="s">
        <v>91</v>
      </c>
      <c r="B155" s="39" t="s">
        <v>92</v>
      </c>
      <c r="C155" s="40" t="s">
        <v>50</v>
      </c>
      <c r="D155" s="35">
        <v>0</v>
      </c>
      <c r="E155" s="35">
        <v>0</v>
      </c>
      <c r="F155" s="35">
        <f t="shared" si="26"/>
        <v>0</v>
      </c>
      <c r="G155" s="35">
        <v>0</v>
      </c>
      <c r="H155" s="35">
        <f t="shared" si="27"/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f t="shared" si="28"/>
        <v>0</v>
      </c>
      <c r="R155" s="35">
        <f t="shared" si="29"/>
        <v>0</v>
      </c>
      <c r="S155" s="36">
        <v>0</v>
      </c>
      <c r="T155" s="37" t="s">
        <v>48</v>
      </c>
    </row>
    <row r="156" spans="1:20" s="13" customFormat="1" x14ac:dyDescent="0.25">
      <c r="A156" s="32" t="s">
        <v>22</v>
      </c>
      <c r="B156" s="39" t="s">
        <v>93</v>
      </c>
      <c r="C156" s="40" t="s">
        <v>50</v>
      </c>
      <c r="D156" s="35">
        <v>160.74550229056271</v>
      </c>
      <c r="E156" s="35">
        <f>E157+E309+E436</f>
        <v>6.7699876559999996</v>
      </c>
      <c r="F156" s="35">
        <f t="shared" si="26"/>
        <v>153.9755146345627</v>
      </c>
      <c r="G156" s="35">
        <f t="shared" ref="G156:G169" si="30">I156+K156+M156+O156</f>
        <v>160.74550229056271</v>
      </c>
      <c r="H156" s="35">
        <f t="shared" si="27"/>
        <v>115.12294576799999</v>
      </c>
      <c r="I156" s="35">
        <f t="shared" ref="I156:O156" si="31">I157+I309+I436</f>
        <v>7.8148214776271185</v>
      </c>
      <c r="J156" s="35">
        <f t="shared" si="31"/>
        <v>22.333238231999996</v>
      </c>
      <c r="K156" s="35">
        <f t="shared" si="31"/>
        <v>83.925074750644072</v>
      </c>
      <c r="L156" s="35">
        <f t="shared" si="31"/>
        <v>11.432494152000004</v>
      </c>
      <c r="M156" s="35">
        <f t="shared" si="31"/>
        <v>38.865134849410182</v>
      </c>
      <c r="N156" s="35">
        <f t="shared" si="31"/>
        <v>17.201938164000001</v>
      </c>
      <c r="O156" s="35">
        <f t="shared" si="31"/>
        <v>30.140471212881359</v>
      </c>
      <c r="P156" s="35">
        <f>P157+P309+P436</f>
        <v>64.155275219999993</v>
      </c>
      <c r="Q156" s="35">
        <f t="shared" si="28"/>
        <v>38.852568866562706</v>
      </c>
      <c r="R156" s="35">
        <f t="shared" si="29"/>
        <v>-45.622556522562718</v>
      </c>
      <c r="S156" s="36">
        <f t="shared" ref="S156:S204" si="32">(J156+L156+N156+P156)/(I156+K156+M156+O156)*100-100</f>
        <v>-28.381855711331582</v>
      </c>
      <c r="T156" s="37" t="s">
        <v>48</v>
      </c>
    </row>
    <row r="157" spans="1:20" s="13" customFormat="1" ht="38.25" x14ac:dyDescent="0.25">
      <c r="A157" s="32" t="s">
        <v>23</v>
      </c>
      <c r="B157" s="39" t="s">
        <v>94</v>
      </c>
      <c r="C157" s="40" t="s">
        <v>50</v>
      </c>
      <c r="D157" s="35">
        <v>39.917228870562738</v>
      </c>
      <c r="E157" s="35">
        <f>E158+E174</f>
        <v>0.21791560799999998</v>
      </c>
      <c r="F157" s="35">
        <f t="shared" si="26"/>
        <v>39.69931326256274</v>
      </c>
      <c r="G157" s="35">
        <f t="shared" si="30"/>
        <v>39.917228870562738</v>
      </c>
      <c r="H157" s="35">
        <f t="shared" si="27"/>
        <v>50.256502223999988</v>
      </c>
      <c r="I157" s="35">
        <f>I158+I174</f>
        <v>0.71094825762711833</v>
      </c>
      <c r="J157" s="35">
        <f t="shared" ref="J157:O157" si="33">J158+J174</f>
        <v>18.749706395999997</v>
      </c>
      <c r="K157" s="35">
        <f t="shared" si="33"/>
        <v>8.552257118644075</v>
      </c>
      <c r="L157" s="35">
        <f t="shared" si="33"/>
        <v>2.302241988</v>
      </c>
      <c r="M157" s="35">
        <f t="shared" si="33"/>
        <v>24.545763773410187</v>
      </c>
      <c r="N157" s="35">
        <f t="shared" si="33"/>
        <v>7.7358600360000001</v>
      </c>
      <c r="O157" s="35">
        <f t="shared" si="33"/>
        <v>6.1082597208813549</v>
      </c>
      <c r="P157" s="35">
        <f>P158+P174</f>
        <v>21.468693803999987</v>
      </c>
      <c r="Q157" s="35">
        <f t="shared" si="28"/>
        <v>-10.557188961437248</v>
      </c>
      <c r="R157" s="35">
        <f t="shared" si="29"/>
        <v>10.33927335343725</v>
      </c>
      <c r="S157" s="36">
        <f t="shared" si="32"/>
        <v>25.901781376066467</v>
      </c>
      <c r="T157" s="37" t="s">
        <v>48</v>
      </c>
    </row>
    <row r="158" spans="1:20" s="13" customFormat="1" x14ac:dyDescent="0.25">
      <c r="A158" s="32" t="s">
        <v>24</v>
      </c>
      <c r="B158" s="39" t="s">
        <v>95</v>
      </c>
      <c r="C158" s="40" t="s">
        <v>50</v>
      </c>
      <c r="D158" s="35">
        <v>0.41597786879999993</v>
      </c>
      <c r="E158" s="35">
        <f>SUM(E159:E169)</f>
        <v>0</v>
      </c>
      <c r="F158" s="35">
        <f t="shared" si="26"/>
        <v>0.41597786879999993</v>
      </c>
      <c r="G158" s="35">
        <f t="shared" si="30"/>
        <v>0.41597786879999993</v>
      </c>
      <c r="H158" s="35">
        <f t="shared" si="27"/>
        <v>3.0222339960000002</v>
      </c>
      <c r="I158" s="35">
        <f>SUM(I159:I169)</f>
        <v>0</v>
      </c>
      <c r="J158" s="35">
        <f>SUM(J159:J173)</f>
        <v>2.568764448</v>
      </c>
      <c r="K158" s="35">
        <v>0</v>
      </c>
      <c r="L158" s="35">
        <f>SUM(L159:L169)</f>
        <v>0.18982411199999996</v>
      </c>
      <c r="M158" s="35">
        <v>0.41597786879999993</v>
      </c>
      <c r="N158" s="35">
        <f>SUM(N159:N170)</f>
        <v>0.18827194799999999</v>
      </c>
      <c r="O158" s="35">
        <v>0</v>
      </c>
      <c r="P158" s="35">
        <f>SUM(P159:P173)</f>
        <v>7.5373487999999988E-2</v>
      </c>
      <c r="Q158" s="35">
        <f t="shared" si="28"/>
        <v>-2.6062561272000004</v>
      </c>
      <c r="R158" s="35">
        <f t="shared" si="29"/>
        <v>2.6062561272000004</v>
      </c>
      <c r="S158" s="36">
        <f t="shared" si="32"/>
        <v>626.53720851026208</v>
      </c>
      <c r="T158" s="37" t="s">
        <v>48</v>
      </c>
    </row>
    <row r="159" spans="1:20" s="14" customFormat="1" ht="26.25" x14ac:dyDescent="0.25">
      <c r="A159" s="60" t="s">
        <v>24</v>
      </c>
      <c r="B159" s="61" t="s">
        <v>96</v>
      </c>
      <c r="C159" s="62" t="s">
        <v>97</v>
      </c>
      <c r="D159" s="47">
        <v>4.1597786880000001E-2</v>
      </c>
      <c r="E159" s="47">
        <v>0</v>
      </c>
      <c r="F159" s="47">
        <f t="shared" si="26"/>
        <v>4.1597786880000001E-2</v>
      </c>
      <c r="G159" s="47">
        <f t="shared" si="30"/>
        <v>4.1597786880000001E-2</v>
      </c>
      <c r="H159" s="47">
        <f t="shared" si="27"/>
        <v>3.9431327999999995E-2</v>
      </c>
      <c r="I159" s="47">
        <v>0</v>
      </c>
      <c r="J159" s="47">
        <v>0</v>
      </c>
      <c r="K159" s="47">
        <v>0</v>
      </c>
      <c r="L159" s="47">
        <v>3.9431327999999995E-2</v>
      </c>
      <c r="M159" s="47">
        <v>4.1597786880000001E-2</v>
      </c>
      <c r="N159" s="47">
        <v>0</v>
      </c>
      <c r="O159" s="47">
        <v>0</v>
      </c>
      <c r="P159" s="47">
        <v>0</v>
      </c>
      <c r="Q159" s="47">
        <f t="shared" si="28"/>
        <v>2.1664588800000065E-3</v>
      </c>
      <c r="R159" s="47">
        <f t="shared" si="29"/>
        <v>-2.1664588800000065E-3</v>
      </c>
      <c r="S159" s="48">
        <f t="shared" si="32"/>
        <v>-5.2081109176546789</v>
      </c>
      <c r="T159" s="63" t="s">
        <v>48</v>
      </c>
    </row>
    <row r="160" spans="1:20" s="14" customFormat="1" ht="26.25" x14ac:dyDescent="0.25">
      <c r="A160" s="60" t="s">
        <v>24</v>
      </c>
      <c r="B160" s="61" t="s">
        <v>98</v>
      </c>
      <c r="C160" s="62" t="s">
        <v>99</v>
      </c>
      <c r="D160" s="47">
        <v>4.1597786880000001E-2</v>
      </c>
      <c r="E160" s="47">
        <v>0</v>
      </c>
      <c r="F160" s="47">
        <f t="shared" si="26"/>
        <v>4.1597786880000001E-2</v>
      </c>
      <c r="G160" s="47">
        <f t="shared" si="30"/>
        <v>4.1597786880000001E-2</v>
      </c>
      <c r="H160" s="47">
        <f t="shared" si="27"/>
        <v>3.7924679999999995E-2</v>
      </c>
      <c r="I160" s="47">
        <v>0</v>
      </c>
      <c r="J160" s="47">
        <v>0</v>
      </c>
      <c r="K160" s="47">
        <v>0</v>
      </c>
      <c r="L160" s="47">
        <v>3.7924679999999995E-2</v>
      </c>
      <c r="M160" s="47">
        <v>4.1597786880000001E-2</v>
      </c>
      <c r="N160" s="47">
        <v>0</v>
      </c>
      <c r="O160" s="47">
        <v>0</v>
      </c>
      <c r="P160" s="47">
        <v>0</v>
      </c>
      <c r="Q160" s="47">
        <f t="shared" si="28"/>
        <v>3.6731068800000058E-3</v>
      </c>
      <c r="R160" s="47">
        <f t="shared" si="29"/>
        <v>-3.6731068800000058E-3</v>
      </c>
      <c r="S160" s="48">
        <f t="shared" si="32"/>
        <v>-8.8300536050056451</v>
      </c>
      <c r="T160" s="63" t="s">
        <v>48</v>
      </c>
    </row>
    <row r="161" spans="1:20" s="14" customFormat="1" ht="26.25" x14ac:dyDescent="0.25">
      <c r="A161" s="60" t="s">
        <v>24</v>
      </c>
      <c r="B161" s="61" t="s">
        <v>100</v>
      </c>
      <c r="C161" s="62" t="s">
        <v>101</v>
      </c>
      <c r="D161" s="47">
        <v>4.1597786880000001E-2</v>
      </c>
      <c r="E161" s="47">
        <v>0</v>
      </c>
      <c r="F161" s="47">
        <f t="shared" si="26"/>
        <v>4.1597786880000001E-2</v>
      </c>
      <c r="G161" s="47">
        <f t="shared" si="30"/>
        <v>4.1597786880000001E-2</v>
      </c>
      <c r="H161" s="47">
        <f t="shared" si="27"/>
        <v>3.7403279999999997E-2</v>
      </c>
      <c r="I161" s="47">
        <v>0</v>
      </c>
      <c r="J161" s="47">
        <v>0</v>
      </c>
      <c r="K161" s="47">
        <v>0</v>
      </c>
      <c r="L161" s="47">
        <v>3.7403279999999997E-2</v>
      </c>
      <c r="M161" s="47">
        <v>4.1597786880000001E-2</v>
      </c>
      <c r="N161" s="47">
        <v>0</v>
      </c>
      <c r="O161" s="47">
        <v>0</v>
      </c>
      <c r="P161" s="47">
        <v>0</v>
      </c>
      <c r="Q161" s="47">
        <f t="shared" si="28"/>
        <v>4.194506880000004E-3</v>
      </c>
      <c r="R161" s="47">
        <f t="shared" si="29"/>
        <v>-4.194506880000004E-3</v>
      </c>
      <c r="S161" s="48">
        <f t="shared" si="32"/>
        <v>-10.083485672207004</v>
      </c>
      <c r="T161" s="63" t="s">
        <v>48</v>
      </c>
    </row>
    <row r="162" spans="1:20" s="14" customFormat="1" ht="26.25" x14ac:dyDescent="0.25">
      <c r="A162" s="60" t="s">
        <v>24</v>
      </c>
      <c r="B162" s="61" t="s">
        <v>102</v>
      </c>
      <c r="C162" s="62" t="s">
        <v>103</v>
      </c>
      <c r="D162" s="47">
        <v>4.1597786880000001E-2</v>
      </c>
      <c r="E162" s="47">
        <v>0</v>
      </c>
      <c r="F162" s="47">
        <f t="shared" si="26"/>
        <v>4.1597786880000001E-2</v>
      </c>
      <c r="G162" s="47">
        <f t="shared" si="30"/>
        <v>4.1597786880000001E-2</v>
      </c>
      <c r="H162" s="47">
        <f t="shared" si="27"/>
        <v>3.7582091999999998E-2</v>
      </c>
      <c r="I162" s="47">
        <v>0</v>
      </c>
      <c r="J162" s="47">
        <v>0</v>
      </c>
      <c r="K162" s="47">
        <v>0</v>
      </c>
      <c r="L162" s="47">
        <v>3.7582091999999998E-2</v>
      </c>
      <c r="M162" s="47">
        <v>4.1597786880000001E-2</v>
      </c>
      <c r="N162" s="47">
        <v>0</v>
      </c>
      <c r="O162" s="47">
        <v>0</v>
      </c>
      <c r="P162" s="47">
        <v>0</v>
      </c>
      <c r="Q162" s="47">
        <f t="shared" si="28"/>
        <v>4.0156948800000036E-3</v>
      </c>
      <c r="R162" s="47">
        <f t="shared" si="29"/>
        <v>-4.0156948800000036E-3</v>
      </c>
      <c r="S162" s="48">
        <f t="shared" si="32"/>
        <v>-9.6536262652250144</v>
      </c>
      <c r="T162" s="63" t="s">
        <v>48</v>
      </c>
    </row>
    <row r="163" spans="1:20" s="14" customFormat="1" ht="26.25" x14ac:dyDescent="0.25">
      <c r="A163" s="60" t="s">
        <v>24</v>
      </c>
      <c r="B163" s="61" t="s">
        <v>104</v>
      </c>
      <c r="C163" s="62" t="s">
        <v>105</v>
      </c>
      <c r="D163" s="47">
        <v>4.1597786880000001E-2</v>
      </c>
      <c r="E163" s="47">
        <v>0</v>
      </c>
      <c r="F163" s="47">
        <f t="shared" si="26"/>
        <v>4.1597786880000001E-2</v>
      </c>
      <c r="G163" s="47">
        <f t="shared" si="30"/>
        <v>4.1597786880000001E-2</v>
      </c>
      <c r="H163" s="47">
        <f t="shared" si="27"/>
        <v>3.7482731999999998E-2</v>
      </c>
      <c r="I163" s="47">
        <v>0</v>
      </c>
      <c r="J163" s="47">
        <v>0</v>
      </c>
      <c r="K163" s="47">
        <v>0</v>
      </c>
      <c r="L163" s="47">
        <v>3.7482731999999998E-2</v>
      </c>
      <c r="M163" s="47">
        <v>4.1597786880000001E-2</v>
      </c>
      <c r="N163" s="47">
        <v>0</v>
      </c>
      <c r="O163" s="47">
        <v>0</v>
      </c>
      <c r="P163" s="47">
        <v>0</v>
      </c>
      <c r="Q163" s="47">
        <f t="shared" si="28"/>
        <v>4.1150548800000034E-3</v>
      </c>
      <c r="R163" s="47">
        <f t="shared" si="29"/>
        <v>-4.1150548800000034E-3</v>
      </c>
      <c r="S163" s="48">
        <f t="shared" si="32"/>
        <v>-9.8924851263625726</v>
      </c>
      <c r="T163" s="63" t="s">
        <v>48</v>
      </c>
    </row>
    <row r="164" spans="1:20" s="14" customFormat="1" ht="26.25" x14ac:dyDescent="0.25">
      <c r="A164" s="60" t="s">
        <v>24</v>
      </c>
      <c r="B164" s="61" t="s">
        <v>106</v>
      </c>
      <c r="C164" s="62" t="s">
        <v>107</v>
      </c>
      <c r="D164" s="47">
        <v>4.1597786880000001E-2</v>
      </c>
      <c r="E164" s="47">
        <v>0</v>
      </c>
      <c r="F164" s="47">
        <f t="shared" si="26"/>
        <v>4.1597786880000001E-2</v>
      </c>
      <c r="G164" s="47">
        <f t="shared" si="30"/>
        <v>4.1597786880000001E-2</v>
      </c>
      <c r="H164" s="47">
        <f t="shared" si="27"/>
        <v>3.7690776000000002E-2</v>
      </c>
      <c r="I164" s="47">
        <v>0</v>
      </c>
      <c r="J164" s="47">
        <v>0</v>
      </c>
      <c r="K164" s="47">
        <v>0</v>
      </c>
      <c r="L164" s="47">
        <v>0</v>
      </c>
      <c r="M164" s="47">
        <v>4.1597786880000001E-2</v>
      </c>
      <c r="N164" s="47">
        <v>3.7690776000000002E-2</v>
      </c>
      <c r="O164" s="47">
        <v>0</v>
      </c>
      <c r="P164" s="47">
        <v>0</v>
      </c>
      <c r="Q164" s="47">
        <f t="shared" si="28"/>
        <v>3.9070108799999989E-3</v>
      </c>
      <c r="R164" s="47">
        <f t="shared" si="29"/>
        <v>-3.9070108799999989E-3</v>
      </c>
      <c r="S164" s="48">
        <f t="shared" si="32"/>
        <v>-9.3923527500893869</v>
      </c>
      <c r="T164" s="63" t="s">
        <v>48</v>
      </c>
    </row>
    <row r="165" spans="1:20" s="14" customFormat="1" ht="26.25" x14ac:dyDescent="0.25">
      <c r="A165" s="60" t="s">
        <v>24</v>
      </c>
      <c r="B165" s="61" t="s">
        <v>108</v>
      </c>
      <c r="C165" s="62" t="s">
        <v>109</v>
      </c>
      <c r="D165" s="47">
        <v>4.1597786880000001E-2</v>
      </c>
      <c r="E165" s="47">
        <v>0</v>
      </c>
      <c r="F165" s="47">
        <f t="shared" si="26"/>
        <v>4.1597786880000001E-2</v>
      </c>
      <c r="G165" s="47">
        <f t="shared" si="30"/>
        <v>4.1597786880000001E-2</v>
      </c>
      <c r="H165" s="47">
        <f t="shared" si="27"/>
        <v>3.7758647999999999E-2</v>
      </c>
      <c r="I165" s="47">
        <v>0</v>
      </c>
      <c r="J165" s="47">
        <v>0</v>
      </c>
      <c r="K165" s="47">
        <v>0</v>
      </c>
      <c r="L165" s="47">
        <v>0</v>
      </c>
      <c r="M165" s="47">
        <v>4.1597786880000001E-2</v>
      </c>
      <c r="N165" s="47">
        <v>3.7758647999999999E-2</v>
      </c>
      <c r="O165" s="47">
        <v>0</v>
      </c>
      <c r="P165" s="47">
        <v>0</v>
      </c>
      <c r="Q165" s="47">
        <f t="shared" si="28"/>
        <v>3.8391388800000023E-3</v>
      </c>
      <c r="R165" s="47">
        <f t="shared" si="29"/>
        <v>-3.8391388800000023E-3</v>
      </c>
      <c r="S165" s="48">
        <f t="shared" si="32"/>
        <v>-9.2291902236891303</v>
      </c>
      <c r="T165" s="63" t="s">
        <v>48</v>
      </c>
    </row>
    <row r="166" spans="1:20" s="14" customFormat="1" ht="26.25" x14ac:dyDescent="0.25">
      <c r="A166" s="60" t="s">
        <v>24</v>
      </c>
      <c r="B166" s="61" t="s">
        <v>110</v>
      </c>
      <c r="C166" s="62" t="s">
        <v>111</v>
      </c>
      <c r="D166" s="47">
        <v>4.1597786880000001E-2</v>
      </c>
      <c r="E166" s="47">
        <v>0</v>
      </c>
      <c r="F166" s="47">
        <f t="shared" si="26"/>
        <v>4.1597786880000001E-2</v>
      </c>
      <c r="G166" s="47">
        <f t="shared" si="30"/>
        <v>4.1597786880000001E-2</v>
      </c>
      <c r="H166" s="47">
        <f t="shared" si="27"/>
        <v>3.8055371999999997E-2</v>
      </c>
      <c r="I166" s="47">
        <v>0</v>
      </c>
      <c r="J166" s="47">
        <v>0</v>
      </c>
      <c r="K166" s="47">
        <v>0</v>
      </c>
      <c r="L166" s="47">
        <v>0</v>
      </c>
      <c r="M166" s="47">
        <v>4.1597786880000001E-2</v>
      </c>
      <c r="N166" s="47">
        <v>3.8055371999999997E-2</v>
      </c>
      <c r="O166" s="47">
        <v>0</v>
      </c>
      <c r="P166" s="47">
        <v>0</v>
      </c>
      <c r="Q166" s="47">
        <f t="shared" si="28"/>
        <v>3.5424148800000041E-3</v>
      </c>
      <c r="R166" s="47">
        <f t="shared" si="29"/>
        <v>-3.5424148800000041E-3</v>
      </c>
      <c r="S166" s="48">
        <f t="shared" si="32"/>
        <v>-8.5158734290818217</v>
      </c>
      <c r="T166" s="63" t="s">
        <v>48</v>
      </c>
    </row>
    <row r="167" spans="1:20" s="14" customFormat="1" ht="26.25" x14ac:dyDescent="0.25">
      <c r="A167" s="60" t="s">
        <v>24</v>
      </c>
      <c r="B167" s="61" t="s">
        <v>112</v>
      </c>
      <c r="C167" s="62" t="s">
        <v>113</v>
      </c>
      <c r="D167" s="47">
        <v>4.1597786880000001E-2</v>
      </c>
      <c r="E167" s="47">
        <v>0</v>
      </c>
      <c r="F167" s="47">
        <f t="shared" si="26"/>
        <v>4.1597786880000001E-2</v>
      </c>
      <c r="G167" s="47">
        <f t="shared" si="30"/>
        <v>4.1597786880000001E-2</v>
      </c>
      <c r="H167" s="47">
        <f t="shared" si="27"/>
        <v>3.7561079999999997E-2</v>
      </c>
      <c r="I167" s="47">
        <v>0</v>
      </c>
      <c r="J167" s="47">
        <v>3.7561079999999997E-2</v>
      </c>
      <c r="K167" s="47">
        <v>0</v>
      </c>
      <c r="L167" s="47">
        <v>0</v>
      </c>
      <c r="M167" s="47">
        <v>4.1597786880000001E-2</v>
      </c>
      <c r="N167" s="47">
        <v>0</v>
      </c>
      <c r="O167" s="47">
        <v>0</v>
      </c>
      <c r="P167" s="47">
        <v>0</v>
      </c>
      <c r="Q167" s="47">
        <f t="shared" si="28"/>
        <v>4.0367068800000044E-3</v>
      </c>
      <c r="R167" s="47">
        <f t="shared" si="29"/>
        <v>-4.0367068800000044E-3</v>
      </c>
      <c r="S167" s="48">
        <f t="shared" si="32"/>
        <v>-9.7041385678641348</v>
      </c>
      <c r="T167" s="63" t="s">
        <v>48</v>
      </c>
    </row>
    <row r="168" spans="1:20" s="14" customFormat="1" ht="26.25" x14ac:dyDescent="0.25">
      <c r="A168" s="60" t="s">
        <v>24</v>
      </c>
      <c r="B168" s="61" t="s">
        <v>114</v>
      </c>
      <c r="C168" s="62" t="s">
        <v>115</v>
      </c>
      <c r="D168" s="47">
        <v>4.1597786880000001E-2</v>
      </c>
      <c r="E168" s="47">
        <v>0</v>
      </c>
      <c r="F168" s="47">
        <f t="shared" si="26"/>
        <v>4.1597786880000001E-2</v>
      </c>
      <c r="G168" s="47">
        <f t="shared" si="30"/>
        <v>4.1597786880000001E-2</v>
      </c>
      <c r="H168" s="47">
        <f t="shared" si="27"/>
        <v>3.7649964000000001E-2</v>
      </c>
      <c r="I168" s="47">
        <v>0</v>
      </c>
      <c r="J168" s="47">
        <v>0</v>
      </c>
      <c r="K168" s="47">
        <v>0</v>
      </c>
      <c r="L168" s="47">
        <v>0</v>
      </c>
      <c r="M168" s="47">
        <v>4.1597786880000001E-2</v>
      </c>
      <c r="N168" s="47">
        <v>3.7649964000000001E-2</v>
      </c>
      <c r="O168" s="47">
        <v>0</v>
      </c>
      <c r="P168" s="47">
        <v>0</v>
      </c>
      <c r="Q168" s="47">
        <f t="shared" si="28"/>
        <v>3.9478228800000001E-3</v>
      </c>
      <c r="R168" s="47">
        <f t="shared" si="29"/>
        <v>-3.9478228800000001E-3</v>
      </c>
      <c r="S168" s="48">
        <f t="shared" si="32"/>
        <v>-9.4904637388247437</v>
      </c>
      <c r="T168" s="63" t="s">
        <v>48</v>
      </c>
    </row>
    <row r="169" spans="1:20" s="14" customFormat="1" ht="25.5" x14ac:dyDescent="0.25">
      <c r="A169" s="53" t="s">
        <v>24</v>
      </c>
      <c r="B169" s="61" t="s">
        <v>354</v>
      </c>
      <c r="C169" s="50" t="s">
        <v>355</v>
      </c>
      <c r="D169" s="47">
        <v>0</v>
      </c>
      <c r="E169" s="47">
        <v>0</v>
      </c>
      <c r="F169" s="47">
        <f t="shared" si="26"/>
        <v>0</v>
      </c>
      <c r="G169" s="47">
        <f t="shared" si="30"/>
        <v>0</v>
      </c>
      <c r="H169" s="47">
        <f t="shared" si="27"/>
        <v>3.7405451999999999E-2</v>
      </c>
      <c r="I169" s="47">
        <v>0</v>
      </c>
      <c r="J169" s="47">
        <v>3.7405451999999999E-2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f t="shared" si="28"/>
        <v>-3.7405451999999999E-2</v>
      </c>
      <c r="R169" s="47">
        <f t="shared" si="29"/>
        <v>3.7405451999999999E-2</v>
      </c>
      <c r="S169" s="48">
        <v>100</v>
      </c>
      <c r="T169" s="58" t="s">
        <v>715</v>
      </c>
    </row>
    <row r="170" spans="1:20" s="14" customFormat="1" ht="26.25" x14ac:dyDescent="0.25">
      <c r="A170" s="64" t="s">
        <v>24</v>
      </c>
      <c r="B170" s="65" t="s">
        <v>676</v>
      </c>
      <c r="C170" s="66" t="s">
        <v>677</v>
      </c>
      <c r="D170" s="47">
        <v>0</v>
      </c>
      <c r="E170" s="47">
        <v>0</v>
      </c>
      <c r="F170" s="47">
        <f t="shared" si="26"/>
        <v>0</v>
      </c>
      <c r="G170" s="47">
        <v>0</v>
      </c>
      <c r="H170" s="47">
        <f t="shared" si="27"/>
        <v>3.7117188000000002E-2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3.7117188000000002E-2</v>
      </c>
      <c r="O170" s="47">
        <v>0</v>
      </c>
      <c r="P170" s="47">
        <v>0</v>
      </c>
      <c r="Q170" s="47">
        <f t="shared" si="28"/>
        <v>-3.7117188000000002E-2</v>
      </c>
      <c r="R170" s="47">
        <f t="shared" si="29"/>
        <v>3.7117188000000002E-2</v>
      </c>
      <c r="S170" s="48">
        <v>100</v>
      </c>
      <c r="T170" s="58" t="s">
        <v>715</v>
      </c>
    </row>
    <row r="171" spans="1:20" s="14" customFormat="1" ht="25.5" x14ac:dyDescent="0.25">
      <c r="A171" s="64" t="s">
        <v>24</v>
      </c>
      <c r="B171" s="65" t="s">
        <v>800</v>
      </c>
      <c r="C171" s="66" t="s">
        <v>801</v>
      </c>
      <c r="D171" s="47">
        <v>0</v>
      </c>
      <c r="E171" s="47">
        <v>0</v>
      </c>
      <c r="F171" s="47">
        <f t="shared" si="26"/>
        <v>0</v>
      </c>
      <c r="G171" s="47">
        <v>0</v>
      </c>
      <c r="H171" s="47">
        <f t="shared" si="27"/>
        <v>3.7832364E-2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3.7832364E-2</v>
      </c>
      <c r="Q171" s="47">
        <f t="shared" si="28"/>
        <v>-3.7832364E-2</v>
      </c>
      <c r="R171" s="47">
        <f t="shared" si="29"/>
        <v>3.7832364E-2</v>
      </c>
      <c r="S171" s="48">
        <v>100</v>
      </c>
      <c r="T171" s="58" t="s">
        <v>715</v>
      </c>
    </row>
    <row r="172" spans="1:20" s="14" customFormat="1" ht="25.5" x14ac:dyDescent="0.25">
      <c r="A172" s="64" t="s">
        <v>24</v>
      </c>
      <c r="B172" s="65" t="s">
        <v>802</v>
      </c>
      <c r="C172" s="66" t="s">
        <v>803</v>
      </c>
      <c r="D172" s="47">
        <v>0</v>
      </c>
      <c r="E172" s="47">
        <v>0</v>
      </c>
      <c r="F172" s="47">
        <f t="shared" si="26"/>
        <v>0</v>
      </c>
      <c r="G172" s="47">
        <v>0</v>
      </c>
      <c r="H172" s="47">
        <f t="shared" si="27"/>
        <v>3.7541123999999995E-2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3.7541123999999995E-2</v>
      </c>
      <c r="Q172" s="47">
        <f t="shared" si="28"/>
        <v>-3.7541123999999995E-2</v>
      </c>
      <c r="R172" s="47">
        <f t="shared" si="29"/>
        <v>3.7541123999999995E-2</v>
      </c>
      <c r="S172" s="48">
        <v>100</v>
      </c>
      <c r="T172" s="58" t="s">
        <v>715</v>
      </c>
    </row>
    <row r="173" spans="1:20" s="14" customFormat="1" ht="38.25" x14ac:dyDescent="0.25">
      <c r="A173" s="64" t="s">
        <v>24</v>
      </c>
      <c r="B173" s="65" t="s">
        <v>356</v>
      </c>
      <c r="C173" s="66" t="s">
        <v>357</v>
      </c>
      <c r="D173" s="47">
        <v>0</v>
      </c>
      <c r="E173" s="47">
        <v>0</v>
      </c>
      <c r="F173" s="47">
        <f t="shared" si="26"/>
        <v>0</v>
      </c>
      <c r="G173" s="47">
        <v>0</v>
      </c>
      <c r="H173" s="47">
        <f t="shared" si="27"/>
        <v>2.4937979160000001</v>
      </c>
      <c r="I173" s="47">
        <v>0</v>
      </c>
      <c r="J173" s="47">
        <v>2.4937979160000001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f t="shared" si="28"/>
        <v>-2.4937979160000001</v>
      </c>
      <c r="R173" s="47">
        <f t="shared" si="29"/>
        <v>2.4937979160000001</v>
      </c>
      <c r="S173" s="48">
        <v>100</v>
      </c>
      <c r="T173" s="58" t="s">
        <v>716</v>
      </c>
    </row>
    <row r="174" spans="1:20" s="13" customFormat="1" ht="25.5" x14ac:dyDescent="0.25">
      <c r="A174" s="67" t="s">
        <v>25</v>
      </c>
      <c r="B174" s="68" t="s">
        <v>116</v>
      </c>
      <c r="C174" s="69" t="s">
        <v>50</v>
      </c>
      <c r="D174" s="35">
        <v>39.501251001762732</v>
      </c>
      <c r="E174" s="35">
        <f>SUM(E175:E298)</f>
        <v>0.21791560799999998</v>
      </c>
      <c r="F174" s="35">
        <f t="shared" si="26"/>
        <v>39.283335393762734</v>
      </c>
      <c r="G174" s="35">
        <f>SUM(G175:G298)</f>
        <v>39.501251001762732</v>
      </c>
      <c r="H174" s="35">
        <f t="shared" si="27"/>
        <v>47.234268227999983</v>
      </c>
      <c r="I174" s="35">
        <f>SUM(I175:I298)</f>
        <v>0.71094825762711833</v>
      </c>
      <c r="J174" s="35">
        <f>SUM(J175:J298)</f>
        <v>16.180941947999997</v>
      </c>
      <c r="K174" s="35">
        <f>SUM(K175:K308)</f>
        <v>8.552257118644075</v>
      </c>
      <c r="L174" s="35">
        <f>SUM(L175:L298)</f>
        <v>2.1124178759999999</v>
      </c>
      <c r="M174" s="35">
        <f>SUM(M175:M298)</f>
        <v>24.129785904610188</v>
      </c>
      <c r="N174" s="35">
        <f>SUM(N175:N308)</f>
        <v>7.5475880880000004</v>
      </c>
      <c r="O174" s="35">
        <f>SUM(O175:O298)</f>
        <v>6.1082597208813549</v>
      </c>
      <c r="P174" s="35">
        <f>SUM(P175:P308)</f>
        <v>21.393320315999986</v>
      </c>
      <c r="Q174" s="35">
        <f t="shared" si="28"/>
        <v>-7.9509328342372498</v>
      </c>
      <c r="R174" s="35">
        <f t="shared" si="29"/>
        <v>7.7330172262372443</v>
      </c>
      <c r="S174" s="36">
        <f t="shared" si="32"/>
        <v>19.576638790230106</v>
      </c>
      <c r="T174" s="37" t="s">
        <v>48</v>
      </c>
    </row>
    <row r="175" spans="1:20" s="14" customFormat="1" ht="44.25" customHeight="1" x14ac:dyDescent="0.25">
      <c r="A175" s="70" t="s">
        <v>25</v>
      </c>
      <c r="B175" s="71" t="s">
        <v>453</v>
      </c>
      <c r="C175" s="72" t="s">
        <v>454</v>
      </c>
      <c r="D175" s="47">
        <v>0</v>
      </c>
      <c r="E175" s="47">
        <f>49132.43*1.2/1000000</f>
        <v>5.8958916E-2</v>
      </c>
      <c r="F175" s="47">
        <f t="shared" si="26"/>
        <v>-5.8958916E-2</v>
      </c>
      <c r="G175" s="47">
        <v>0</v>
      </c>
      <c r="H175" s="47">
        <f t="shared" si="27"/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f t="shared" si="28"/>
        <v>-5.8958916E-2</v>
      </c>
      <c r="R175" s="47">
        <f t="shared" si="29"/>
        <v>0</v>
      </c>
      <c r="S175" s="48">
        <v>0</v>
      </c>
      <c r="T175" s="58" t="s">
        <v>48</v>
      </c>
    </row>
    <row r="176" spans="1:20" s="14" customFormat="1" x14ac:dyDescent="0.25">
      <c r="A176" s="60" t="s">
        <v>25</v>
      </c>
      <c r="B176" s="73" t="s">
        <v>356</v>
      </c>
      <c r="C176" s="74" t="s">
        <v>357</v>
      </c>
      <c r="D176" s="47">
        <v>0</v>
      </c>
      <c r="E176" s="47">
        <f>79176.27*1.2/1000000</f>
        <v>9.5011524E-2</v>
      </c>
      <c r="F176" s="47">
        <f t="shared" si="26"/>
        <v>-9.5011524E-2</v>
      </c>
      <c r="G176" s="47">
        <f t="shared" ref="G176:G189" si="34">I176+K176+M176+O176</f>
        <v>0</v>
      </c>
      <c r="H176" s="47">
        <f t="shared" si="27"/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f t="shared" si="28"/>
        <v>-9.5011524E-2</v>
      </c>
      <c r="R176" s="47">
        <f t="shared" si="29"/>
        <v>0</v>
      </c>
      <c r="S176" s="48">
        <v>0</v>
      </c>
      <c r="T176" s="58" t="s">
        <v>48</v>
      </c>
    </row>
    <row r="177" spans="1:20" s="14" customFormat="1" ht="38.25" x14ac:dyDescent="0.25">
      <c r="A177" s="53" t="s">
        <v>25</v>
      </c>
      <c r="B177" s="61" t="s">
        <v>117</v>
      </c>
      <c r="C177" s="75" t="s">
        <v>118</v>
      </c>
      <c r="D177" s="47">
        <v>5.2469567999999995</v>
      </c>
      <c r="E177" s="47">
        <v>0</v>
      </c>
      <c r="F177" s="47">
        <f t="shared" si="26"/>
        <v>5.2469567999999995</v>
      </c>
      <c r="G177" s="47">
        <f t="shared" si="34"/>
        <v>5.2469567999999995</v>
      </c>
      <c r="H177" s="47">
        <f t="shared" si="27"/>
        <v>0.43627546799999994</v>
      </c>
      <c r="I177" s="47">
        <v>0</v>
      </c>
      <c r="J177" s="47">
        <v>0</v>
      </c>
      <c r="K177" s="47">
        <v>0</v>
      </c>
      <c r="L177" s="47">
        <v>0</v>
      </c>
      <c r="M177" s="47">
        <f>4.372464*1.2</f>
        <v>5.2469567999999995</v>
      </c>
      <c r="N177" s="47">
        <v>0</v>
      </c>
      <c r="O177" s="47">
        <v>0</v>
      </c>
      <c r="P177" s="47">
        <v>0.43627546799999994</v>
      </c>
      <c r="Q177" s="47">
        <f t="shared" si="28"/>
        <v>4.8106813319999997</v>
      </c>
      <c r="R177" s="47">
        <f t="shared" si="29"/>
        <v>-4.8106813319999997</v>
      </c>
      <c r="S177" s="48">
        <f t="shared" si="32"/>
        <v>-91.685171335887503</v>
      </c>
      <c r="T177" s="76" t="s">
        <v>980</v>
      </c>
    </row>
    <row r="178" spans="1:20" s="14" customFormat="1" x14ac:dyDescent="0.25">
      <c r="A178" s="53" t="s">
        <v>25</v>
      </c>
      <c r="B178" s="61" t="s">
        <v>119</v>
      </c>
      <c r="C178" s="75" t="s">
        <v>120</v>
      </c>
      <c r="D178" s="47">
        <v>1.1140584</v>
      </c>
      <c r="E178" s="47">
        <v>0</v>
      </c>
      <c r="F178" s="47">
        <f t="shared" si="26"/>
        <v>1.1140584</v>
      </c>
      <c r="G178" s="47">
        <f t="shared" si="34"/>
        <v>1.1140584</v>
      </c>
      <c r="H178" s="47">
        <f t="shared" si="27"/>
        <v>1.157547372</v>
      </c>
      <c r="I178" s="47">
        <v>0</v>
      </c>
      <c r="J178" s="47">
        <v>9.2915591999999991E-2</v>
      </c>
      <c r="K178" s="47">
        <v>0</v>
      </c>
      <c r="L178" s="47">
        <v>0</v>
      </c>
      <c r="M178" s="47">
        <f>0.928382*1.2</f>
        <v>1.1140584</v>
      </c>
      <c r="N178" s="47">
        <v>1.00133418</v>
      </c>
      <c r="O178" s="47">
        <v>0</v>
      </c>
      <c r="P178" s="47">
        <v>6.3297599999999996E-2</v>
      </c>
      <c r="Q178" s="47">
        <f t="shared" si="28"/>
        <v>-4.3488972000000015E-2</v>
      </c>
      <c r="R178" s="47">
        <f t="shared" si="29"/>
        <v>4.3488972000000015E-2</v>
      </c>
      <c r="S178" s="48">
        <f t="shared" si="32"/>
        <v>3.9036528067110368</v>
      </c>
      <c r="T178" s="76" t="s">
        <v>48</v>
      </c>
    </row>
    <row r="179" spans="1:20" s="14" customFormat="1" ht="51" x14ac:dyDescent="0.25">
      <c r="A179" s="77" t="s">
        <v>25</v>
      </c>
      <c r="B179" s="61" t="s">
        <v>358</v>
      </c>
      <c r="C179" s="78" t="s">
        <v>359</v>
      </c>
      <c r="D179" s="47">
        <v>0</v>
      </c>
      <c r="E179" s="47">
        <v>0</v>
      </c>
      <c r="F179" s="47">
        <f t="shared" si="26"/>
        <v>0</v>
      </c>
      <c r="G179" s="47">
        <f t="shared" si="34"/>
        <v>0</v>
      </c>
      <c r="H179" s="47">
        <f t="shared" si="27"/>
        <v>5.2257275999999998E-2</v>
      </c>
      <c r="I179" s="47">
        <v>0</v>
      </c>
      <c r="J179" s="47">
        <v>5.2257275999999998E-2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f t="shared" si="28"/>
        <v>-5.2257275999999998E-2</v>
      </c>
      <c r="R179" s="47">
        <f t="shared" si="29"/>
        <v>5.2257275999999998E-2</v>
      </c>
      <c r="S179" s="48">
        <v>100</v>
      </c>
      <c r="T179" s="58" t="s">
        <v>717</v>
      </c>
    </row>
    <row r="180" spans="1:20" s="14" customFormat="1" ht="51" x14ac:dyDescent="0.25">
      <c r="A180" s="77" t="s">
        <v>25</v>
      </c>
      <c r="B180" s="61" t="s">
        <v>360</v>
      </c>
      <c r="C180" s="78" t="s">
        <v>361</v>
      </c>
      <c r="D180" s="47">
        <v>0</v>
      </c>
      <c r="E180" s="47">
        <v>0</v>
      </c>
      <c r="F180" s="47">
        <f t="shared" si="26"/>
        <v>0</v>
      </c>
      <c r="G180" s="47">
        <f t="shared" si="34"/>
        <v>0</v>
      </c>
      <c r="H180" s="47">
        <f t="shared" si="27"/>
        <v>5.5317768000000003E-2</v>
      </c>
      <c r="I180" s="47">
        <v>0</v>
      </c>
      <c r="J180" s="47">
        <v>5.5317768000000003E-2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f t="shared" si="28"/>
        <v>-5.5317768000000003E-2</v>
      </c>
      <c r="R180" s="47">
        <f t="shared" si="29"/>
        <v>5.5317768000000003E-2</v>
      </c>
      <c r="S180" s="48">
        <v>100</v>
      </c>
      <c r="T180" s="58" t="s">
        <v>717</v>
      </c>
    </row>
    <row r="181" spans="1:20" s="14" customFormat="1" ht="51" x14ac:dyDescent="0.25">
      <c r="A181" s="77" t="s">
        <v>25</v>
      </c>
      <c r="B181" s="61" t="s">
        <v>362</v>
      </c>
      <c r="C181" s="78" t="s">
        <v>363</v>
      </c>
      <c r="D181" s="47">
        <v>0</v>
      </c>
      <c r="E181" s="47">
        <v>0</v>
      </c>
      <c r="F181" s="47">
        <f t="shared" si="26"/>
        <v>0</v>
      </c>
      <c r="G181" s="47">
        <f t="shared" si="34"/>
        <v>0</v>
      </c>
      <c r="H181" s="47">
        <f t="shared" si="27"/>
        <v>7.0376064000000002E-2</v>
      </c>
      <c r="I181" s="47">
        <v>0</v>
      </c>
      <c r="J181" s="47">
        <v>7.0376064000000002E-2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f t="shared" si="28"/>
        <v>-7.0376064000000002E-2</v>
      </c>
      <c r="R181" s="47">
        <f t="shared" si="29"/>
        <v>7.0376064000000002E-2</v>
      </c>
      <c r="S181" s="48">
        <v>100</v>
      </c>
      <c r="T181" s="58" t="s">
        <v>718</v>
      </c>
    </row>
    <row r="182" spans="1:20" s="14" customFormat="1" ht="51" x14ac:dyDescent="0.25">
      <c r="A182" s="77" t="s">
        <v>25</v>
      </c>
      <c r="B182" s="61" t="s">
        <v>364</v>
      </c>
      <c r="C182" s="78" t="s">
        <v>365</v>
      </c>
      <c r="D182" s="47">
        <v>0</v>
      </c>
      <c r="E182" s="47">
        <v>0</v>
      </c>
      <c r="F182" s="47">
        <f t="shared" si="26"/>
        <v>0</v>
      </c>
      <c r="G182" s="47">
        <f t="shared" si="34"/>
        <v>0</v>
      </c>
      <c r="H182" s="47">
        <f t="shared" si="27"/>
        <v>9.9619883999999992E-2</v>
      </c>
      <c r="I182" s="47">
        <v>0</v>
      </c>
      <c r="J182" s="47">
        <v>5.5021415999999997E-2</v>
      </c>
      <c r="K182" s="47">
        <v>0</v>
      </c>
      <c r="L182" s="47">
        <v>4.4598467999999995E-2</v>
      </c>
      <c r="M182" s="47">
        <v>0</v>
      </c>
      <c r="N182" s="47">
        <v>0</v>
      </c>
      <c r="O182" s="47">
        <v>0</v>
      </c>
      <c r="P182" s="47">
        <v>0</v>
      </c>
      <c r="Q182" s="47">
        <f t="shared" si="28"/>
        <v>-9.9619883999999992E-2</v>
      </c>
      <c r="R182" s="47">
        <f t="shared" si="29"/>
        <v>9.9619883999999992E-2</v>
      </c>
      <c r="S182" s="48">
        <v>100</v>
      </c>
      <c r="T182" s="58" t="s">
        <v>718</v>
      </c>
    </row>
    <row r="183" spans="1:20" s="14" customFormat="1" ht="51" x14ac:dyDescent="0.25">
      <c r="A183" s="77" t="s">
        <v>25</v>
      </c>
      <c r="B183" s="61" t="s">
        <v>366</v>
      </c>
      <c r="C183" s="78" t="s">
        <v>367</v>
      </c>
      <c r="D183" s="47">
        <v>0</v>
      </c>
      <c r="E183" s="47">
        <v>0</v>
      </c>
      <c r="F183" s="47">
        <f t="shared" si="26"/>
        <v>0</v>
      </c>
      <c r="G183" s="47">
        <f t="shared" si="34"/>
        <v>0</v>
      </c>
      <c r="H183" s="47">
        <f t="shared" si="27"/>
        <v>7.3959131999999997E-2</v>
      </c>
      <c r="I183" s="47">
        <v>0</v>
      </c>
      <c r="J183" s="47">
        <v>7.3959131999999997E-2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f t="shared" si="28"/>
        <v>-7.3959131999999997E-2</v>
      </c>
      <c r="R183" s="47">
        <f t="shared" si="29"/>
        <v>7.3959131999999997E-2</v>
      </c>
      <c r="S183" s="48">
        <v>100</v>
      </c>
      <c r="T183" s="58" t="s">
        <v>718</v>
      </c>
    </row>
    <row r="184" spans="1:20" s="14" customFormat="1" ht="51" x14ac:dyDescent="0.25">
      <c r="A184" s="77" t="s">
        <v>25</v>
      </c>
      <c r="B184" s="61" t="s">
        <v>368</v>
      </c>
      <c r="C184" s="78" t="s">
        <v>369</v>
      </c>
      <c r="D184" s="47">
        <v>0</v>
      </c>
      <c r="E184" s="47">
        <v>0</v>
      </c>
      <c r="F184" s="47">
        <f t="shared" si="26"/>
        <v>0</v>
      </c>
      <c r="G184" s="47">
        <f t="shared" si="34"/>
        <v>0</v>
      </c>
      <c r="H184" s="47">
        <f t="shared" si="27"/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f t="shared" si="28"/>
        <v>0</v>
      </c>
      <c r="R184" s="47">
        <f t="shared" si="29"/>
        <v>0</v>
      </c>
      <c r="S184" s="48">
        <v>100</v>
      </c>
      <c r="T184" s="58" t="s">
        <v>718</v>
      </c>
    </row>
    <row r="185" spans="1:20" s="14" customFormat="1" ht="38.25" x14ac:dyDescent="0.25">
      <c r="A185" s="77" t="s">
        <v>25</v>
      </c>
      <c r="B185" s="61" t="s">
        <v>370</v>
      </c>
      <c r="C185" s="78" t="s">
        <v>371</v>
      </c>
      <c r="D185" s="47">
        <v>0</v>
      </c>
      <c r="E185" s="47">
        <v>0</v>
      </c>
      <c r="F185" s="47">
        <f t="shared" si="26"/>
        <v>0</v>
      </c>
      <c r="G185" s="47">
        <f t="shared" si="34"/>
        <v>0</v>
      </c>
      <c r="H185" s="47">
        <f t="shared" si="27"/>
        <v>6.9647712000000001E-2</v>
      </c>
      <c r="I185" s="47">
        <v>0</v>
      </c>
      <c r="J185" s="47">
        <v>6.9647712000000001E-2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f t="shared" si="28"/>
        <v>-6.9647712000000001E-2</v>
      </c>
      <c r="R185" s="47">
        <f t="shared" si="29"/>
        <v>6.9647712000000001E-2</v>
      </c>
      <c r="S185" s="48">
        <v>100</v>
      </c>
      <c r="T185" s="58" t="s">
        <v>719</v>
      </c>
    </row>
    <row r="186" spans="1:20" s="14" customFormat="1" ht="25.5" x14ac:dyDescent="0.25">
      <c r="A186" s="77" t="s">
        <v>25</v>
      </c>
      <c r="B186" s="61" t="s">
        <v>372</v>
      </c>
      <c r="C186" s="78" t="s">
        <v>373</v>
      </c>
      <c r="D186" s="47">
        <v>0</v>
      </c>
      <c r="E186" s="47">
        <v>0</v>
      </c>
      <c r="F186" s="47">
        <f t="shared" si="26"/>
        <v>0</v>
      </c>
      <c r="G186" s="47">
        <f t="shared" si="34"/>
        <v>0</v>
      </c>
      <c r="H186" s="47">
        <f t="shared" si="27"/>
        <v>7.5607439999999998E-2</v>
      </c>
      <c r="I186" s="47">
        <v>0</v>
      </c>
      <c r="J186" s="47">
        <v>7.5607439999999998E-2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f t="shared" si="28"/>
        <v>-7.5607439999999998E-2</v>
      </c>
      <c r="R186" s="47">
        <f t="shared" si="29"/>
        <v>7.5607439999999998E-2</v>
      </c>
      <c r="S186" s="48">
        <v>100</v>
      </c>
      <c r="T186" s="58" t="s">
        <v>720</v>
      </c>
    </row>
    <row r="187" spans="1:20" s="14" customFormat="1" ht="38.25" x14ac:dyDescent="0.25">
      <c r="A187" s="77" t="s">
        <v>25</v>
      </c>
      <c r="B187" s="61" t="s">
        <v>374</v>
      </c>
      <c r="C187" s="78" t="s">
        <v>375</v>
      </c>
      <c r="D187" s="47">
        <v>0</v>
      </c>
      <c r="E187" s="47">
        <v>0</v>
      </c>
      <c r="F187" s="47">
        <f t="shared" si="26"/>
        <v>0</v>
      </c>
      <c r="G187" s="47">
        <f t="shared" si="34"/>
        <v>0</v>
      </c>
      <c r="H187" s="47">
        <f t="shared" si="27"/>
        <v>3.3876167999999998E-2</v>
      </c>
      <c r="I187" s="47">
        <v>0</v>
      </c>
      <c r="J187" s="47">
        <v>3.3876167999999998E-2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f t="shared" si="28"/>
        <v>-3.3876167999999998E-2</v>
      </c>
      <c r="R187" s="47">
        <f t="shared" si="29"/>
        <v>3.3876167999999998E-2</v>
      </c>
      <c r="S187" s="48">
        <v>100</v>
      </c>
      <c r="T187" s="58" t="s">
        <v>719</v>
      </c>
    </row>
    <row r="188" spans="1:20" s="14" customFormat="1" ht="38.25" x14ac:dyDescent="0.25">
      <c r="A188" s="77" t="s">
        <v>25</v>
      </c>
      <c r="B188" s="61" t="s">
        <v>376</v>
      </c>
      <c r="C188" s="78" t="s">
        <v>377</v>
      </c>
      <c r="D188" s="47">
        <v>0</v>
      </c>
      <c r="E188" s="47">
        <v>0</v>
      </c>
      <c r="F188" s="47">
        <f t="shared" si="26"/>
        <v>0</v>
      </c>
      <c r="G188" s="47">
        <f t="shared" si="34"/>
        <v>0</v>
      </c>
      <c r="H188" s="47">
        <f t="shared" si="27"/>
        <v>1.8885203999999999E-2</v>
      </c>
      <c r="I188" s="47">
        <v>0</v>
      </c>
      <c r="J188" s="47">
        <v>1.8885203999999999E-2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f t="shared" si="28"/>
        <v>-1.8885203999999999E-2</v>
      </c>
      <c r="R188" s="47">
        <f t="shared" si="29"/>
        <v>1.8885203999999999E-2</v>
      </c>
      <c r="S188" s="48">
        <v>100</v>
      </c>
      <c r="T188" s="58" t="s">
        <v>719</v>
      </c>
    </row>
    <row r="189" spans="1:20" s="14" customFormat="1" ht="38.25" x14ac:dyDescent="0.25">
      <c r="A189" s="77" t="s">
        <v>25</v>
      </c>
      <c r="B189" s="61" t="s">
        <v>378</v>
      </c>
      <c r="C189" s="78" t="s">
        <v>379</v>
      </c>
      <c r="D189" s="47">
        <v>0</v>
      </c>
      <c r="E189" s="47">
        <v>0</v>
      </c>
      <c r="F189" s="47">
        <f t="shared" si="26"/>
        <v>0</v>
      </c>
      <c r="G189" s="47">
        <f t="shared" si="34"/>
        <v>0</v>
      </c>
      <c r="H189" s="47">
        <f t="shared" si="27"/>
        <v>0.10463767199999999</v>
      </c>
      <c r="I189" s="47">
        <v>0</v>
      </c>
      <c r="J189" s="47">
        <v>1.7119055999999997E-2</v>
      </c>
      <c r="K189" s="47">
        <v>0</v>
      </c>
      <c r="L189" s="47">
        <v>8.7518615999999994E-2</v>
      </c>
      <c r="M189" s="47">
        <v>0</v>
      </c>
      <c r="N189" s="47">
        <v>0</v>
      </c>
      <c r="O189" s="47">
        <v>0</v>
      </c>
      <c r="P189" s="47">
        <v>0</v>
      </c>
      <c r="Q189" s="47">
        <f t="shared" si="28"/>
        <v>-0.10463767199999999</v>
      </c>
      <c r="R189" s="47">
        <f t="shared" si="29"/>
        <v>0.10463767199999999</v>
      </c>
      <c r="S189" s="48">
        <v>100</v>
      </c>
      <c r="T189" s="58" t="s">
        <v>721</v>
      </c>
    </row>
    <row r="190" spans="1:20" s="14" customFormat="1" ht="38.25" x14ac:dyDescent="0.25">
      <c r="A190" s="77" t="s">
        <v>25</v>
      </c>
      <c r="B190" s="61" t="s">
        <v>548</v>
      </c>
      <c r="C190" s="78" t="s">
        <v>549</v>
      </c>
      <c r="D190" s="47">
        <v>0</v>
      </c>
      <c r="E190" s="47">
        <v>0</v>
      </c>
      <c r="F190" s="47">
        <f t="shared" si="26"/>
        <v>0</v>
      </c>
      <c r="G190" s="47">
        <v>0</v>
      </c>
      <c r="H190" s="47">
        <f t="shared" si="27"/>
        <v>7.0754940000000002E-2</v>
      </c>
      <c r="I190" s="47">
        <v>0</v>
      </c>
      <c r="J190" s="47">
        <v>0</v>
      </c>
      <c r="K190" s="47">
        <v>0</v>
      </c>
      <c r="L190" s="47">
        <v>7.0754940000000002E-2</v>
      </c>
      <c r="M190" s="47">
        <v>0</v>
      </c>
      <c r="N190" s="47">
        <v>0</v>
      </c>
      <c r="O190" s="47">
        <v>0</v>
      </c>
      <c r="P190" s="47">
        <v>0</v>
      </c>
      <c r="Q190" s="47">
        <f t="shared" si="28"/>
        <v>-7.0754940000000002E-2</v>
      </c>
      <c r="R190" s="47">
        <f t="shared" si="29"/>
        <v>7.0754940000000002E-2</v>
      </c>
      <c r="S190" s="48">
        <v>100</v>
      </c>
      <c r="T190" s="58" t="s">
        <v>722</v>
      </c>
    </row>
    <row r="191" spans="1:20" s="14" customFormat="1" ht="51" x14ac:dyDescent="0.25">
      <c r="A191" s="77" t="s">
        <v>25</v>
      </c>
      <c r="B191" s="61" t="s">
        <v>550</v>
      </c>
      <c r="C191" s="78" t="s">
        <v>551</v>
      </c>
      <c r="D191" s="47">
        <v>0</v>
      </c>
      <c r="E191" s="47">
        <v>0</v>
      </c>
      <c r="F191" s="47">
        <f t="shared" si="26"/>
        <v>0</v>
      </c>
      <c r="G191" s="47">
        <v>0</v>
      </c>
      <c r="H191" s="47">
        <f t="shared" si="27"/>
        <v>4.9573463999999991E-2</v>
      </c>
      <c r="I191" s="47">
        <v>0</v>
      </c>
      <c r="J191" s="47">
        <v>0</v>
      </c>
      <c r="K191" s="47">
        <v>0</v>
      </c>
      <c r="L191" s="47">
        <v>4.9573463999999991E-2</v>
      </c>
      <c r="M191" s="47">
        <v>0</v>
      </c>
      <c r="N191" s="47">
        <v>0</v>
      </c>
      <c r="O191" s="47">
        <v>0</v>
      </c>
      <c r="P191" s="47">
        <v>0</v>
      </c>
      <c r="Q191" s="47">
        <f t="shared" si="28"/>
        <v>-4.9573463999999991E-2</v>
      </c>
      <c r="R191" s="47">
        <f t="shared" si="29"/>
        <v>4.9573463999999991E-2</v>
      </c>
      <c r="S191" s="48">
        <v>100</v>
      </c>
      <c r="T191" s="58" t="s">
        <v>723</v>
      </c>
    </row>
    <row r="192" spans="1:20" s="14" customFormat="1" ht="51" x14ac:dyDescent="0.25">
      <c r="A192" s="77" t="s">
        <v>25</v>
      </c>
      <c r="B192" s="61" t="s">
        <v>552</v>
      </c>
      <c r="C192" s="78" t="s">
        <v>553</v>
      </c>
      <c r="D192" s="47">
        <v>0</v>
      </c>
      <c r="E192" s="47">
        <v>0</v>
      </c>
      <c r="F192" s="47">
        <f t="shared" si="26"/>
        <v>0</v>
      </c>
      <c r="G192" s="47">
        <v>0</v>
      </c>
      <c r="H192" s="47">
        <f t="shared" si="27"/>
        <v>2.2944552E-2</v>
      </c>
      <c r="I192" s="47">
        <v>0</v>
      </c>
      <c r="J192" s="47">
        <v>0</v>
      </c>
      <c r="K192" s="47">
        <v>0</v>
      </c>
      <c r="L192" s="47">
        <v>2.2944552E-2</v>
      </c>
      <c r="M192" s="47">
        <v>0</v>
      </c>
      <c r="N192" s="47">
        <v>0</v>
      </c>
      <c r="O192" s="47">
        <v>0</v>
      </c>
      <c r="P192" s="47">
        <v>0</v>
      </c>
      <c r="Q192" s="47">
        <f t="shared" si="28"/>
        <v>-2.2944552E-2</v>
      </c>
      <c r="R192" s="47">
        <f t="shared" si="29"/>
        <v>2.2944552E-2</v>
      </c>
      <c r="S192" s="48">
        <v>100</v>
      </c>
      <c r="T192" s="58" t="s">
        <v>723</v>
      </c>
    </row>
    <row r="193" spans="1:20" s="14" customFormat="1" ht="38.25" x14ac:dyDescent="0.25">
      <c r="A193" s="77" t="s">
        <v>25</v>
      </c>
      <c r="B193" s="61" t="s">
        <v>554</v>
      </c>
      <c r="C193" s="78" t="s">
        <v>555</v>
      </c>
      <c r="D193" s="47">
        <v>0</v>
      </c>
      <c r="E193" s="47">
        <v>0</v>
      </c>
      <c r="F193" s="47">
        <f t="shared" si="26"/>
        <v>0</v>
      </c>
      <c r="G193" s="47">
        <v>0</v>
      </c>
      <c r="H193" s="47">
        <f t="shared" si="27"/>
        <v>3.1017503999999994E-2</v>
      </c>
      <c r="I193" s="47">
        <v>0</v>
      </c>
      <c r="J193" s="47">
        <v>0</v>
      </c>
      <c r="K193" s="47">
        <v>0</v>
      </c>
      <c r="L193" s="47">
        <v>3.1017503999999994E-2</v>
      </c>
      <c r="M193" s="47">
        <v>0</v>
      </c>
      <c r="N193" s="47">
        <v>0</v>
      </c>
      <c r="O193" s="47">
        <v>0</v>
      </c>
      <c r="P193" s="47">
        <v>0</v>
      </c>
      <c r="Q193" s="47">
        <f t="shared" si="28"/>
        <v>-3.1017503999999994E-2</v>
      </c>
      <c r="R193" s="47">
        <f t="shared" si="29"/>
        <v>3.1017503999999994E-2</v>
      </c>
      <c r="S193" s="48">
        <v>100</v>
      </c>
      <c r="T193" s="58" t="s">
        <v>724</v>
      </c>
    </row>
    <row r="194" spans="1:20" s="14" customFormat="1" ht="25.5" x14ac:dyDescent="0.25">
      <c r="A194" s="77" t="s">
        <v>25</v>
      </c>
      <c r="B194" s="61" t="s">
        <v>556</v>
      </c>
      <c r="C194" s="78" t="s">
        <v>557</v>
      </c>
      <c r="D194" s="47">
        <v>0</v>
      </c>
      <c r="E194" s="47">
        <v>0</v>
      </c>
      <c r="F194" s="47">
        <f t="shared" si="26"/>
        <v>0</v>
      </c>
      <c r="G194" s="47">
        <v>0</v>
      </c>
      <c r="H194" s="47">
        <f t="shared" si="27"/>
        <v>0.13769780399999998</v>
      </c>
      <c r="I194" s="47">
        <v>0</v>
      </c>
      <c r="J194" s="47">
        <v>0</v>
      </c>
      <c r="K194" s="47">
        <v>0</v>
      </c>
      <c r="L194" s="47">
        <v>0.13769780399999998</v>
      </c>
      <c r="M194" s="47">
        <v>0</v>
      </c>
      <c r="N194" s="47">
        <v>0</v>
      </c>
      <c r="O194" s="47">
        <v>0</v>
      </c>
      <c r="P194" s="47">
        <v>0</v>
      </c>
      <c r="Q194" s="47">
        <f t="shared" si="28"/>
        <v>-0.13769780399999998</v>
      </c>
      <c r="R194" s="47">
        <f t="shared" si="29"/>
        <v>0.13769780399999998</v>
      </c>
      <c r="S194" s="48">
        <v>100</v>
      </c>
      <c r="T194" s="58" t="s">
        <v>415</v>
      </c>
    </row>
    <row r="195" spans="1:20" s="14" customFormat="1" ht="26.25" x14ac:dyDescent="0.25">
      <c r="A195" s="77" t="s">
        <v>25</v>
      </c>
      <c r="B195" s="61" t="s">
        <v>121</v>
      </c>
      <c r="C195" s="62" t="s">
        <v>122</v>
      </c>
      <c r="D195" s="47">
        <v>0.30541317966101705</v>
      </c>
      <c r="E195" s="47">
        <v>0</v>
      </c>
      <c r="F195" s="47">
        <f t="shared" si="26"/>
        <v>0.30541317966101705</v>
      </c>
      <c r="G195" s="47">
        <f t="shared" ref="G195:H218" si="35">I195+K195+M195+O195</f>
        <v>0.30541317966101705</v>
      </c>
      <c r="H195" s="47">
        <f t="shared" si="27"/>
        <v>0.21459529199999999</v>
      </c>
      <c r="I195" s="47">
        <v>0</v>
      </c>
      <c r="J195" s="47">
        <v>0</v>
      </c>
      <c r="K195" s="47">
        <v>0</v>
      </c>
      <c r="L195" s="47">
        <v>0</v>
      </c>
      <c r="M195" s="47">
        <v>0.30541317966101705</v>
      </c>
      <c r="N195" s="47">
        <v>0.21459529199999999</v>
      </c>
      <c r="O195" s="47">
        <v>0</v>
      </c>
      <c r="P195" s="47">
        <v>0</v>
      </c>
      <c r="Q195" s="47">
        <f t="shared" si="28"/>
        <v>9.081788766101706E-2</v>
      </c>
      <c r="R195" s="47">
        <f t="shared" si="29"/>
        <v>-9.081788766101706E-2</v>
      </c>
      <c r="S195" s="48">
        <f t="shared" si="32"/>
        <v>-29.736073525647214</v>
      </c>
      <c r="T195" s="58" t="s">
        <v>981</v>
      </c>
    </row>
    <row r="196" spans="1:20" s="14" customFormat="1" ht="26.25" x14ac:dyDescent="0.25">
      <c r="A196" s="77" t="s">
        <v>25</v>
      </c>
      <c r="B196" s="61" t="s">
        <v>123</v>
      </c>
      <c r="C196" s="62" t="s">
        <v>124</v>
      </c>
      <c r="D196" s="47">
        <v>0.22905988474576283</v>
      </c>
      <c r="E196" s="47">
        <v>0</v>
      </c>
      <c r="F196" s="47">
        <f t="shared" si="26"/>
        <v>0.22905988474576283</v>
      </c>
      <c r="G196" s="47">
        <f t="shared" si="35"/>
        <v>0.22905988474576283</v>
      </c>
      <c r="H196" s="47">
        <f t="shared" si="27"/>
        <v>0.18500229600000001</v>
      </c>
      <c r="I196" s="47">
        <v>0</v>
      </c>
      <c r="J196" s="47">
        <v>0</v>
      </c>
      <c r="K196" s="47">
        <v>0</v>
      </c>
      <c r="L196" s="47">
        <v>0</v>
      </c>
      <c r="M196" s="47">
        <v>0.22905988474576283</v>
      </c>
      <c r="N196" s="47">
        <v>0.18500229600000001</v>
      </c>
      <c r="O196" s="47">
        <v>0</v>
      </c>
      <c r="P196" s="47">
        <v>0</v>
      </c>
      <c r="Q196" s="47">
        <f t="shared" si="28"/>
        <v>4.4057588745762821E-2</v>
      </c>
      <c r="R196" s="47">
        <f t="shared" si="29"/>
        <v>-4.4057588745762821E-2</v>
      </c>
      <c r="S196" s="48">
        <f t="shared" si="32"/>
        <v>-19.234091903374107</v>
      </c>
      <c r="T196" s="58" t="s">
        <v>981</v>
      </c>
    </row>
    <row r="197" spans="1:20" s="14" customFormat="1" ht="26.25" x14ac:dyDescent="0.25">
      <c r="A197" s="77" t="s">
        <v>25</v>
      </c>
      <c r="B197" s="61" t="s">
        <v>125</v>
      </c>
      <c r="C197" s="62" t="s">
        <v>126</v>
      </c>
      <c r="D197" s="47">
        <v>0.22905988474576283</v>
      </c>
      <c r="E197" s="47">
        <v>0</v>
      </c>
      <c r="F197" s="47">
        <f t="shared" si="26"/>
        <v>0.22905988474576283</v>
      </c>
      <c r="G197" s="47">
        <f t="shared" si="35"/>
        <v>0.22905988474576283</v>
      </c>
      <c r="H197" s="47">
        <f t="shared" si="27"/>
        <v>0.17336011199999998</v>
      </c>
      <c r="I197" s="47">
        <v>0</v>
      </c>
      <c r="J197" s="47">
        <v>0</v>
      </c>
      <c r="K197" s="47">
        <v>0</v>
      </c>
      <c r="L197" s="47">
        <v>0</v>
      </c>
      <c r="M197" s="47">
        <v>0.22905988474576283</v>
      </c>
      <c r="N197" s="47">
        <v>0.17336011199999998</v>
      </c>
      <c r="O197" s="47">
        <v>0</v>
      </c>
      <c r="P197" s="47">
        <v>0</v>
      </c>
      <c r="Q197" s="47">
        <f t="shared" si="28"/>
        <v>5.5699772745762849E-2</v>
      </c>
      <c r="R197" s="47">
        <f t="shared" si="29"/>
        <v>-5.5699772745762849E-2</v>
      </c>
      <c r="S197" s="48">
        <f t="shared" si="32"/>
        <v>-24.316685921493814</v>
      </c>
      <c r="T197" s="58" t="s">
        <v>981</v>
      </c>
    </row>
    <row r="198" spans="1:20" s="14" customFormat="1" ht="26.25" x14ac:dyDescent="0.25">
      <c r="A198" s="77" t="s">
        <v>25</v>
      </c>
      <c r="B198" s="61" t="s">
        <v>127</v>
      </c>
      <c r="C198" s="62" t="s">
        <v>128</v>
      </c>
      <c r="D198" s="47">
        <v>0.22905988474576283</v>
      </c>
      <c r="E198" s="47">
        <v>0</v>
      </c>
      <c r="F198" s="47">
        <f t="shared" si="26"/>
        <v>0.22905988474576283</v>
      </c>
      <c r="G198" s="47">
        <f t="shared" si="35"/>
        <v>0.22905988474576283</v>
      </c>
      <c r="H198" s="47">
        <f t="shared" si="27"/>
        <v>0.16745780399999999</v>
      </c>
      <c r="I198" s="47">
        <v>0</v>
      </c>
      <c r="J198" s="47">
        <v>0</v>
      </c>
      <c r="K198" s="47">
        <v>0</v>
      </c>
      <c r="L198" s="47">
        <v>0</v>
      </c>
      <c r="M198" s="47">
        <v>0.22905988474576283</v>
      </c>
      <c r="N198" s="47">
        <v>0.16745780399999999</v>
      </c>
      <c r="O198" s="47">
        <v>0</v>
      </c>
      <c r="P198" s="47">
        <v>0</v>
      </c>
      <c r="Q198" s="47">
        <f t="shared" si="28"/>
        <v>6.1602080745762844E-2</v>
      </c>
      <c r="R198" s="47">
        <f t="shared" si="29"/>
        <v>-6.1602080745762844E-2</v>
      </c>
      <c r="S198" s="48">
        <f t="shared" si="32"/>
        <v>-26.893439160739987</v>
      </c>
      <c r="T198" s="58" t="s">
        <v>981</v>
      </c>
    </row>
    <row r="199" spans="1:20" s="14" customFormat="1" ht="26.25" x14ac:dyDescent="0.25">
      <c r="A199" s="77" t="s">
        <v>25</v>
      </c>
      <c r="B199" s="61" t="s">
        <v>129</v>
      </c>
      <c r="C199" s="62" t="s">
        <v>130</v>
      </c>
      <c r="D199" s="47">
        <v>0.30541317966101705</v>
      </c>
      <c r="E199" s="47">
        <v>0</v>
      </c>
      <c r="F199" s="47">
        <f t="shared" si="26"/>
        <v>0.30541317966101705</v>
      </c>
      <c r="G199" s="47">
        <f t="shared" si="35"/>
        <v>0.30541317966101705</v>
      </c>
      <c r="H199" s="47">
        <f t="shared" si="27"/>
        <v>0.21564835199999999</v>
      </c>
      <c r="I199" s="47">
        <v>0</v>
      </c>
      <c r="J199" s="47">
        <v>0</v>
      </c>
      <c r="K199" s="47">
        <v>0</v>
      </c>
      <c r="L199" s="47">
        <v>0</v>
      </c>
      <c r="M199" s="47">
        <v>0.30541317966101705</v>
      </c>
      <c r="N199" s="47">
        <v>0.21564835199999999</v>
      </c>
      <c r="O199" s="47">
        <v>0</v>
      </c>
      <c r="P199" s="47">
        <v>0</v>
      </c>
      <c r="Q199" s="47">
        <f t="shared" si="28"/>
        <v>8.9764827661017066E-2</v>
      </c>
      <c r="R199" s="47">
        <f t="shared" si="29"/>
        <v>-8.9764827661017066E-2</v>
      </c>
      <c r="S199" s="48">
        <f t="shared" si="32"/>
        <v>-29.391275046037137</v>
      </c>
      <c r="T199" s="58" t="s">
        <v>981</v>
      </c>
    </row>
    <row r="200" spans="1:20" s="14" customFormat="1" ht="26.25" x14ac:dyDescent="0.25">
      <c r="A200" s="77" t="s">
        <v>25</v>
      </c>
      <c r="B200" s="61" t="s">
        <v>131</v>
      </c>
      <c r="C200" s="62" t="s">
        <v>132</v>
      </c>
      <c r="D200" s="47">
        <v>0.22905988474576283</v>
      </c>
      <c r="E200" s="47">
        <v>0</v>
      </c>
      <c r="F200" s="47">
        <f t="shared" si="26"/>
        <v>0.22905988474576283</v>
      </c>
      <c r="G200" s="47">
        <f t="shared" si="35"/>
        <v>0.22905988474576283</v>
      </c>
      <c r="H200" s="47">
        <f t="shared" si="27"/>
        <v>0.18262467599999996</v>
      </c>
      <c r="I200" s="47">
        <v>0</v>
      </c>
      <c r="J200" s="47">
        <v>0</v>
      </c>
      <c r="K200" s="47">
        <v>0</v>
      </c>
      <c r="L200" s="47">
        <v>0</v>
      </c>
      <c r="M200" s="47">
        <v>0.22905988474576283</v>
      </c>
      <c r="N200" s="47">
        <v>0.18262467599999996</v>
      </c>
      <c r="O200" s="47">
        <v>0</v>
      </c>
      <c r="P200" s="47">
        <v>0</v>
      </c>
      <c r="Q200" s="47">
        <f t="shared" si="28"/>
        <v>4.6435208745762874E-2</v>
      </c>
      <c r="R200" s="47">
        <f t="shared" si="29"/>
        <v>-4.6435208745762874E-2</v>
      </c>
      <c r="S200" s="48">
        <f t="shared" si="32"/>
        <v>-20.272082471927391</v>
      </c>
      <c r="T200" s="58" t="s">
        <v>981</v>
      </c>
    </row>
    <row r="201" spans="1:20" s="14" customFormat="1" ht="26.25" x14ac:dyDescent="0.25">
      <c r="A201" s="77" t="s">
        <v>25</v>
      </c>
      <c r="B201" s="49" t="s">
        <v>133</v>
      </c>
      <c r="C201" s="51" t="s">
        <v>134</v>
      </c>
      <c r="D201" s="47">
        <v>0.124959661016949</v>
      </c>
      <c r="E201" s="47">
        <v>0</v>
      </c>
      <c r="F201" s="47">
        <f t="shared" si="26"/>
        <v>0.124959661016949</v>
      </c>
      <c r="G201" s="47">
        <f t="shared" si="35"/>
        <v>0.124959661016949</v>
      </c>
      <c r="H201" s="47">
        <f t="shared" si="27"/>
        <v>0.16440484799999999</v>
      </c>
      <c r="I201" s="47">
        <v>0</v>
      </c>
      <c r="J201" s="47">
        <v>0</v>
      </c>
      <c r="K201" s="47">
        <v>0</v>
      </c>
      <c r="L201" s="47">
        <v>0</v>
      </c>
      <c r="M201" s="47">
        <v>0.124959661016949</v>
      </c>
      <c r="N201" s="47">
        <v>0.16440484799999999</v>
      </c>
      <c r="O201" s="47">
        <v>0</v>
      </c>
      <c r="P201" s="47">
        <v>0</v>
      </c>
      <c r="Q201" s="47">
        <f t="shared" si="28"/>
        <v>-3.9445186983050995E-2</v>
      </c>
      <c r="R201" s="47">
        <f t="shared" si="29"/>
        <v>3.9445186983050995E-2</v>
      </c>
      <c r="S201" s="48">
        <f t="shared" si="32"/>
        <v>31.566336417718674</v>
      </c>
      <c r="T201" s="58" t="s">
        <v>981</v>
      </c>
    </row>
    <row r="202" spans="1:20" s="14" customFormat="1" ht="26.25" x14ac:dyDescent="0.25">
      <c r="A202" s="77" t="s">
        <v>25</v>
      </c>
      <c r="B202" s="61" t="s">
        <v>135</v>
      </c>
      <c r="C202" s="62" t="s">
        <v>136</v>
      </c>
      <c r="D202" s="47">
        <v>0.37805489735593195</v>
      </c>
      <c r="E202" s="47">
        <v>0</v>
      </c>
      <c r="F202" s="47">
        <f t="shared" si="26"/>
        <v>0.37805489735593195</v>
      </c>
      <c r="G202" s="47">
        <f t="shared" si="35"/>
        <v>0.37805489735593195</v>
      </c>
      <c r="H202" s="47">
        <f t="shared" si="27"/>
        <v>0.27011065199999995</v>
      </c>
      <c r="I202" s="47">
        <v>0</v>
      </c>
      <c r="J202" s="47">
        <v>0</v>
      </c>
      <c r="K202" s="47">
        <v>0</v>
      </c>
      <c r="L202" s="47">
        <v>0</v>
      </c>
      <c r="M202" s="47">
        <v>0.37805489735593195</v>
      </c>
      <c r="N202" s="47">
        <v>0.27011065199999995</v>
      </c>
      <c r="O202" s="47">
        <v>0</v>
      </c>
      <c r="P202" s="47">
        <v>0</v>
      </c>
      <c r="Q202" s="47">
        <f t="shared" si="28"/>
        <v>0.107944245355932</v>
      </c>
      <c r="R202" s="47">
        <f t="shared" si="29"/>
        <v>-0.107944245355932</v>
      </c>
      <c r="S202" s="48">
        <f t="shared" si="32"/>
        <v>-28.552531949957626</v>
      </c>
      <c r="T202" s="58" t="s">
        <v>981</v>
      </c>
    </row>
    <row r="203" spans="1:20" s="14" customFormat="1" ht="38.25" x14ac:dyDescent="0.25">
      <c r="A203" s="77" t="s">
        <v>25</v>
      </c>
      <c r="B203" s="61" t="s">
        <v>137</v>
      </c>
      <c r="C203" s="62" t="s">
        <v>138</v>
      </c>
      <c r="D203" s="47">
        <v>0.13817999267796602</v>
      </c>
      <c r="E203" s="47">
        <v>0</v>
      </c>
      <c r="F203" s="47">
        <f t="shared" si="26"/>
        <v>0.13817999267796602</v>
      </c>
      <c r="G203" s="47">
        <f t="shared" si="35"/>
        <v>0.13817999267796602</v>
      </c>
      <c r="H203" s="47">
        <f t="shared" si="27"/>
        <v>0.15949382399999998</v>
      </c>
      <c r="I203" s="47">
        <v>0</v>
      </c>
      <c r="J203" s="47">
        <v>0</v>
      </c>
      <c r="K203" s="47">
        <v>0</v>
      </c>
      <c r="L203" s="47">
        <v>0</v>
      </c>
      <c r="M203" s="47">
        <v>0.13817999267796602</v>
      </c>
      <c r="N203" s="47">
        <v>0.15949382399999998</v>
      </c>
      <c r="O203" s="47">
        <v>0</v>
      </c>
      <c r="P203" s="47">
        <v>0</v>
      </c>
      <c r="Q203" s="47">
        <f t="shared" si="28"/>
        <v>-2.131383132203396E-2</v>
      </c>
      <c r="R203" s="47">
        <f t="shared" si="29"/>
        <v>2.131383132203396E-2</v>
      </c>
      <c r="S203" s="48">
        <f t="shared" si="32"/>
        <v>15.424686967314202</v>
      </c>
      <c r="T203" s="58" t="s">
        <v>982</v>
      </c>
    </row>
    <row r="204" spans="1:20" s="14" customFormat="1" ht="26.25" x14ac:dyDescent="0.25">
      <c r="A204" s="77" t="s">
        <v>25</v>
      </c>
      <c r="B204" s="61" t="s">
        <v>139</v>
      </c>
      <c r="C204" s="62" t="s">
        <v>140</v>
      </c>
      <c r="D204" s="47">
        <v>0.14529864467796602</v>
      </c>
      <c r="E204" s="47">
        <v>0</v>
      </c>
      <c r="F204" s="47">
        <f t="shared" si="26"/>
        <v>0.14529864467796602</v>
      </c>
      <c r="G204" s="47">
        <f t="shared" si="35"/>
        <v>0.14529864467796602</v>
      </c>
      <c r="H204" s="47">
        <f t="shared" si="27"/>
        <v>0.129994464</v>
      </c>
      <c r="I204" s="47">
        <v>0</v>
      </c>
      <c r="J204" s="47">
        <v>0</v>
      </c>
      <c r="K204" s="47">
        <v>0</v>
      </c>
      <c r="L204" s="47">
        <v>0</v>
      </c>
      <c r="M204" s="47">
        <v>0.14529864467796602</v>
      </c>
      <c r="N204" s="47">
        <v>0.129994464</v>
      </c>
      <c r="O204" s="47">
        <v>0</v>
      </c>
      <c r="P204" s="47">
        <v>0</v>
      </c>
      <c r="Q204" s="47">
        <f t="shared" ref="Q204:Q267" si="36">F204-H204</f>
        <v>1.5304180677966017E-2</v>
      </c>
      <c r="R204" s="47">
        <f t="shared" si="29"/>
        <v>-1.5304180677966017E-2</v>
      </c>
      <c r="S204" s="48">
        <f t="shared" si="32"/>
        <v>-10.532913580773979</v>
      </c>
      <c r="T204" s="58" t="s">
        <v>981</v>
      </c>
    </row>
    <row r="205" spans="1:20" s="14" customFormat="1" ht="26.25" x14ac:dyDescent="0.25">
      <c r="A205" s="77" t="s">
        <v>25</v>
      </c>
      <c r="B205" s="61" t="s">
        <v>141</v>
      </c>
      <c r="C205" s="62" t="s">
        <v>142</v>
      </c>
      <c r="D205" s="47">
        <v>0.34699626101694897</v>
      </c>
      <c r="E205" s="47">
        <v>0</v>
      </c>
      <c r="F205" s="47">
        <f t="shared" si="26"/>
        <v>0.34699626101694897</v>
      </c>
      <c r="G205" s="47">
        <f t="shared" si="35"/>
        <v>0.34699626101694897</v>
      </c>
      <c r="H205" s="47">
        <f t="shared" si="27"/>
        <v>0.32363993999999996</v>
      </c>
      <c r="I205" s="47">
        <v>0</v>
      </c>
      <c r="J205" s="47">
        <v>0</v>
      </c>
      <c r="K205" s="47">
        <v>0</v>
      </c>
      <c r="L205" s="47">
        <v>0</v>
      </c>
      <c r="M205" s="47">
        <v>0.34699626101694897</v>
      </c>
      <c r="N205" s="47">
        <v>0.32363993999999996</v>
      </c>
      <c r="O205" s="47">
        <v>0</v>
      </c>
      <c r="P205" s="47">
        <v>0</v>
      </c>
      <c r="Q205" s="47">
        <f t="shared" si="36"/>
        <v>2.3356321016949011E-2</v>
      </c>
      <c r="R205" s="47">
        <f t="shared" ref="R205:R268" si="37">(J205+L205+N205+P205)-(I205+K205+M205+O205)</f>
        <v>-2.3356321016949011E-2</v>
      </c>
      <c r="S205" s="48">
        <f t="shared" ref="S205:S255" si="38">(J205+L205+N205+P205)/(I205+K205+M205+O205)*100-100</f>
        <v>-6.7310007746187637</v>
      </c>
      <c r="T205" s="63" t="s">
        <v>48</v>
      </c>
    </row>
    <row r="206" spans="1:20" s="14" customFormat="1" ht="38.25" x14ac:dyDescent="0.25">
      <c r="A206" s="77" t="s">
        <v>25</v>
      </c>
      <c r="B206" s="61" t="s">
        <v>143</v>
      </c>
      <c r="C206" s="62" t="s">
        <v>144</v>
      </c>
      <c r="D206" s="47">
        <v>5.4873551999999999E-2</v>
      </c>
      <c r="E206" s="47">
        <v>0</v>
      </c>
      <c r="F206" s="47">
        <f t="shared" ref="F206:F269" si="39">D206-E206</f>
        <v>5.4873551999999999E-2</v>
      </c>
      <c r="G206" s="47">
        <f t="shared" si="35"/>
        <v>5.4873551999999999E-2</v>
      </c>
      <c r="H206" s="47">
        <f t="shared" si="27"/>
        <v>7.2595967999999997E-2</v>
      </c>
      <c r="I206" s="47">
        <v>0</v>
      </c>
      <c r="J206" s="47">
        <v>0</v>
      </c>
      <c r="K206" s="47">
        <v>0</v>
      </c>
      <c r="L206" s="47">
        <v>0</v>
      </c>
      <c r="M206" s="47">
        <v>5.4873551999999999E-2</v>
      </c>
      <c r="N206" s="47">
        <v>7.2595967999999997E-2</v>
      </c>
      <c r="O206" s="47">
        <v>0</v>
      </c>
      <c r="P206" s="47">
        <v>0</v>
      </c>
      <c r="Q206" s="47">
        <f t="shared" si="36"/>
        <v>-1.7722415999999998E-2</v>
      </c>
      <c r="R206" s="47">
        <f t="shared" si="37"/>
        <v>1.7722415999999998E-2</v>
      </c>
      <c r="S206" s="48">
        <f t="shared" si="38"/>
        <v>32.296826711709855</v>
      </c>
      <c r="T206" s="58" t="s">
        <v>982</v>
      </c>
    </row>
    <row r="207" spans="1:20" s="14" customFormat="1" ht="26.25" x14ac:dyDescent="0.25">
      <c r="A207" s="77" t="s">
        <v>25</v>
      </c>
      <c r="B207" s="61" t="s">
        <v>145</v>
      </c>
      <c r="C207" s="62" t="s">
        <v>146</v>
      </c>
      <c r="D207" s="47">
        <v>0.13919694467796601</v>
      </c>
      <c r="E207" s="47">
        <v>0</v>
      </c>
      <c r="F207" s="47">
        <f t="shared" si="39"/>
        <v>0.13919694467796601</v>
      </c>
      <c r="G207" s="47">
        <f t="shared" si="35"/>
        <v>0.13919694467796601</v>
      </c>
      <c r="H207" s="47">
        <f t="shared" si="27"/>
        <v>0.13773580799999999</v>
      </c>
      <c r="I207" s="47">
        <v>0</v>
      </c>
      <c r="J207" s="47">
        <v>0</v>
      </c>
      <c r="K207" s="47">
        <v>0</v>
      </c>
      <c r="L207" s="47">
        <v>0</v>
      </c>
      <c r="M207" s="47">
        <v>0.13919694467796601</v>
      </c>
      <c r="N207" s="47">
        <v>0.13773580799999999</v>
      </c>
      <c r="O207" s="47">
        <v>0</v>
      </c>
      <c r="P207" s="47">
        <v>0</v>
      </c>
      <c r="Q207" s="47">
        <f t="shared" si="36"/>
        <v>1.4611366779660184E-3</v>
      </c>
      <c r="R207" s="47">
        <f t="shared" si="37"/>
        <v>-1.4611366779660184E-3</v>
      </c>
      <c r="S207" s="48">
        <f t="shared" si="38"/>
        <v>-1.0496901935213998</v>
      </c>
      <c r="T207" s="63" t="s">
        <v>48</v>
      </c>
    </row>
    <row r="208" spans="1:20" s="14" customFormat="1" ht="26.25" x14ac:dyDescent="0.25">
      <c r="A208" s="77" t="s">
        <v>25</v>
      </c>
      <c r="B208" s="61" t="s">
        <v>147</v>
      </c>
      <c r="C208" s="62" t="s">
        <v>148</v>
      </c>
      <c r="D208" s="47">
        <v>0.19407050033898296</v>
      </c>
      <c r="E208" s="47">
        <v>0</v>
      </c>
      <c r="F208" s="47">
        <f t="shared" si="39"/>
        <v>0.19407050033898296</v>
      </c>
      <c r="G208" s="47">
        <f t="shared" si="35"/>
        <v>0.19407050033898296</v>
      </c>
      <c r="H208" s="47">
        <f t="shared" si="35"/>
        <v>0.19612932</v>
      </c>
      <c r="I208" s="47">
        <v>0</v>
      </c>
      <c r="J208" s="47">
        <v>0</v>
      </c>
      <c r="K208" s="47">
        <v>0</v>
      </c>
      <c r="L208" s="47">
        <v>0</v>
      </c>
      <c r="M208" s="47">
        <v>0.19407050033898296</v>
      </c>
      <c r="N208" s="47">
        <v>0.19612932</v>
      </c>
      <c r="O208" s="47">
        <v>0</v>
      </c>
      <c r="P208" s="47">
        <v>0</v>
      </c>
      <c r="Q208" s="47">
        <f t="shared" si="36"/>
        <v>-2.0588196610170362E-3</v>
      </c>
      <c r="R208" s="47">
        <f t="shared" si="37"/>
        <v>2.0588196610170362E-3</v>
      </c>
      <c r="S208" s="48">
        <f t="shared" si="38"/>
        <v>1.0608617267543963</v>
      </c>
      <c r="T208" s="63" t="s">
        <v>48</v>
      </c>
    </row>
    <row r="209" spans="1:20" s="14" customFormat="1" x14ac:dyDescent="0.25">
      <c r="A209" s="77" t="s">
        <v>25</v>
      </c>
      <c r="B209" s="61" t="s">
        <v>149</v>
      </c>
      <c r="C209" s="62" t="s">
        <v>150</v>
      </c>
      <c r="D209" s="47">
        <v>1.139064467796612</v>
      </c>
      <c r="E209" s="47">
        <v>0</v>
      </c>
      <c r="F209" s="47">
        <f t="shared" si="39"/>
        <v>1.139064467796612</v>
      </c>
      <c r="G209" s="47">
        <f t="shared" si="35"/>
        <v>1.139064467796612</v>
      </c>
      <c r="H209" s="47">
        <f t="shared" si="35"/>
        <v>1.0296516840000001</v>
      </c>
      <c r="I209" s="47">
        <v>0</v>
      </c>
      <c r="J209" s="47">
        <v>0</v>
      </c>
      <c r="K209" s="47">
        <v>1.139064467796612</v>
      </c>
      <c r="L209" s="47">
        <v>0</v>
      </c>
      <c r="M209" s="47">
        <v>0</v>
      </c>
      <c r="N209" s="47">
        <v>0</v>
      </c>
      <c r="O209" s="47">
        <v>0</v>
      </c>
      <c r="P209" s="47">
        <v>1.0296516840000001</v>
      </c>
      <c r="Q209" s="47">
        <f t="shared" si="36"/>
        <v>0.1094127837966119</v>
      </c>
      <c r="R209" s="47">
        <f t="shared" si="37"/>
        <v>-0.1094127837966119</v>
      </c>
      <c r="S209" s="48">
        <f t="shared" si="38"/>
        <v>-9.6054952893279335</v>
      </c>
      <c r="T209" s="63" t="s">
        <v>48</v>
      </c>
    </row>
    <row r="210" spans="1:20" s="14" customFormat="1" x14ac:dyDescent="0.25">
      <c r="A210" s="77" t="s">
        <v>25</v>
      </c>
      <c r="B210" s="61" t="s">
        <v>151</v>
      </c>
      <c r="C210" s="62" t="s">
        <v>152</v>
      </c>
      <c r="D210" s="47">
        <v>4.5562578711864479</v>
      </c>
      <c r="E210" s="47">
        <v>0</v>
      </c>
      <c r="F210" s="47">
        <f t="shared" si="39"/>
        <v>4.5562578711864479</v>
      </c>
      <c r="G210" s="47">
        <f t="shared" si="35"/>
        <v>4.5562578711864479</v>
      </c>
      <c r="H210" s="47">
        <f t="shared" si="35"/>
        <v>4.1139489839999994</v>
      </c>
      <c r="I210" s="47">
        <v>0</v>
      </c>
      <c r="J210" s="47">
        <v>0</v>
      </c>
      <c r="K210" s="47">
        <v>4.5562578711864479</v>
      </c>
      <c r="L210" s="47">
        <v>0</v>
      </c>
      <c r="M210" s="47">
        <v>0</v>
      </c>
      <c r="N210" s="47">
        <v>0</v>
      </c>
      <c r="O210" s="47">
        <v>0</v>
      </c>
      <c r="P210" s="47">
        <v>4.1139489839999994</v>
      </c>
      <c r="Q210" s="47">
        <f t="shared" si="36"/>
        <v>0.44230888718644845</v>
      </c>
      <c r="R210" s="47">
        <f t="shared" si="37"/>
        <v>-0.44230888718644845</v>
      </c>
      <c r="S210" s="48">
        <f t="shared" si="38"/>
        <v>-9.7077228658102968</v>
      </c>
      <c r="T210" s="63" t="s">
        <v>48</v>
      </c>
    </row>
    <row r="211" spans="1:20" s="14" customFormat="1" ht="28.5" customHeight="1" x14ac:dyDescent="0.25">
      <c r="A211" s="77" t="s">
        <v>25</v>
      </c>
      <c r="B211" s="61" t="s">
        <v>153</v>
      </c>
      <c r="C211" s="62" t="s">
        <v>154</v>
      </c>
      <c r="D211" s="47">
        <v>3.7968815593220393</v>
      </c>
      <c r="E211" s="47">
        <v>0</v>
      </c>
      <c r="F211" s="47">
        <f t="shared" si="39"/>
        <v>3.7968815593220393</v>
      </c>
      <c r="G211" s="47">
        <f t="shared" si="35"/>
        <v>3.7968815593220393</v>
      </c>
      <c r="H211" s="47">
        <f t="shared" si="35"/>
        <v>3.1869785639999999</v>
      </c>
      <c r="I211" s="47">
        <v>0</v>
      </c>
      <c r="J211" s="47">
        <v>0</v>
      </c>
      <c r="K211" s="47">
        <v>0</v>
      </c>
      <c r="L211" s="47">
        <v>0</v>
      </c>
      <c r="M211" s="47">
        <v>3.7968815593220393</v>
      </c>
      <c r="N211" s="47">
        <v>0</v>
      </c>
      <c r="O211" s="47">
        <v>0</v>
      </c>
      <c r="P211" s="47">
        <v>3.1869785639999999</v>
      </c>
      <c r="Q211" s="47">
        <f t="shared" si="36"/>
        <v>0.6099029953220394</v>
      </c>
      <c r="R211" s="47">
        <f t="shared" si="37"/>
        <v>-0.6099029953220394</v>
      </c>
      <c r="S211" s="48">
        <f t="shared" si="38"/>
        <v>-16.063261015467177</v>
      </c>
      <c r="T211" s="58" t="s">
        <v>981</v>
      </c>
    </row>
    <row r="212" spans="1:20" s="14" customFormat="1" ht="25.5" x14ac:dyDescent="0.25">
      <c r="A212" s="77" t="s">
        <v>25</v>
      </c>
      <c r="B212" s="61" t="s">
        <v>155</v>
      </c>
      <c r="C212" s="62" t="s">
        <v>156</v>
      </c>
      <c r="D212" s="47">
        <v>3.7968815593220393</v>
      </c>
      <c r="E212" s="47">
        <v>0</v>
      </c>
      <c r="F212" s="47">
        <f t="shared" si="39"/>
        <v>3.7968815593220393</v>
      </c>
      <c r="G212" s="47">
        <f t="shared" si="35"/>
        <v>3.7968815593220393</v>
      </c>
      <c r="H212" s="47">
        <f t="shared" si="35"/>
        <v>3.349532832</v>
      </c>
      <c r="I212" s="47">
        <v>0</v>
      </c>
      <c r="J212" s="47">
        <v>0</v>
      </c>
      <c r="K212" s="47">
        <v>0</v>
      </c>
      <c r="L212" s="47">
        <v>0</v>
      </c>
      <c r="M212" s="47">
        <v>3.7968815593220393</v>
      </c>
      <c r="N212" s="47">
        <v>0</v>
      </c>
      <c r="O212" s="47">
        <v>0</v>
      </c>
      <c r="P212" s="47">
        <v>3.349532832</v>
      </c>
      <c r="Q212" s="47">
        <f t="shared" si="36"/>
        <v>0.44734872732203934</v>
      </c>
      <c r="R212" s="47">
        <f t="shared" si="37"/>
        <v>-0.44734872732203934</v>
      </c>
      <c r="S212" s="48">
        <f t="shared" si="38"/>
        <v>-11.782003739982784</v>
      </c>
      <c r="T212" s="58" t="s">
        <v>981</v>
      </c>
    </row>
    <row r="213" spans="1:20" s="14" customFormat="1" ht="25.5" x14ac:dyDescent="0.25">
      <c r="A213" s="77" t="s">
        <v>25</v>
      </c>
      <c r="B213" s="61" t="s">
        <v>157</v>
      </c>
      <c r="C213" s="62" t="s">
        <v>158</v>
      </c>
      <c r="D213" s="47">
        <v>1.8984407796610197</v>
      </c>
      <c r="E213" s="47">
        <v>0</v>
      </c>
      <c r="F213" s="47">
        <f t="shared" si="39"/>
        <v>1.8984407796610197</v>
      </c>
      <c r="G213" s="47">
        <f t="shared" si="35"/>
        <v>1.8984407796610197</v>
      </c>
      <c r="H213" s="47">
        <f t="shared" si="35"/>
        <v>1.5254564639999999</v>
      </c>
      <c r="I213" s="47">
        <v>0</v>
      </c>
      <c r="J213" s="47">
        <v>0</v>
      </c>
      <c r="K213" s="47">
        <v>0</v>
      </c>
      <c r="L213" s="47">
        <v>0</v>
      </c>
      <c r="M213" s="47">
        <v>1.8984407796610197</v>
      </c>
      <c r="N213" s="47">
        <v>0</v>
      </c>
      <c r="O213" s="47">
        <v>0</v>
      </c>
      <c r="P213" s="47">
        <v>1.5254564639999999</v>
      </c>
      <c r="Q213" s="47">
        <f t="shared" si="36"/>
        <v>0.37298431566101975</v>
      </c>
      <c r="R213" s="47">
        <f t="shared" si="37"/>
        <v>-0.37298431566101975</v>
      </c>
      <c r="S213" s="48">
        <f t="shared" si="38"/>
        <v>-19.646876513452199</v>
      </c>
      <c r="T213" s="58" t="s">
        <v>981</v>
      </c>
    </row>
    <row r="214" spans="1:20" s="14" customFormat="1" ht="25.5" x14ac:dyDescent="0.25">
      <c r="A214" s="77" t="s">
        <v>25</v>
      </c>
      <c r="B214" s="61" t="s">
        <v>159</v>
      </c>
      <c r="C214" s="62" t="s">
        <v>160</v>
      </c>
      <c r="D214" s="47">
        <v>0.37968815593220395</v>
      </c>
      <c r="E214" s="47">
        <v>0</v>
      </c>
      <c r="F214" s="47">
        <f t="shared" si="39"/>
        <v>0.37968815593220395</v>
      </c>
      <c r="G214" s="47">
        <f t="shared" si="35"/>
        <v>0.37968815593220395</v>
      </c>
      <c r="H214" s="47">
        <f t="shared" si="35"/>
        <v>0.33501418799999999</v>
      </c>
      <c r="I214" s="47">
        <v>0</v>
      </c>
      <c r="J214" s="47">
        <v>0</v>
      </c>
      <c r="K214" s="47">
        <v>0</v>
      </c>
      <c r="L214" s="47">
        <v>0</v>
      </c>
      <c r="M214" s="47">
        <v>0.37968815593220395</v>
      </c>
      <c r="N214" s="47">
        <v>0</v>
      </c>
      <c r="O214" s="47">
        <v>0</v>
      </c>
      <c r="P214" s="47">
        <v>0.33501418799999999</v>
      </c>
      <c r="Q214" s="47">
        <f t="shared" si="36"/>
        <v>4.4673967932203962E-2</v>
      </c>
      <c r="R214" s="47">
        <f t="shared" si="37"/>
        <v>-4.4673967932203962E-2</v>
      </c>
      <c r="S214" s="48">
        <f t="shared" si="38"/>
        <v>-11.765962997323726</v>
      </c>
      <c r="T214" s="58" t="s">
        <v>981</v>
      </c>
    </row>
    <row r="215" spans="1:20" s="14" customFormat="1" x14ac:dyDescent="0.25">
      <c r="A215" s="77" t="s">
        <v>25</v>
      </c>
      <c r="B215" s="61" t="s">
        <v>380</v>
      </c>
      <c r="C215" s="78" t="s">
        <v>381</v>
      </c>
      <c r="D215" s="47">
        <v>0</v>
      </c>
      <c r="E215" s="47">
        <v>0</v>
      </c>
      <c r="F215" s="47">
        <f t="shared" si="39"/>
        <v>0</v>
      </c>
      <c r="G215" s="47">
        <f t="shared" si="35"/>
        <v>0</v>
      </c>
      <c r="H215" s="47">
        <f t="shared" si="35"/>
        <v>4.1981141520000005</v>
      </c>
      <c r="I215" s="47">
        <v>0</v>
      </c>
      <c r="J215" s="47">
        <v>4.1981141520000005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f t="shared" si="36"/>
        <v>-4.1981141520000005</v>
      </c>
      <c r="R215" s="47">
        <f t="shared" si="37"/>
        <v>4.1981141520000005</v>
      </c>
      <c r="S215" s="48">
        <v>100</v>
      </c>
      <c r="T215" s="89" t="s">
        <v>983</v>
      </c>
    </row>
    <row r="216" spans="1:20" s="14" customFormat="1" x14ac:dyDescent="0.25">
      <c r="A216" s="77" t="s">
        <v>25</v>
      </c>
      <c r="B216" s="61" t="s">
        <v>382</v>
      </c>
      <c r="C216" s="78" t="s">
        <v>383</v>
      </c>
      <c r="D216" s="47">
        <v>0</v>
      </c>
      <c r="E216" s="47">
        <v>0</v>
      </c>
      <c r="F216" s="47">
        <f t="shared" si="39"/>
        <v>0</v>
      </c>
      <c r="G216" s="47">
        <f t="shared" si="35"/>
        <v>0</v>
      </c>
      <c r="H216" s="47">
        <f t="shared" si="35"/>
        <v>3.3482836319999998</v>
      </c>
      <c r="I216" s="47">
        <v>0</v>
      </c>
      <c r="J216" s="47">
        <v>3.3482836319999998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f t="shared" si="36"/>
        <v>-3.3482836319999998</v>
      </c>
      <c r="R216" s="47">
        <f t="shared" si="37"/>
        <v>3.3482836319999998</v>
      </c>
      <c r="S216" s="48">
        <v>100</v>
      </c>
      <c r="T216" s="90"/>
    </row>
    <row r="217" spans="1:20" s="14" customFormat="1" x14ac:dyDescent="0.25">
      <c r="A217" s="77" t="s">
        <v>25</v>
      </c>
      <c r="B217" s="61" t="s">
        <v>384</v>
      </c>
      <c r="C217" s="78" t="s">
        <v>385</v>
      </c>
      <c r="D217" s="47">
        <v>0</v>
      </c>
      <c r="E217" s="47">
        <v>0</v>
      </c>
      <c r="F217" s="47">
        <f t="shared" si="39"/>
        <v>0</v>
      </c>
      <c r="G217" s="47">
        <f t="shared" si="35"/>
        <v>0</v>
      </c>
      <c r="H217" s="47">
        <f t="shared" si="35"/>
        <v>4.0035611400000004</v>
      </c>
      <c r="I217" s="47">
        <v>0</v>
      </c>
      <c r="J217" s="47">
        <v>4.0035611400000004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f t="shared" si="36"/>
        <v>-4.0035611400000004</v>
      </c>
      <c r="R217" s="47">
        <f t="shared" si="37"/>
        <v>4.0035611400000004</v>
      </c>
      <c r="S217" s="48">
        <v>100</v>
      </c>
      <c r="T217" s="90"/>
    </row>
    <row r="218" spans="1:20" s="14" customFormat="1" x14ac:dyDescent="0.25">
      <c r="A218" s="77" t="s">
        <v>25</v>
      </c>
      <c r="B218" s="61" t="s">
        <v>386</v>
      </c>
      <c r="C218" s="78" t="s">
        <v>387</v>
      </c>
      <c r="D218" s="47">
        <v>0</v>
      </c>
      <c r="E218" s="47">
        <v>0</v>
      </c>
      <c r="F218" s="47">
        <f t="shared" si="39"/>
        <v>0</v>
      </c>
      <c r="G218" s="47">
        <f t="shared" si="35"/>
        <v>0</v>
      </c>
      <c r="H218" s="47">
        <f t="shared" si="35"/>
        <v>3.3553727519999996</v>
      </c>
      <c r="I218" s="47">
        <v>0</v>
      </c>
      <c r="J218" s="47">
        <v>3.3553727519999996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f t="shared" si="36"/>
        <v>-3.3553727519999996</v>
      </c>
      <c r="R218" s="47">
        <f t="shared" si="37"/>
        <v>3.3553727519999996</v>
      </c>
      <c r="S218" s="48">
        <v>100</v>
      </c>
      <c r="T218" s="91"/>
    </row>
    <row r="219" spans="1:20" s="14" customFormat="1" ht="51" x14ac:dyDescent="0.25">
      <c r="A219" s="77" t="s">
        <v>25</v>
      </c>
      <c r="B219" s="61" t="s">
        <v>558</v>
      </c>
      <c r="C219" s="78" t="s">
        <v>559</v>
      </c>
      <c r="D219" s="47">
        <v>0</v>
      </c>
      <c r="E219" s="47">
        <v>0</v>
      </c>
      <c r="F219" s="47">
        <f t="shared" si="39"/>
        <v>0</v>
      </c>
      <c r="G219" s="47">
        <v>0</v>
      </c>
      <c r="H219" s="47">
        <f t="shared" ref="H219:H282" si="40">J219+L219+N219+P219</f>
        <v>5.9802168000000003E-2</v>
      </c>
      <c r="I219" s="47">
        <v>0</v>
      </c>
      <c r="J219" s="47">
        <v>0</v>
      </c>
      <c r="K219" s="47">
        <v>0</v>
      </c>
      <c r="L219" s="47">
        <v>5.9802168000000003E-2</v>
      </c>
      <c r="M219" s="47">
        <v>0</v>
      </c>
      <c r="N219" s="47">
        <v>0</v>
      </c>
      <c r="O219" s="47">
        <v>0</v>
      </c>
      <c r="P219" s="47">
        <v>0</v>
      </c>
      <c r="Q219" s="47">
        <f t="shared" si="36"/>
        <v>-5.9802168000000003E-2</v>
      </c>
      <c r="R219" s="47">
        <f t="shared" si="37"/>
        <v>5.9802168000000003E-2</v>
      </c>
      <c r="S219" s="48">
        <v>100</v>
      </c>
      <c r="T219" s="58" t="s">
        <v>725</v>
      </c>
    </row>
    <row r="220" spans="1:20" s="14" customFormat="1" x14ac:dyDescent="0.25">
      <c r="A220" s="77" t="s">
        <v>25</v>
      </c>
      <c r="B220" s="49" t="s">
        <v>161</v>
      </c>
      <c r="C220" s="51" t="s">
        <v>162</v>
      </c>
      <c r="D220" s="47">
        <v>0.36204500338983125</v>
      </c>
      <c r="E220" s="47">
        <v>0</v>
      </c>
      <c r="F220" s="47">
        <f t="shared" si="39"/>
        <v>0.36204500338983125</v>
      </c>
      <c r="G220" s="47">
        <f t="shared" ref="G220:G229" si="41">I220+K220+M220+O220</f>
        <v>0.36204500338983125</v>
      </c>
      <c r="H220" s="47">
        <f t="shared" si="40"/>
        <v>0.39439291200000004</v>
      </c>
      <c r="I220" s="47">
        <v>0</v>
      </c>
      <c r="J220" s="47">
        <v>0</v>
      </c>
      <c r="K220" s="47">
        <v>0.36204500338983125</v>
      </c>
      <c r="L220" s="47">
        <v>0</v>
      </c>
      <c r="M220" s="47">
        <v>0</v>
      </c>
      <c r="N220" s="47">
        <v>0</v>
      </c>
      <c r="O220" s="47">
        <v>0</v>
      </c>
      <c r="P220" s="47">
        <v>0.39439291200000004</v>
      </c>
      <c r="Q220" s="47">
        <f t="shared" si="36"/>
        <v>-3.2347908610168785E-2</v>
      </c>
      <c r="R220" s="47">
        <f t="shared" si="37"/>
        <v>3.2347908610168785E-2</v>
      </c>
      <c r="S220" s="48">
        <f t="shared" si="38"/>
        <v>8.9347755962090361</v>
      </c>
      <c r="T220" s="76" t="s">
        <v>48</v>
      </c>
    </row>
    <row r="221" spans="1:20" s="14" customFormat="1" x14ac:dyDescent="0.25">
      <c r="A221" s="77" t="s">
        <v>25</v>
      </c>
      <c r="B221" s="49" t="s">
        <v>163</v>
      </c>
      <c r="C221" s="51" t="s">
        <v>164</v>
      </c>
      <c r="D221" s="47">
        <v>0.36204500338983125</v>
      </c>
      <c r="E221" s="47">
        <v>0</v>
      </c>
      <c r="F221" s="47">
        <f t="shared" si="39"/>
        <v>0.36204500338983125</v>
      </c>
      <c r="G221" s="47">
        <f t="shared" si="41"/>
        <v>0.36204500338983125</v>
      </c>
      <c r="H221" s="47">
        <f t="shared" si="40"/>
        <v>0.39387921600000003</v>
      </c>
      <c r="I221" s="47">
        <v>0</v>
      </c>
      <c r="J221" s="47">
        <v>0</v>
      </c>
      <c r="K221" s="47">
        <v>0.36204500338983125</v>
      </c>
      <c r="L221" s="47">
        <v>0</v>
      </c>
      <c r="M221" s="47">
        <v>0</v>
      </c>
      <c r="N221" s="47">
        <v>0.37270003200000001</v>
      </c>
      <c r="O221" s="47">
        <v>0</v>
      </c>
      <c r="P221" s="47">
        <v>2.1179184E-2</v>
      </c>
      <c r="Q221" s="47">
        <f t="shared" si="36"/>
        <v>-3.1834212610168777E-2</v>
      </c>
      <c r="R221" s="47">
        <f t="shared" si="37"/>
        <v>3.1834212610168777E-2</v>
      </c>
      <c r="S221" s="48">
        <f t="shared" si="38"/>
        <v>8.7928882630901484</v>
      </c>
      <c r="T221" s="76" t="s">
        <v>48</v>
      </c>
    </row>
    <row r="222" spans="1:20" s="14" customFormat="1" x14ac:dyDescent="0.25">
      <c r="A222" s="77" t="s">
        <v>25</v>
      </c>
      <c r="B222" s="49" t="s">
        <v>165</v>
      </c>
      <c r="C222" s="51" t="s">
        <v>166</v>
      </c>
      <c r="D222" s="47">
        <v>0.36204500338983125</v>
      </c>
      <c r="E222" s="47">
        <v>0</v>
      </c>
      <c r="F222" s="47">
        <f t="shared" si="39"/>
        <v>0.36204500338983125</v>
      </c>
      <c r="G222" s="47">
        <f t="shared" si="41"/>
        <v>0.36204500338983125</v>
      </c>
      <c r="H222" s="47">
        <f t="shared" si="40"/>
        <v>0.38965463999999994</v>
      </c>
      <c r="I222" s="47">
        <v>0</v>
      </c>
      <c r="J222" s="47">
        <v>0</v>
      </c>
      <c r="K222" s="47">
        <v>0</v>
      </c>
      <c r="L222" s="47">
        <v>0</v>
      </c>
      <c r="M222" s="47">
        <v>0.36204500338983125</v>
      </c>
      <c r="N222" s="47">
        <v>0.38965463999999994</v>
      </c>
      <c r="O222" s="47">
        <v>0</v>
      </c>
      <c r="P222" s="47">
        <v>0</v>
      </c>
      <c r="Q222" s="47">
        <f t="shared" si="36"/>
        <v>-2.7609636610168686E-2</v>
      </c>
      <c r="R222" s="47">
        <f t="shared" si="37"/>
        <v>2.7609636610168686E-2</v>
      </c>
      <c r="S222" s="48">
        <f t="shared" si="38"/>
        <v>7.626023381529734</v>
      </c>
      <c r="T222" s="76" t="s">
        <v>48</v>
      </c>
    </row>
    <row r="223" spans="1:20" s="14" customFormat="1" x14ac:dyDescent="0.25">
      <c r="A223" s="77" t="s">
        <v>25</v>
      </c>
      <c r="B223" s="49" t="s">
        <v>167</v>
      </c>
      <c r="C223" s="51" t="s">
        <v>168</v>
      </c>
      <c r="D223" s="47">
        <v>0.36204500338983125</v>
      </c>
      <c r="E223" s="47">
        <v>0</v>
      </c>
      <c r="F223" s="47">
        <f t="shared" si="39"/>
        <v>0.36204500338983125</v>
      </c>
      <c r="G223" s="47">
        <f t="shared" si="41"/>
        <v>0.36204500338983125</v>
      </c>
      <c r="H223" s="47">
        <f t="shared" si="40"/>
        <v>0.39224984399999996</v>
      </c>
      <c r="I223" s="47">
        <v>0</v>
      </c>
      <c r="J223" s="47">
        <v>0</v>
      </c>
      <c r="K223" s="47">
        <v>0</v>
      </c>
      <c r="L223" s="47">
        <v>0</v>
      </c>
      <c r="M223" s="47">
        <v>0.36204500338983125</v>
      </c>
      <c r="N223" s="47">
        <v>0.39224984399999996</v>
      </c>
      <c r="O223" s="47">
        <v>0</v>
      </c>
      <c r="P223" s="47">
        <v>0</v>
      </c>
      <c r="Q223" s="47">
        <f t="shared" si="36"/>
        <v>-3.0204840610168704E-2</v>
      </c>
      <c r="R223" s="47">
        <f t="shared" si="37"/>
        <v>3.0204840610168704E-2</v>
      </c>
      <c r="S223" s="48">
        <f t="shared" si="38"/>
        <v>8.3428414499193195</v>
      </c>
      <c r="T223" s="63" t="s">
        <v>48</v>
      </c>
    </row>
    <row r="224" spans="1:20" s="14" customFormat="1" x14ac:dyDescent="0.25">
      <c r="A224" s="77" t="s">
        <v>25</v>
      </c>
      <c r="B224" s="49" t="s">
        <v>169</v>
      </c>
      <c r="C224" s="51" t="s">
        <v>170</v>
      </c>
      <c r="D224" s="47">
        <v>0.36204500338983125</v>
      </c>
      <c r="E224" s="47">
        <v>0</v>
      </c>
      <c r="F224" s="47">
        <f t="shared" si="39"/>
        <v>0.36204500338983125</v>
      </c>
      <c r="G224" s="47">
        <f t="shared" si="41"/>
        <v>0.36204500338983125</v>
      </c>
      <c r="H224" s="47">
        <f t="shared" si="40"/>
        <v>0.37908650399999999</v>
      </c>
      <c r="I224" s="47">
        <v>0</v>
      </c>
      <c r="J224" s="47">
        <v>0</v>
      </c>
      <c r="K224" s="47">
        <v>0</v>
      </c>
      <c r="L224" s="47">
        <v>0</v>
      </c>
      <c r="M224" s="47">
        <v>0.36204500338983125</v>
      </c>
      <c r="N224" s="47">
        <v>0.37270004400000001</v>
      </c>
      <c r="O224" s="47">
        <v>0</v>
      </c>
      <c r="P224" s="47">
        <v>6.3864600000000009E-3</v>
      </c>
      <c r="Q224" s="47">
        <f t="shared" si="36"/>
        <v>-1.7041500610168736E-2</v>
      </c>
      <c r="R224" s="47">
        <f t="shared" si="37"/>
        <v>1.7041500610168736E-2</v>
      </c>
      <c r="S224" s="48">
        <f t="shared" si="38"/>
        <v>4.7070116837986973</v>
      </c>
      <c r="T224" s="63" t="s">
        <v>48</v>
      </c>
    </row>
    <row r="225" spans="1:20" s="14" customFormat="1" ht="22.5" customHeight="1" x14ac:dyDescent="0.25">
      <c r="A225" s="77" t="s">
        <v>25</v>
      </c>
      <c r="B225" s="49" t="s">
        <v>171</v>
      </c>
      <c r="C225" s="51" t="s">
        <v>172</v>
      </c>
      <c r="D225" s="47">
        <v>0.36204500338983125</v>
      </c>
      <c r="E225" s="47">
        <v>0</v>
      </c>
      <c r="F225" s="47">
        <f t="shared" si="39"/>
        <v>0.36204500338983125</v>
      </c>
      <c r="G225" s="47">
        <f t="shared" si="41"/>
        <v>0.36204500338983125</v>
      </c>
      <c r="H225" s="47">
        <f t="shared" si="40"/>
        <v>0.29135980799999994</v>
      </c>
      <c r="I225" s="47">
        <v>0</v>
      </c>
      <c r="J225" s="47">
        <v>0</v>
      </c>
      <c r="K225" s="47">
        <v>0</v>
      </c>
      <c r="L225" s="47">
        <v>0</v>
      </c>
      <c r="M225" s="47">
        <v>0.36204500338983125</v>
      </c>
      <c r="N225" s="47">
        <v>0</v>
      </c>
      <c r="O225" s="47">
        <v>0</v>
      </c>
      <c r="P225" s="47">
        <v>0.29135980799999994</v>
      </c>
      <c r="Q225" s="47">
        <f t="shared" si="36"/>
        <v>7.0685195389831312E-2</v>
      </c>
      <c r="R225" s="47">
        <f t="shared" si="37"/>
        <v>-7.0685195389831312E-2</v>
      </c>
      <c r="S225" s="48">
        <f t="shared" si="38"/>
        <v>-19.523869885789082</v>
      </c>
      <c r="T225" s="58" t="s">
        <v>981</v>
      </c>
    </row>
    <row r="226" spans="1:20" s="14" customFormat="1" ht="22.5" customHeight="1" x14ac:dyDescent="0.25">
      <c r="A226" s="77" t="s">
        <v>25</v>
      </c>
      <c r="B226" s="49" t="s">
        <v>173</v>
      </c>
      <c r="C226" s="51" t="s">
        <v>174</v>
      </c>
      <c r="D226" s="47">
        <v>0.90511250847457791</v>
      </c>
      <c r="E226" s="47">
        <v>0</v>
      </c>
      <c r="F226" s="47">
        <f t="shared" si="39"/>
        <v>0.90511250847457791</v>
      </c>
      <c r="G226" s="47">
        <f t="shared" si="41"/>
        <v>0.90511250847457791</v>
      </c>
      <c r="H226" s="47">
        <f t="shared" si="40"/>
        <v>0.83430590399999982</v>
      </c>
      <c r="I226" s="47">
        <v>0</v>
      </c>
      <c r="J226" s="47">
        <v>0</v>
      </c>
      <c r="K226" s="47">
        <v>0</v>
      </c>
      <c r="L226" s="47">
        <v>0</v>
      </c>
      <c r="M226" s="47">
        <v>0.90511250847457791</v>
      </c>
      <c r="N226" s="47">
        <v>0</v>
      </c>
      <c r="O226" s="47">
        <v>0</v>
      </c>
      <c r="P226" s="47">
        <v>0.83430590399999982</v>
      </c>
      <c r="Q226" s="47">
        <f t="shared" si="36"/>
        <v>7.0806604474578094E-2</v>
      </c>
      <c r="R226" s="47">
        <f t="shared" si="37"/>
        <v>-7.0806604474578094E-2</v>
      </c>
      <c r="S226" s="48">
        <f t="shared" si="38"/>
        <v>-7.8229616552213344</v>
      </c>
      <c r="T226" s="58" t="s">
        <v>48</v>
      </c>
    </row>
    <row r="227" spans="1:20" s="14" customFormat="1" ht="22.5" customHeight="1" x14ac:dyDescent="0.25">
      <c r="A227" s="77" t="s">
        <v>25</v>
      </c>
      <c r="B227" s="49" t="s">
        <v>175</v>
      </c>
      <c r="C227" s="51" t="s">
        <v>176</v>
      </c>
      <c r="D227" s="47">
        <v>0.36204500338983125</v>
      </c>
      <c r="E227" s="47">
        <v>0</v>
      </c>
      <c r="F227" s="47">
        <f t="shared" si="39"/>
        <v>0.36204500338983125</v>
      </c>
      <c r="G227" s="47">
        <f t="shared" si="41"/>
        <v>0.36204500338983125</v>
      </c>
      <c r="H227" s="47">
        <f t="shared" si="40"/>
        <v>0.37824533999999999</v>
      </c>
      <c r="I227" s="47">
        <v>0</v>
      </c>
      <c r="J227" s="47">
        <v>0</v>
      </c>
      <c r="K227" s="47">
        <v>0</v>
      </c>
      <c r="L227" s="47">
        <v>0</v>
      </c>
      <c r="M227" s="47">
        <v>0.36204500338983125</v>
      </c>
      <c r="N227" s="47">
        <v>0</v>
      </c>
      <c r="O227" s="47">
        <v>0</v>
      </c>
      <c r="P227" s="47">
        <v>0.37824533999999999</v>
      </c>
      <c r="Q227" s="47">
        <f t="shared" si="36"/>
        <v>-1.6200336610168731E-2</v>
      </c>
      <c r="R227" s="47">
        <f t="shared" si="37"/>
        <v>1.6200336610168731E-2</v>
      </c>
      <c r="S227" s="48">
        <f t="shared" si="38"/>
        <v>4.474674821772112</v>
      </c>
      <c r="T227" s="58" t="s">
        <v>48</v>
      </c>
    </row>
    <row r="228" spans="1:20" s="14" customFormat="1" ht="26.25" customHeight="1" x14ac:dyDescent="0.25">
      <c r="A228" s="77" t="s">
        <v>25</v>
      </c>
      <c r="B228" s="49" t="s">
        <v>177</v>
      </c>
      <c r="C228" s="51" t="s">
        <v>178</v>
      </c>
      <c r="D228" s="47">
        <v>3.3005040000000001</v>
      </c>
      <c r="E228" s="47">
        <v>0</v>
      </c>
      <c r="F228" s="47">
        <f t="shared" si="39"/>
        <v>3.3005040000000001</v>
      </c>
      <c r="G228" s="47">
        <f t="shared" si="41"/>
        <v>3.3005040000000001</v>
      </c>
      <c r="H228" s="47">
        <f t="shared" si="40"/>
        <v>0</v>
      </c>
      <c r="I228" s="47">
        <v>0.33005040000000002</v>
      </c>
      <c r="J228" s="47">
        <v>0</v>
      </c>
      <c r="K228" s="47">
        <v>0.99015120000000001</v>
      </c>
      <c r="L228" s="47">
        <v>0</v>
      </c>
      <c r="M228" s="47">
        <v>0.99015120000000001</v>
      </c>
      <c r="N228" s="47">
        <v>0</v>
      </c>
      <c r="O228" s="47">
        <v>0.99015120000000001</v>
      </c>
      <c r="P228" s="47">
        <v>0</v>
      </c>
      <c r="Q228" s="47">
        <f t="shared" si="36"/>
        <v>3.3005040000000001</v>
      </c>
      <c r="R228" s="47">
        <f t="shared" si="37"/>
        <v>-3.3005040000000001</v>
      </c>
      <c r="S228" s="48">
        <f t="shared" si="38"/>
        <v>-100</v>
      </c>
      <c r="T228" s="95" t="s">
        <v>742</v>
      </c>
    </row>
    <row r="229" spans="1:20" s="14" customFormat="1" ht="26.25" x14ac:dyDescent="0.25">
      <c r="A229" s="53" t="s">
        <v>25</v>
      </c>
      <c r="B229" s="61" t="s">
        <v>388</v>
      </c>
      <c r="C229" s="50" t="s">
        <v>180</v>
      </c>
      <c r="D229" s="47">
        <v>0</v>
      </c>
      <c r="E229" s="47">
        <v>0</v>
      </c>
      <c r="F229" s="47">
        <f t="shared" si="39"/>
        <v>0</v>
      </c>
      <c r="G229" s="47">
        <f t="shared" si="41"/>
        <v>0</v>
      </c>
      <c r="H229" s="47">
        <f t="shared" si="40"/>
        <v>0.271975368</v>
      </c>
      <c r="I229" s="47">
        <v>0</v>
      </c>
      <c r="J229" s="47">
        <v>0.271975368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f t="shared" si="36"/>
        <v>-0.271975368</v>
      </c>
      <c r="R229" s="47">
        <f t="shared" si="37"/>
        <v>0.271975368</v>
      </c>
      <c r="S229" s="48">
        <v>100</v>
      </c>
      <c r="T229" s="96"/>
    </row>
    <row r="230" spans="1:20" s="14" customFormat="1" ht="26.25" x14ac:dyDescent="0.25">
      <c r="A230" s="53" t="s">
        <v>25</v>
      </c>
      <c r="B230" s="61" t="s">
        <v>560</v>
      </c>
      <c r="C230" s="50" t="s">
        <v>561</v>
      </c>
      <c r="D230" s="47">
        <v>0</v>
      </c>
      <c r="E230" s="47">
        <v>0</v>
      </c>
      <c r="F230" s="47">
        <f t="shared" si="39"/>
        <v>0</v>
      </c>
      <c r="G230" s="47">
        <v>0</v>
      </c>
      <c r="H230" s="47">
        <f t="shared" si="40"/>
        <v>0.25475386799999999</v>
      </c>
      <c r="I230" s="47">
        <v>0</v>
      </c>
      <c r="J230" s="47">
        <v>0</v>
      </c>
      <c r="K230" s="47">
        <v>0</v>
      </c>
      <c r="L230" s="47">
        <v>0.25475386799999999</v>
      </c>
      <c r="M230" s="47">
        <v>0</v>
      </c>
      <c r="N230" s="47">
        <v>0</v>
      </c>
      <c r="O230" s="47">
        <v>0</v>
      </c>
      <c r="P230" s="47">
        <v>0</v>
      </c>
      <c r="Q230" s="47">
        <f t="shared" si="36"/>
        <v>-0.25475386799999999</v>
      </c>
      <c r="R230" s="47">
        <f t="shared" si="37"/>
        <v>0.25475386799999999</v>
      </c>
      <c r="S230" s="48">
        <v>100</v>
      </c>
      <c r="T230" s="96"/>
    </row>
    <row r="231" spans="1:20" s="14" customFormat="1" ht="26.25" x14ac:dyDescent="0.25">
      <c r="A231" s="53" t="s">
        <v>25</v>
      </c>
      <c r="B231" s="61" t="s">
        <v>562</v>
      </c>
      <c r="C231" s="50" t="s">
        <v>565</v>
      </c>
      <c r="D231" s="47">
        <v>0</v>
      </c>
      <c r="E231" s="47">
        <v>0</v>
      </c>
      <c r="F231" s="47">
        <f t="shared" si="39"/>
        <v>0</v>
      </c>
      <c r="G231" s="47">
        <v>0</v>
      </c>
      <c r="H231" s="47">
        <f t="shared" si="40"/>
        <v>0.25672840799999996</v>
      </c>
      <c r="I231" s="47">
        <v>0</v>
      </c>
      <c r="J231" s="47">
        <v>0</v>
      </c>
      <c r="K231" s="47">
        <v>0</v>
      </c>
      <c r="L231" s="47">
        <v>0.25672840799999996</v>
      </c>
      <c r="M231" s="47">
        <v>0</v>
      </c>
      <c r="N231" s="47">
        <v>0</v>
      </c>
      <c r="O231" s="47">
        <v>0</v>
      </c>
      <c r="P231" s="47">
        <v>0</v>
      </c>
      <c r="Q231" s="47">
        <f t="shared" si="36"/>
        <v>-0.25672840799999996</v>
      </c>
      <c r="R231" s="47">
        <f t="shared" si="37"/>
        <v>0.25672840799999996</v>
      </c>
      <c r="S231" s="48">
        <v>100</v>
      </c>
      <c r="T231" s="96"/>
    </row>
    <row r="232" spans="1:20" s="14" customFormat="1" ht="26.25" x14ac:dyDescent="0.25">
      <c r="A232" s="53" t="s">
        <v>25</v>
      </c>
      <c r="B232" s="61" t="s">
        <v>564</v>
      </c>
      <c r="C232" s="50" t="s">
        <v>681</v>
      </c>
      <c r="D232" s="47">
        <v>0</v>
      </c>
      <c r="E232" s="47">
        <v>0</v>
      </c>
      <c r="F232" s="47">
        <f t="shared" si="39"/>
        <v>0</v>
      </c>
      <c r="G232" s="47">
        <v>0</v>
      </c>
      <c r="H232" s="47">
        <f t="shared" si="40"/>
        <v>0.26529336000000003</v>
      </c>
      <c r="I232" s="47">
        <v>0</v>
      </c>
      <c r="J232" s="47">
        <v>0</v>
      </c>
      <c r="K232" s="47">
        <v>0</v>
      </c>
      <c r="L232" s="47">
        <v>0.26529336000000003</v>
      </c>
      <c r="M232" s="47">
        <v>0</v>
      </c>
      <c r="N232" s="47">
        <v>0</v>
      </c>
      <c r="O232" s="47">
        <v>0</v>
      </c>
      <c r="P232" s="47">
        <v>0</v>
      </c>
      <c r="Q232" s="47">
        <f t="shared" si="36"/>
        <v>-0.26529336000000003</v>
      </c>
      <c r="R232" s="47">
        <f t="shared" si="37"/>
        <v>0.26529336000000003</v>
      </c>
      <c r="S232" s="48">
        <v>100</v>
      </c>
      <c r="T232" s="96"/>
    </row>
    <row r="233" spans="1:20" s="14" customFormat="1" ht="26.25" x14ac:dyDescent="0.25">
      <c r="A233" s="53" t="s">
        <v>25</v>
      </c>
      <c r="B233" s="61" t="s">
        <v>566</v>
      </c>
      <c r="C233" s="50" t="s">
        <v>563</v>
      </c>
      <c r="D233" s="47">
        <v>0</v>
      </c>
      <c r="E233" s="47">
        <v>0</v>
      </c>
      <c r="F233" s="47">
        <f t="shared" si="39"/>
        <v>0</v>
      </c>
      <c r="G233" s="47">
        <v>0</v>
      </c>
      <c r="H233" s="47">
        <f t="shared" si="40"/>
        <v>1.4799191999999999E-2</v>
      </c>
      <c r="I233" s="47">
        <v>0</v>
      </c>
      <c r="J233" s="47">
        <v>0</v>
      </c>
      <c r="K233" s="47">
        <v>0</v>
      </c>
      <c r="L233" s="47">
        <v>1.4799191999999999E-2</v>
      </c>
      <c r="M233" s="47">
        <v>0</v>
      </c>
      <c r="N233" s="47">
        <v>0</v>
      </c>
      <c r="O233" s="47">
        <v>0</v>
      </c>
      <c r="P233" s="47">
        <v>0</v>
      </c>
      <c r="Q233" s="47">
        <f t="shared" si="36"/>
        <v>-1.4799191999999999E-2</v>
      </c>
      <c r="R233" s="47">
        <f t="shared" si="37"/>
        <v>1.4799191999999999E-2</v>
      </c>
      <c r="S233" s="48">
        <v>100</v>
      </c>
      <c r="T233" s="96"/>
    </row>
    <row r="234" spans="1:20" s="14" customFormat="1" ht="26.25" x14ac:dyDescent="0.25">
      <c r="A234" s="53" t="s">
        <v>25</v>
      </c>
      <c r="B234" s="61" t="s">
        <v>568</v>
      </c>
      <c r="C234" s="50" t="s">
        <v>804</v>
      </c>
      <c r="D234" s="47">
        <v>0</v>
      </c>
      <c r="E234" s="47">
        <v>0</v>
      </c>
      <c r="F234" s="47">
        <f t="shared" si="39"/>
        <v>0</v>
      </c>
      <c r="G234" s="47">
        <v>0</v>
      </c>
      <c r="H234" s="47">
        <f t="shared" si="40"/>
        <v>1.7168123999999996E-2</v>
      </c>
      <c r="I234" s="47">
        <v>0</v>
      </c>
      <c r="J234" s="47">
        <v>0</v>
      </c>
      <c r="K234" s="47">
        <v>0</v>
      </c>
      <c r="L234" s="47">
        <v>1.7168123999999996E-2</v>
      </c>
      <c r="M234" s="47">
        <v>0</v>
      </c>
      <c r="N234" s="47">
        <v>0</v>
      </c>
      <c r="O234" s="47">
        <v>0</v>
      </c>
      <c r="P234" s="47">
        <v>0</v>
      </c>
      <c r="Q234" s="47">
        <f t="shared" si="36"/>
        <v>-1.7168123999999996E-2</v>
      </c>
      <c r="R234" s="47">
        <f t="shared" si="37"/>
        <v>1.7168123999999996E-2</v>
      </c>
      <c r="S234" s="48">
        <v>100</v>
      </c>
      <c r="T234" s="96"/>
    </row>
    <row r="235" spans="1:20" s="14" customFormat="1" ht="26.25" x14ac:dyDescent="0.25">
      <c r="A235" s="53" t="s">
        <v>25</v>
      </c>
      <c r="B235" s="61" t="s">
        <v>569</v>
      </c>
      <c r="C235" s="50" t="s">
        <v>805</v>
      </c>
      <c r="D235" s="47">
        <v>0</v>
      </c>
      <c r="E235" s="47">
        <v>0</v>
      </c>
      <c r="F235" s="47">
        <f t="shared" si="39"/>
        <v>0</v>
      </c>
      <c r="G235" s="47">
        <v>0</v>
      </c>
      <c r="H235" s="47">
        <f t="shared" si="40"/>
        <v>6.6688799999999993E-2</v>
      </c>
      <c r="I235" s="47">
        <v>0</v>
      </c>
      <c r="J235" s="47">
        <v>0</v>
      </c>
      <c r="K235" s="47">
        <v>0</v>
      </c>
      <c r="L235" s="47">
        <v>1.5168000000000001E-2</v>
      </c>
      <c r="M235" s="47">
        <v>0</v>
      </c>
      <c r="N235" s="47">
        <v>0</v>
      </c>
      <c r="O235" s="47">
        <v>0</v>
      </c>
      <c r="P235" s="47">
        <v>5.1520799999999992E-2</v>
      </c>
      <c r="Q235" s="47">
        <f t="shared" si="36"/>
        <v>-6.6688799999999993E-2</v>
      </c>
      <c r="R235" s="47">
        <f t="shared" si="37"/>
        <v>6.6688799999999993E-2</v>
      </c>
      <c r="S235" s="48">
        <v>100</v>
      </c>
      <c r="T235" s="96"/>
    </row>
    <row r="236" spans="1:20" s="14" customFormat="1" ht="26.25" x14ac:dyDescent="0.25">
      <c r="A236" s="53" t="s">
        <v>25</v>
      </c>
      <c r="B236" s="61" t="s">
        <v>678</v>
      </c>
      <c r="C236" s="50" t="s">
        <v>683</v>
      </c>
      <c r="D236" s="47">
        <v>0</v>
      </c>
      <c r="E236" s="47">
        <v>0</v>
      </c>
      <c r="F236" s="47">
        <f t="shared" si="39"/>
        <v>0</v>
      </c>
      <c r="G236" s="47">
        <v>0</v>
      </c>
      <c r="H236" s="47">
        <f t="shared" si="40"/>
        <v>0.244349496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0.244349496</v>
      </c>
      <c r="O236" s="47">
        <v>0</v>
      </c>
      <c r="P236" s="47">
        <v>0</v>
      </c>
      <c r="Q236" s="47">
        <f t="shared" si="36"/>
        <v>-0.244349496</v>
      </c>
      <c r="R236" s="47">
        <f t="shared" si="37"/>
        <v>0.244349496</v>
      </c>
      <c r="S236" s="48">
        <v>100</v>
      </c>
      <c r="T236" s="96"/>
    </row>
    <row r="237" spans="1:20" s="14" customFormat="1" ht="26.25" x14ac:dyDescent="0.25">
      <c r="A237" s="53" t="s">
        <v>25</v>
      </c>
      <c r="B237" s="61" t="s">
        <v>679</v>
      </c>
      <c r="C237" s="50" t="s">
        <v>806</v>
      </c>
      <c r="D237" s="47">
        <v>0</v>
      </c>
      <c r="E237" s="47">
        <v>0</v>
      </c>
      <c r="F237" s="47">
        <f t="shared" si="39"/>
        <v>0</v>
      </c>
      <c r="G237" s="47">
        <v>0</v>
      </c>
      <c r="H237" s="47">
        <f t="shared" si="40"/>
        <v>0.25771111200000002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0.25771111200000002</v>
      </c>
      <c r="O237" s="47">
        <v>0</v>
      </c>
      <c r="P237" s="47">
        <v>0</v>
      </c>
      <c r="Q237" s="47">
        <f t="shared" si="36"/>
        <v>-0.25771111200000002</v>
      </c>
      <c r="R237" s="47">
        <f t="shared" si="37"/>
        <v>0.25771111200000002</v>
      </c>
      <c r="S237" s="48">
        <v>100</v>
      </c>
      <c r="T237" s="96"/>
    </row>
    <row r="238" spans="1:20" s="14" customFormat="1" ht="26.25" x14ac:dyDescent="0.25">
      <c r="A238" s="53" t="s">
        <v>25</v>
      </c>
      <c r="B238" s="61" t="s">
        <v>680</v>
      </c>
      <c r="C238" s="50" t="s">
        <v>807</v>
      </c>
      <c r="D238" s="47">
        <v>0</v>
      </c>
      <c r="E238" s="47">
        <v>0</v>
      </c>
      <c r="F238" s="47">
        <f t="shared" si="39"/>
        <v>0</v>
      </c>
      <c r="G238" s="47">
        <v>0</v>
      </c>
      <c r="H238" s="47">
        <f t="shared" si="40"/>
        <v>0.56044833599999999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0.56044833599999999</v>
      </c>
      <c r="O238" s="47">
        <v>0</v>
      </c>
      <c r="P238" s="47">
        <v>0</v>
      </c>
      <c r="Q238" s="47">
        <f t="shared" si="36"/>
        <v>-0.56044833599999999</v>
      </c>
      <c r="R238" s="47">
        <f t="shared" si="37"/>
        <v>0.56044833599999999</v>
      </c>
      <c r="S238" s="48">
        <v>100</v>
      </c>
      <c r="T238" s="96"/>
    </row>
    <row r="239" spans="1:20" s="14" customFormat="1" ht="26.25" x14ac:dyDescent="0.25">
      <c r="A239" s="53" t="s">
        <v>25</v>
      </c>
      <c r="B239" s="61" t="s">
        <v>682</v>
      </c>
      <c r="C239" s="50" t="s">
        <v>808</v>
      </c>
      <c r="D239" s="47">
        <v>0</v>
      </c>
      <c r="E239" s="47">
        <v>0</v>
      </c>
      <c r="F239" s="47">
        <f t="shared" si="39"/>
        <v>0</v>
      </c>
      <c r="G239" s="47">
        <v>0</v>
      </c>
      <c r="H239" s="47">
        <f t="shared" si="40"/>
        <v>0.48903737999999997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0.48903737999999997</v>
      </c>
      <c r="O239" s="47">
        <v>0</v>
      </c>
      <c r="P239" s="47">
        <v>0</v>
      </c>
      <c r="Q239" s="47">
        <f t="shared" si="36"/>
        <v>-0.48903737999999997</v>
      </c>
      <c r="R239" s="47">
        <f t="shared" si="37"/>
        <v>0.48903737999999997</v>
      </c>
      <c r="S239" s="48">
        <v>100</v>
      </c>
      <c r="T239" s="96"/>
    </row>
    <row r="240" spans="1:20" s="14" customFormat="1" ht="26.25" x14ac:dyDescent="0.25">
      <c r="A240" s="53" t="s">
        <v>25</v>
      </c>
      <c r="B240" s="61" t="s">
        <v>809</v>
      </c>
      <c r="C240" s="50" t="s">
        <v>810</v>
      </c>
      <c r="D240" s="47">
        <v>0</v>
      </c>
      <c r="E240" s="47">
        <v>0</v>
      </c>
      <c r="F240" s="47">
        <f t="shared" si="39"/>
        <v>0</v>
      </c>
      <c r="G240" s="47">
        <v>0</v>
      </c>
      <c r="H240" s="47">
        <f t="shared" si="40"/>
        <v>0.250977432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0.250977432</v>
      </c>
      <c r="Q240" s="47">
        <f t="shared" si="36"/>
        <v>-0.250977432</v>
      </c>
      <c r="R240" s="47">
        <f t="shared" si="37"/>
        <v>0.250977432</v>
      </c>
      <c r="S240" s="48">
        <v>100</v>
      </c>
      <c r="T240" s="96"/>
    </row>
    <row r="241" spans="1:20" s="14" customFormat="1" ht="26.25" x14ac:dyDescent="0.25">
      <c r="A241" s="53" t="s">
        <v>25</v>
      </c>
      <c r="B241" s="61" t="s">
        <v>811</v>
      </c>
      <c r="C241" s="50" t="s">
        <v>812</v>
      </c>
      <c r="D241" s="47">
        <v>0</v>
      </c>
      <c r="E241" s="47">
        <v>0</v>
      </c>
      <c r="F241" s="47">
        <f t="shared" si="39"/>
        <v>0</v>
      </c>
      <c r="G241" s="47">
        <v>0</v>
      </c>
      <c r="H241" s="47">
        <f t="shared" si="40"/>
        <v>0.243759216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0.243759216</v>
      </c>
      <c r="Q241" s="47">
        <f t="shared" si="36"/>
        <v>-0.243759216</v>
      </c>
      <c r="R241" s="47">
        <f t="shared" si="37"/>
        <v>0.243759216</v>
      </c>
      <c r="S241" s="48">
        <v>100</v>
      </c>
      <c r="T241" s="96"/>
    </row>
    <row r="242" spans="1:20" s="14" customFormat="1" ht="26.25" x14ac:dyDescent="0.25">
      <c r="A242" s="53" t="s">
        <v>25</v>
      </c>
      <c r="B242" s="61" t="s">
        <v>813</v>
      </c>
      <c r="C242" s="50" t="s">
        <v>814</v>
      </c>
      <c r="D242" s="47">
        <v>0</v>
      </c>
      <c r="E242" s="47">
        <v>0</v>
      </c>
      <c r="F242" s="47">
        <f t="shared" si="39"/>
        <v>0</v>
      </c>
      <c r="G242" s="47">
        <v>0</v>
      </c>
      <c r="H242" s="47">
        <f t="shared" si="40"/>
        <v>0.49222372799999997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0.49222372799999997</v>
      </c>
      <c r="Q242" s="47">
        <f t="shared" si="36"/>
        <v>-0.49222372799999997</v>
      </c>
      <c r="R242" s="47">
        <f t="shared" si="37"/>
        <v>0.49222372799999997</v>
      </c>
      <c r="S242" s="48">
        <v>100</v>
      </c>
      <c r="T242" s="96"/>
    </row>
    <row r="243" spans="1:20" s="14" customFormat="1" ht="26.25" x14ac:dyDescent="0.25">
      <c r="A243" s="53" t="s">
        <v>25</v>
      </c>
      <c r="B243" s="61" t="s">
        <v>815</v>
      </c>
      <c r="C243" s="50" t="s">
        <v>816</v>
      </c>
      <c r="D243" s="47">
        <v>0</v>
      </c>
      <c r="E243" s="47">
        <v>0</v>
      </c>
      <c r="F243" s="47">
        <f t="shared" si="39"/>
        <v>0</v>
      </c>
      <c r="G243" s="47">
        <v>0</v>
      </c>
      <c r="H243" s="47">
        <f t="shared" si="40"/>
        <v>0.21532933199999998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0.21532933199999998</v>
      </c>
      <c r="Q243" s="47">
        <f t="shared" si="36"/>
        <v>-0.21532933199999998</v>
      </c>
      <c r="R243" s="47">
        <f t="shared" si="37"/>
        <v>0.21532933199999998</v>
      </c>
      <c r="S243" s="48">
        <v>100</v>
      </c>
      <c r="T243" s="96"/>
    </row>
    <row r="244" spans="1:20" s="14" customFormat="1" ht="26.25" x14ac:dyDescent="0.25">
      <c r="A244" s="77" t="s">
        <v>25</v>
      </c>
      <c r="B244" s="49" t="s">
        <v>179</v>
      </c>
      <c r="C244" s="51" t="s">
        <v>180</v>
      </c>
      <c r="D244" s="47">
        <v>3.8089785762711825</v>
      </c>
      <c r="E244" s="47">
        <v>0</v>
      </c>
      <c r="F244" s="47">
        <f t="shared" si="39"/>
        <v>3.8089785762711825</v>
      </c>
      <c r="G244" s="47">
        <f>I244+K244+M244+O244</f>
        <v>3.8089785762711825</v>
      </c>
      <c r="H244" s="47">
        <f t="shared" si="40"/>
        <v>0</v>
      </c>
      <c r="I244" s="47">
        <v>0.38089785762711831</v>
      </c>
      <c r="J244" s="47">
        <v>0</v>
      </c>
      <c r="K244" s="47">
        <v>1.1426935728813548</v>
      </c>
      <c r="L244" s="47">
        <v>0</v>
      </c>
      <c r="M244" s="47">
        <v>1.1426935728813548</v>
      </c>
      <c r="N244" s="47">
        <v>0</v>
      </c>
      <c r="O244" s="47">
        <v>1.1426935728813548</v>
      </c>
      <c r="P244" s="47">
        <v>0</v>
      </c>
      <c r="Q244" s="47">
        <f t="shared" si="36"/>
        <v>3.8089785762711825</v>
      </c>
      <c r="R244" s="47">
        <f t="shared" si="37"/>
        <v>-3.8089785762711825</v>
      </c>
      <c r="S244" s="48">
        <f t="shared" si="38"/>
        <v>-100</v>
      </c>
      <c r="T244" s="96"/>
    </row>
    <row r="245" spans="1:20" s="14" customFormat="1" ht="26.25" x14ac:dyDescent="0.25">
      <c r="A245" s="53" t="s">
        <v>25</v>
      </c>
      <c r="B245" s="61" t="s">
        <v>570</v>
      </c>
      <c r="C245" s="50" t="s">
        <v>561</v>
      </c>
      <c r="D245" s="47">
        <v>0</v>
      </c>
      <c r="E245" s="47">
        <v>0</v>
      </c>
      <c r="F245" s="47">
        <f t="shared" si="39"/>
        <v>0</v>
      </c>
      <c r="G245" s="47">
        <v>0</v>
      </c>
      <c r="H245" s="47">
        <f t="shared" si="40"/>
        <v>0.34307949600000004</v>
      </c>
      <c r="I245" s="47">
        <v>0</v>
      </c>
      <c r="J245" s="47">
        <v>0</v>
      </c>
      <c r="K245" s="47">
        <v>0</v>
      </c>
      <c r="L245" s="47">
        <v>0.34307949600000004</v>
      </c>
      <c r="M245" s="47">
        <v>0</v>
      </c>
      <c r="N245" s="47">
        <v>0</v>
      </c>
      <c r="O245" s="47">
        <v>0</v>
      </c>
      <c r="P245" s="47">
        <v>0</v>
      </c>
      <c r="Q245" s="47">
        <f t="shared" si="36"/>
        <v>-0.34307949600000004</v>
      </c>
      <c r="R245" s="47">
        <f t="shared" si="37"/>
        <v>0.34307949600000004</v>
      </c>
      <c r="S245" s="48">
        <v>100</v>
      </c>
      <c r="T245" s="96"/>
    </row>
    <row r="246" spans="1:20" s="14" customFormat="1" ht="26.25" x14ac:dyDescent="0.25">
      <c r="A246" s="53" t="s">
        <v>25</v>
      </c>
      <c r="B246" s="61" t="s">
        <v>571</v>
      </c>
      <c r="C246" s="50" t="s">
        <v>567</v>
      </c>
      <c r="D246" s="47">
        <v>0</v>
      </c>
      <c r="E246" s="47">
        <v>0</v>
      </c>
      <c r="F246" s="47">
        <f t="shared" si="39"/>
        <v>0</v>
      </c>
      <c r="G246" s="47">
        <v>0</v>
      </c>
      <c r="H246" s="47">
        <f t="shared" si="40"/>
        <v>0.39507181199999997</v>
      </c>
      <c r="I246" s="47">
        <v>0</v>
      </c>
      <c r="J246" s="47">
        <v>0</v>
      </c>
      <c r="K246" s="47">
        <v>0</v>
      </c>
      <c r="L246" s="47">
        <v>0.39507181199999997</v>
      </c>
      <c r="M246" s="47">
        <v>0</v>
      </c>
      <c r="N246" s="47">
        <v>0</v>
      </c>
      <c r="O246" s="47">
        <v>0</v>
      </c>
      <c r="P246" s="47">
        <v>0</v>
      </c>
      <c r="Q246" s="47">
        <f t="shared" si="36"/>
        <v>-0.39507181199999997</v>
      </c>
      <c r="R246" s="47">
        <f t="shared" si="37"/>
        <v>0.39507181199999997</v>
      </c>
      <c r="S246" s="48">
        <v>100</v>
      </c>
      <c r="T246" s="96"/>
    </row>
    <row r="247" spans="1:20" s="14" customFormat="1" ht="26.25" x14ac:dyDescent="0.25">
      <c r="A247" s="53" t="s">
        <v>25</v>
      </c>
      <c r="B247" s="61" t="s">
        <v>684</v>
      </c>
      <c r="C247" s="50" t="s">
        <v>817</v>
      </c>
      <c r="D247" s="47">
        <v>0</v>
      </c>
      <c r="E247" s="47">
        <v>0</v>
      </c>
      <c r="F247" s="47">
        <f t="shared" si="39"/>
        <v>0</v>
      </c>
      <c r="G247" s="47">
        <v>0</v>
      </c>
      <c r="H247" s="47">
        <f t="shared" si="40"/>
        <v>0.71531073599999995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0.71531073599999995</v>
      </c>
      <c r="O247" s="47">
        <v>0</v>
      </c>
      <c r="P247" s="47">
        <v>0</v>
      </c>
      <c r="Q247" s="47">
        <f t="shared" si="36"/>
        <v>-0.71531073599999995</v>
      </c>
      <c r="R247" s="47">
        <f t="shared" si="37"/>
        <v>0.71531073599999995</v>
      </c>
      <c r="S247" s="48">
        <v>100</v>
      </c>
      <c r="T247" s="96"/>
    </row>
    <row r="248" spans="1:20" s="14" customFormat="1" ht="26.25" x14ac:dyDescent="0.25">
      <c r="A248" s="53" t="s">
        <v>25</v>
      </c>
      <c r="B248" s="61" t="s">
        <v>818</v>
      </c>
      <c r="C248" s="50" t="s">
        <v>819</v>
      </c>
      <c r="D248" s="47">
        <v>0</v>
      </c>
      <c r="E248" s="47">
        <v>0</v>
      </c>
      <c r="F248" s="47">
        <f t="shared" si="39"/>
        <v>0</v>
      </c>
      <c r="G248" s="47">
        <v>0</v>
      </c>
      <c r="H248" s="47">
        <f t="shared" si="40"/>
        <v>0.71502889199999997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0.71502889199999997</v>
      </c>
      <c r="Q248" s="47">
        <f t="shared" si="36"/>
        <v>-0.71502889199999997</v>
      </c>
      <c r="R248" s="47">
        <f t="shared" si="37"/>
        <v>0.71502889199999997</v>
      </c>
      <c r="S248" s="48">
        <v>100</v>
      </c>
      <c r="T248" s="96"/>
    </row>
    <row r="249" spans="1:20" s="14" customFormat="1" ht="26.25" x14ac:dyDescent="0.25">
      <c r="A249" s="53" t="s">
        <v>25</v>
      </c>
      <c r="B249" s="61" t="s">
        <v>820</v>
      </c>
      <c r="C249" s="50" t="s">
        <v>821</v>
      </c>
      <c r="D249" s="47">
        <v>0</v>
      </c>
      <c r="E249" s="47">
        <v>0</v>
      </c>
      <c r="F249" s="47">
        <f t="shared" si="39"/>
        <v>0</v>
      </c>
      <c r="G249" s="47">
        <v>0</v>
      </c>
      <c r="H249" s="47">
        <f t="shared" si="40"/>
        <v>0.71513139599999997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0.71513139599999997</v>
      </c>
      <c r="Q249" s="47">
        <f t="shared" si="36"/>
        <v>-0.71513139599999997</v>
      </c>
      <c r="R249" s="47">
        <f t="shared" si="37"/>
        <v>0.71513139599999997</v>
      </c>
      <c r="S249" s="48">
        <v>100</v>
      </c>
      <c r="T249" s="96"/>
    </row>
    <row r="250" spans="1:20" s="14" customFormat="1" ht="26.25" x14ac:dyDescent="0.25">
      <c r="A250" s="53" t="s">
        <v>25</v>
      </c>
      <c r="B250" s="61" t="s">
        <v>822</v>
      </c>
      <c r="C250" s="50" t="s">
        <v>823</v>
      </c>
      <c r="D250" s="47">
        <v>0</v>
      </c>
      <c r="E250" s="47">
        <v>0</v>
      </c>
      <c r="F250" s="47">
        <f t="shared" si="39"/>
        <v>0</v>
      </c>
      <c r="G250" s="47">
        <v>0</v>
      </c>
      <c r="H250" s="47">
        <f t="shared" si="40"/>
        <v>0.71532595200000004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0.71532595200000004</v>
      </c>
      <c r="Q250" s="47">
        <f t="shared" si="36"/>
        <v>-0.71532595200000004</v>
      </c>
      <c r="R250" s="47">
        <f t="shared" si="37"/>
        <v>0.71532595200000004</v>
      </c>
      <c r="S250" s="48">
        <v>100</v>
      </c>
      <c r="T250" s="96"/>
    </row>
    <row r="251" spans="1:20" s="14" customFormat="1" ht="26.25" x14ac:dyDescent="0.25">
      <c r="A251" s="53" t="s">
        <v>25</v>
      </c>
      <c r="B251" s="61" t="s">
        <v>824</v>
      </c>
      <c r="C251" s="50" t="s">
        <v>825</v>
      </c>
      <c r="D251" s="47">
        <v>0</v>
      </c>
      <c r="E251" s="47">
        <v>0</v>
      </c>
      <c r="F251" s="47">
        <f t="shared" si="39"/>
        <v>0</v>
      </c>
      <c r="G251" s="47">
        <v>0</v>
      </c>
      <c r="H251" s="47">
        <f t="shared" si="40"/>
        <v>0.36195569999999994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0.36195569999999994</v>
      </c>
      <c r="Q251" s="47">
        <f t="shared" si="36"/>
        <v>-0.36195569999999994</v>
      </c>
      <c r="R251" s="47">
        <f t="shared" si="37"/>
        <v>0.36195569999999994</v>
      </c>
      <c r="S251" s="48">
        <v>100</v>
      </c>
      <c r="T251" s="96"/>
    </row>
    <row r="252" spans="1:20" s="14" customFormat="1" ht="26.25" x14ac:dyDescent="0.25">
      <c r="A252" s="53" t="s">
        <v>25</v>
      </c>
      <c r="B252" s="61" t="s">
        <v>826</v>
      </c>
      <c r="C252" s="50" t="s">
        <v>827</v>
      </c>
      <c r="D252" s="47">
        <v>0</v>
      </c>
      <c r="E252" s="47">
        <v>0</v>
      </c>
      <c r="F252" s="47">
        <f t="shared" si="39"/>
        <v>0</v>
      </c>
      <c r="G252" s="47">
        <v>0</v>
      </c>
      <c r="H252" s="47">
        <f t="shared" si="40"/>
        <v>0.34093045199999999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0.34093045199999999</v>
      </c>
      <c r="Q252" s="47">
        <f t="shared" si="36"/>
        <v>-0.34093045199999999</v>
      </c>
      <c r="R252" s="47">
        <f t="shared" si="37"/>
        <v>0.34093045199999999</v>
      </c>
      <c r="S252" s="48">
        <v>100</v>
      </c>
      <c r="T252" s="97"/>
    </row>
    <row r="253" spans="1:20" s="14" customFormat="1" x14ac:dyDescent="0.25">
      <c r="A253" s="44" t="s">
        <v>25</v>
      </c>
      <c r="B253" s="45" t="s">
        <v>469</v>
      </c>
      <c r="C253" s="51" t="s">
        <v>470</v>
      </c>
      <c r="D253" s="47">
        <v>0</v>
      </c>
      <c r="E253" s="47">
        <f>26643.82*1.2/1000000</f>
        <v>3.1972583999999998E-2</v>
      </c>
      <c r="F253" s="47">
        <f t="shared" si="39"/>
        <v>-3.1972583999999998E-2</v>
      </c>
      <c r="G253" s="47">
        <v>0</v>
      </c>
      <c r="H253" s="47">
        <f t="shared" si="40"/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f t="shared" si="36"/>
        <v>-3.1972583999999998E-2</v>
      </c>
      <c r="R253" s="47">
        <f t="shared" si="37"/>
        <v>0</v>
      </c>
      <c r="S253" s="48">
        <v>0</v>
      </c>
      <c r="T253" s="63" t="s">
        <v>48</v>
      </c>
    </row>
    <row r="254" spans="1:20" s="14" customFormat="1" x14ac:dyDescent="0.25">
      <c r="A254" s="44" t="s">
        <v>25</v>
      </c>
      <c r="B254" s="45" t="s">
        <v>473</v>
      </c>
      <c r="C254" s="51" t="s">
        <v>474</v>
      </c>
      <c r="D254" s="47">
        <v>0</v>
      </c>
      <c r="E254" s="47">
        <f>26643.82*1.2/1000000</f>
        <v>3.1972583999999998E-2</v>
      </c>
      <c r="F254" s="47">
        <f t="shared" si="39"/>
        <v>-3.1972583999999998E-2</v>
      </c>
      <c r="G254" s="47">
        <v>0</v>
      </c>
      <c r="H254" s="47">
        <f t="shared" si="40"/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f t="shared" si="36"/>
        <v>-3.1972583999999998E-2</v>
      </c>
      <c r="R254" s="47">
        <f t="shared" si="37"/>
        <v>0</v>
      </c>
      <c r="S254" s="48">
        <v>0</v>
      </c>
      <c r="T254" s="63" t="s">
        <v>48</v>
      </c>
    </row>
    <row r="255" spans="1:20" s="14" customFormat="1" ht="26.25" customHeight="1" x14ac:dyDescent="0.25">
      <c r="A255" s="53" t="s">
        <v>25</v>
      </c>
      <c r="B255" s="61" t="s">
        <v>181</v>
      </c>
      <c r="C255" s="50" t="s">
        <v>182</v>
      </c>
      <c r="D255" s="47">
        <v>0.82580253599999986</v>
      </c>
      <c r="E255" s="47">
        <v>0</v>
      </c>
      <c r="F255" s="47">
        <f t="shared" si="39"/>
        <v>0.82580253599999986</v>
      </c>
      <c r="G255" s="47">
        <f t="shared" ref="G255:G264" si="42">I255+K255+M255+O255</f>
        <v>0.82580253599999986</v>
      </c>
      <c r="H255" s="47">
        <f t="shared" si="40"/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0.82580253599999986</v>
      </c>
      <c r="P255" s="47">
        <v>0</v>
      </c>
      <c r="Q255" s="47">
        <f t="shared" si="36"/>
        <v>0.82580253599999986</v>
      </c>
      <c r="R255" s="47">
        <f t="shared" si="37"/>
        <v>-0.82580253599999986</v>
      </c>
      <c r="S255" s="48">
        <f t="shared" si="38"/>
        <v>-100</v>
      </c>
      <c r="T255" s="86" t="s">
        <v>726</v>
      </c>
    </row>
    <row r="256" spans="1:20" s="14" customFormat="1" x14ac:dyDescent="0.25">
      <c r="A256" s="53" t="s">
        <v>25</v>
      </c>
      <c r="B256" s="61" t="s">
        <v>332</v>
      </c>
      <c r="C256" s="50" t="s">
        <v>333</v>
      </c>
      <c r="D256" s="47">
        <v>0</v>
      </c>
      <c r="E256" s="47">
        <v>0</v>
      </c>
      <c r="F256" s="47">
        <f t="shared" si="39"/>
        <v>0</v>
      </c>
      <c r="G256" s="47">
        <f t="shared" si="42"/>
        <v>0</v>
      </c>
      <c r="H256" s="47">
        <f t="shared" si="40"/>
        <v>1.3990475999999998E-2</v>
      </c>
      <c r="I256" s="47">
        <v>0</v>
      </c>
      <c r="J256" s="47">
        <v>4.9904759999999998E-3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8.9999999999999993E-3</v>
      </c>
      <c r="Q256" s="47">
        <f t="shared" si="36"/>
        <v>-1.3990475999999998E-2</v>
      </c>
      <c r="R256" s="47">
        <f t="shared" si="37"/>
        <v>1.3990475999999998E-2</v>
      </c>
      <c r="S256" s="48">
        <v>100</v>
      </c>
      <c r="T256" s="87"/>
    </row>
    <row r="257" spans="1:20" s="14" customFormat="1" x14ac:dyDescent="0.25">
      <c r="A257" s="53" t="s">
        <v>25</v>
      </c>
      <c r="B257" s="61" t="s">
        <v>334</v>
      </c>
      <c r="C257" s="50" t="s">
        <v>335</v>
      </c>
      <c r="D257" s="47">
        <v>0</v>
      </c>
      <c r="E257" s="47">
        <v>0</v>
      </c>
      <c r="F257" s="47">
        <f t="shared" si="39"/>
        <v>0</v>
      </c>
      <c r="G257" s="47">
        <f t="shared" si="42"/>
        <v>0</v>
      </c>
      <c r="H257" s="47">
        <f t="shared" si="40"/>
        <v>5.4585936000000002E-2</v>
      </c>
      <c r="I257" s="47">
        <v>0</v>
      </c>
      <c r="J257" s="47">
        <v>5.4585936000000002E-2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f t="shared" si="36"/>
        <v>-5.4585936000000002E-2</v>
      </c>
      <c r="R257" s="47">
        <f t="shared" si="37"/>
        <v>5.4585936000000002E-2</v>
      </c>
      <c r="S257" s="48">
        <v>100</v>
      </c>
      <c r="T257" s="87"/>
    </row>
    <row r="258" spans="1:20" s="14" customFormat="1" x14ac:dyDescent="0.25">
      <c r="A258" s="53" t="s">
        <v>25</v>
      </c>
      <c r="B258" s="61" t="s">
        <v>336</v>
      </c>
      <c r="C258" s="50" t="s">
        <v>337</v>
      </c>
      <c r="D258" s="47">
        <v>0</v>
      </c>
      <c r="E258" s="47">
        <v>0</v>
      </c>
      <c r="F258" s="47">
        <f t="shared" si="39"/>
        <v>0</v>
      </c>
      <c r="G258" s="47">
        <f t="shared" si="42"/>
        <v>0</v>
      </c>
      <c r="H258" s="47">
        <f t="shared" si="40"/>
        <v>1.456908E-2</v>
      </c>
      <c r="I258" s="47">
        <v>0</v>
      </c>
      <c r="J258" s="47">
        <v>1.456908E-2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f t="shared" si="36"/>
        <v>-1.456908E-2</v>
      </c>
      <c r="R258" s="47">
        <f t="shared" si="37"/>
        <v>1.456908E-2</v>
      </c>
      <c r="S258" s="48">
        <v>100</v>
      </c>
      <c r="T258" s="87"/>
    </row>
    <row r="259" spans="1:20" s="14" customFormat="1" x14ac:dyDescent="0.25">
      <c r="A259" s="53" t="s">
        <v>25</v>
      </c>
      <c r="B259" s="61" t="s">
        <v>338</v>
      </c>
      <c r="C259" s="50" t="s">
        <v>339</v>
      </c>
      <c r="D259" s="47">
        <v>0</v>
      </c>
      <c r="E259" s="47">
        <v>0</v>
      </c>
      <c r="F259" s="47">
        <f t="shared" si="39"/>
        <v>0</v>
      </c>
      <c r="G259" s="47">
        <f t="shared" si="42"/>
        <v>0</v>
      </c>
      <c r="H259" s="47">
        <f t="shared" si="40"/>
        <v>5.274936E-3</v>
      </c>
      <c r="I259" s="47">
        <v>0</v>
      </c>
      <c r="J259" s="47">
        <v>5.274936E-3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f t="shared" si="36"/>
        <v>-5.274936E-3</v>
      </c>
      <c r="R259" s="47">
        <f t="shared" si="37"/>
        <v>5.274936E-3</v>
      </c>
      <c r="S259" s="48">
        <v>100</v>
      </c>
      <c r="T259" s="87"/>
    </row>
    <row r="260" spans="1:20" s="14" customFormat="1" x14ac:dyDescent="0.25">
      <c r="A260" s="53" t="s">
        <v>25</v>
      </c>
      <c r="B260" s="61" t="s">
        <v>340</v>
      </c>
      <c r="C260" s="50" t="s">
        <v>341</v>
      </c>
      <c r="D260" s="47">
        <v>0</v>
      </c>
      <c r="E260" s="47">
        <v>0</v>
      </c>
      <c r="F260" s="47">
        <f t="shared" si="39"/>
        <v>0</v>
      </c>
      <c r="G260" s="47">
        <f t="shared" si="42"/>
        <v>0</v>
      </c>
      <c r="H260" s="47">
        <f t="shared" si="40"/>
        <v>7.5077520000000003E-3</v>
      </c>
      <c r="I260" s="47">
        <v>0</v>
      </c>
      <c r="J260" s="47">
        <v>7.5077520000000003E-3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f t="shared" si="36"/>
        <v>-7.5077520000000003E-3</v>
      </c>
      <c r="R260" s="47">
        <f t="shared" si="37"/>
        <v>7.5077520000000003E-3</v>
      </c>
      <c r="S260" s="48">
        <v>100</v>
      </c>
      <c r="T260" s="87"/>
    </row>
    <row r="261" spans="1:20" s="14" customFormat="1" x14ac:dyDescent="0.25">
      <c r="A261" s="53" t="s">
        <v>25</v>
      </c>
      <c r="B261" s="61" t="s">
        <v>342</v>
      </c>
      <c r="C261" s="50" t="s">
        <v>343</v>
      </c>
      <c r="D261" s="47">
        <v>0</v>
      </c>
      <c r="E261" s="47">
        <v>0</v>
      </c>
      <c r="F261" s="47">
        <f t="shared" si="39"/>
        <v>0</v>
      </c>
      <c r="G261" s="47">
        <f t="shared" si="42"/>
        <v>0</v>
      </c>
      <c r="H261" s="47">
        <f t="shared" si="40"/>
        <v>6.5013960000000004E-3</v>
      </c>
      <c r="I261" s="47">
        <v>0</v>
      </c>
      <c r="J261" s="47">
        <v>6.5013960000000004E-3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0</v>
      </c>
      <c r="Q261" s="47">
        <f t="shared" si="36"/>
        <v>-6.5013960000000004E-3</v>
      </c>
      <c r="R261" s="47">
        <f t="shared" si="37"/>
        <v>6.5013960000000004E-3</v>
      </c>
      <c r="S261" s="48">
        <v>100</v>
      </c>
      <c r="T261" s="87"/>
    </row>
    <row r="262" spans="1:20" s="14" customFormat="1" x14ac:dyDescent="0.25">
      <c r="A262" s="53" t="s">
        <v>25</v>
      </c>
      <c r="B262" s="61" t="s">
        <v>344</v>
      </c>
      <c r="C262" s="50" t="s">
        <v>345</v>
      </c>
      <c r="D262" s="47">
        <v>0</v>
      </c>
      <c r="E262" s="47">
        <v>0</v>
      </c>
      <c r="F262" s="47">
        <f t="shared" si="39"/>
        <v>0</v>
      </c>
      <c r="G262" s="47">
        <f t="shared" si="42"/>
        <v>0</v>
      </c>
      <c r="H262" s="47">
        <f t="shared" si="40"/>
        <v>5.3710524000000003E-2</v>
      </c>
      <c r="I262" s="47">
        <v>0</v>
      </c>
      <c r="J262" s="47">
        <v>5.3710524000000003E-2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f t="shared" si="36"/>
        <v>-5.3710524000000003E-2</v>
      </c>
      <c r="R262" s="47">
        <f t="shared" si="37"/>
        <v>5.3710524000000003E-2</v>
      </c>
      <c r="S262" s="48">
        <v>100</v>
      </c>
      <c r="T262" s="87"/>
    </row>
    <row r="263" spans="1:20" s="14" customFormat="1" x14ac:dyDescent="0.25">
      <c r="A263" s="53" t="s">
        <v>25</v>
      </c>
      <c r="B263" s="61" t="s">
        <v>346</v>
      </c>
      <c r="C263" s="50" t="s">
        <v>347</v>
      </c>
      <c r="D263" s="47">
        <v>0</v>
      </c>
      <c r="E263" s="47">
        <v>0</v>
      </c>
      <c r="F263" s="47">
        <f t="shared" si="39"/>
        <v>0</v>
      </c>
      <c r="G263" s="47">
        <f t="shared" si="42"/>
        <v>0</v>
      </c>
      <c r="H263" s="47">
        <f t="shared" si="40"/>
        <v>7.3256039999999994E-3</v>
      </c>
      <c r="I263" s="47">
        <v>0</v>
      </c>
      <c r="J263" s="47">
        <v>7.3256039999999994E-3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f t="shared" si="36"/>
        <v>-7.3256039999999994E-3</v>
      </c>
      <c r="R263" s="47">
        <f t="shared" si="37"/>
        <v>7.3256039999999994E-3</v>
      </c>
      <c r="S263" s="48">
        <v>100</v>
      </c>
      <c r="T263" s="87"/>
    </row>
    <row r="264" spans="1:20" s="14" customFormat="1" x14ac:dyDescent="0.25">
      <c r="A264" s="53" t="s">
        <v>25</v>
      </c>
      <c r="B264" s="61" t="s">
        <v>348</v>
      </c>
      <c r="C264" s="50" t="s">
        <v>349</v>
      </c>
      <c r="D264" s="47">
        <v>0</v>
      </c>
      <c r="E264" s="47">
        <v>0</v>
      </c>
      <c r="F264" s="47">
        <f t="shared" si="39"/>
        <v>0</v>
      </c>
      <c r="G264" s="47">
        <f t="shared" si="42"/>
        <v>0</v>
      </c>
      <c r="H264" s="47">
        <f t="shared" si="40"/>
        <v>6.5546999999999992E-3</v>
      </c>
      <c r="I264" s="47">
        <v>0</v>
      </c>
      <c r="J264" s="47">
        <v>6.5546999999999992E-3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f t="shared" si="36"/>
        <v>-6.5546999999999992E-3</v>
      </c>
      <c r="R264" s="47">
        <f t="shared" si="37"/>
        <v>6.5546999999999992E-3</v>
      </c>
      <c r="S264" s="48">
        <v>100</v>
      </c>
      <c r="T264" s="87"/>
    </row>
    <row r="265" spans="1:20" s="14" customFormat="1" x14ac:dyDescent="0.25">
      <c r="A265" s="53" t="s">
        <v>25</v>
      </c>
      <c r="B265" s="61" t="s">
        <v>536</v>
      </c>
      <c r="C265" s="50" t="s">
        <v>537</v>
      </c>
      <c r="D265" s="47">
        <v>0</v>
      </c>
      <c r="E265" s="47">
        <v>0</v>
      </c>
      <c r="F265" s="47">
        <f t="shared" si="39"/>
        <v>0</v>
      </c>
      <c r="G265" s="47">
        <v>0</v>
      </c>
      <c r="H265" s="47">
        <f t="shared" si="40"/>
        <v>2.1827711999999999E-2</v>
      </c>
      <c r="I265" s="47">
        <v>0</v>
      </c>
      <c r="J265" s="47">
        <v>0</v>
      </c>
      <c r="K265" s="47">
        <v>0</v>
      </c>
      <c r="L265" s="47">
        <v>2.1827711999999999E-2</v>
      </c>
      <c r="M265" s="47">
        <v>0</v>
      </c>
      <c r="N265" s="47">
        <v>0</v>
      </c>
      <c r="O265" s="47">
        <v>0</v>
      </c>
      <c r="P265" s="47">
        <v>0</v>
      </c>
      <c r="Q265" s="47">
        <f t="shared" si="36"/>
        <v>-2.1827711999999999E-2</v>
      </c>
      <c r="R265" s="47">
        <f t="shared" si="37"/>
        <v>2.1827711999999999E-2</v>
      </c>
      <c r="S265" s="48">
        <v>100</v>
      </c>
      <c r="T265" s="87"/>
    </row>
    <row r="266" spans="1:20" s="14" customFormat="1" x14ac:dyDescent="0.25">
      <c r="A266" s="53" t="s">
        <v>25</v>
      </c>
      <c r="B266" s="61" t="s">
        <v>538</v>
      </c>
      <c r="C266" s="50" t="s">
        <v>539</v>
      </c>
      <c r="D266" s="47">
        <v>0</v>
      </c>
      <c r="E266" s="47">
        <v>0</v>
      </c>
      <c r="F266" s="47">
        <f t="shared" si="39"/>
        <v>0</v>
      </c>
      <c r="G266" s="47">
        <v>0</v>
      </c>
      <c r="H266" s="47">
        <f t="shared" si="40"/>
        <v>7.3566959999999994E-3</v>
      </c>
      <c r="I266" s="47">
        <v>0</v>
      </c>
      <c r="J266" s="47">
        <v>0</v>
      </c>
      <c r="K266" s="47">
        <v>0</v>
      </c>
      <c r="L266" s="47">
        <v>7.3566959999999994E-3</v>
      </c>
      <c r="M266" s="47">
        <v>0</v>
      </c>
      <c r="N266" s="47">
        <v>0</v>
      </c>
      <c r="O266" s="47">
        <v>0</v>
      </c>
      <c r="P266" s="47">
        <v>0</v>
      </c>
      <c r="Q266" s="47">
        <f t="shared" si="36"/>
        <v>-7.3566959999999994E-3</v>
      </c>
      <c r="R266" s="47">
        <f t="shared" si="37"/>
        <v>7.3566959999999994E-3</v>
      </c>
      <c r="S266" s="48">
        <v>100</v>
      </c>
      <c r="T266" s="87"/>
    </row>
    <row r="267" spans="1:20" s="14" customFormat="1" x14ac:dyDescent="0.25">
      <c r="A267" s="53" t="s">
        <v>25</v>
      </c>
      <c r="B267" s="61" t="s">
        <v>540</v>
      </c>
      <c r="C267" s="50" t="s">
        <v>541</v>
      </c>
      <c r="D267" s="47">
        <v>0</v>
      </c>
      <c r="E267" s="47">
        <v>0</v>
      </c>
      <c r="F267" s="47">
        <f t="shared" si="39"/>
        <v>0</v>
      </c>
      <c r="G267" s="47">
        <v>0</v>
      </c>
      <c r="H267" s="47">
        <f t="shared" si="40"/>
        <v>3.3087360000000005E-3</v>
      </c>
      <c r="I267" s="47">
        <v>0</v>
      </c>
      <c r="J267" s="47">
        <v>0</v>
      </c>
      <c r="K267" s="47">
        <v>0</v>
      </c>
      <c r="L267" s="47">
        <v>3.3087360000000005E-3</v>
      </c>
      <c r="M267" s="47">
        <v>0</v>
      </c>
      <c r="N267" s="47">
        <v>0</v>
      </c>
      <c r="O267" s="47">
        <v>0</v>
      </c>
      <c r="P267" s="47">
        <v>0</v>
      </c>
      <c r="Q267" s="47">
        <f t="shared" si="36"/>
        <v>-3.3087360000000005E-3</v>
      </c>
      <c r="R267" s="47">
        <f t="shared" si="37"/>
        <v>3.3087360000000005E-3</v>
      </c>
      <c r="S267" s="48">
        <v>100</v>
      </c>
      <c r="T267" s="87"/>
    </row>
    <row r="268" spans="1:20" s="14" customFormat="1" x14ac:dyDescent="0.25">
      <c r="A268" s="53" t="s">
        <v>25</v>
      </c>
      <c r="B268" s="61" t="s">
        <v>542</v>
      </c>
      <c r="C268" s="50" t="s">
        <v>543</v>
      </c>
      <c r="D268" s="47">
        <v>0</v>
      </c>
      <c r="E268" s="47">
        <v>0</v>
      </c>
      <c r="F268" s="47">
        <f t="shared" si="39"/>
        <v>0</v>
      </c>
      <c r="G268" s="47">
        <v>0</v>
      </c>
      <c r="H268" s="47">
        <f t="shared" si="40"/>
        <v>6.4709279999999991E-3</v>
      </c>
      <c r="I268" s="47">
        <v>0</v>
      </c>
      <c r="J268" s="47">
        <v>0</v>
      </c>
      <c r="K268" s="47">
        <v>0</v>
      </c>
      <c r="L268" s="47">
        <v>6.4709279999999991E-3</v>
      </c>
      <c r="M268" s="47">
        <v>0</v>
      </c>
      <c r="N268" s="47">
        <v>0</v>
      </c>
      <c r="O268" s="47">
        <v>0</v>
      </c>
      <c r="P268" s="47">
        <v>0</v>
      </c>
      <c r="Q268" s="47">
        <f t="shared" ref="Q268:Q328" si="43">F268-H268</f>
        <v>-6.4709279999999991E-3</v>
      </c>
      <c r="R268" s="47">
        <f t="shared" si="37"/>
        <v>6.4709279999999991E-3</v>
      </c>
      <c r="S268" s="48">
        <v>100</v>
      </c>
      <c r="T268" s="87"/>
    </row>
    <row r="269" spans="1:20" s="14" customFormat="1" x14ac:dyDescent="0.25">
      <c r="A269" s="53" t="s">
        <v>25</v>
      </c>
      <c r="B269" s="61" t="s">
        <v>544</v>
      </c>
      <c r="C269" s="50" t="s">
        <v>545</v>
      </c>
      <c r="D269" s="47">
        <v>0</v>
      </c>
      <c r="E269" s="47">
        <v>0</v>
      </c>
      <c r="F269" s="47">
        <f t="shared" si="39"/>
        <v>0</v>
      </c>
      <c r="G269" s="47">
        <v>0</v>
      </c>
      <c r="H269" s="47">
        <f t="shared" si="40"/>
        <v>7.4840280000000002E-3</v>
      </c>
      <c r="I269" s="47">
        <v>0</v>
      </c>
      <c r="J269" s="47">
        <v>0</v>
      </c>
      <c r="K269" s="47">
        <v>0</v>
      </c>
      <c r="L269" s="47">
        <v>7.4840280000000002E-3</v>
      </c>
      <c r="M269" s="47">
        <v>0</v>
      </c>
      <c r="N269" s="47">
        <v>0</v>
      </c>
      <c r="O269" s="47">
        <v>0</v>
      </c>
      <c r="P269" s="47">
        <v>0</v>
      </c>
      <c r="Q269" s="47">
        <f t="shared" si="43"/>
        <v>-7.4840280000000002E-3</v>
      </c>
      <c r="R269" s="47">
        <f t="shared" ref="R269:R328" si="44">(J269+L269+N269+P269)-(I269+K269+M269+O269)</f>
        <v>7.4840280000000002E-3</v>
      </c>
      <c r="S269" s="48">
        <v>100</v>
      </c>
      <c r="T269" s="87"/>
    </row>
    <row r="270" spans="1:20" s="14" customFormat="1" x14ac:dyDescent="0.25">
      <c r="A270" s="77" t="s">
        <v>25</v>
      </c>
      <c r="B270" s="49" t="s">
        <v>685</v>
      </c>
      <c r="C270" s="51" t="s">
        <v>686</v>
      </c>
      <c r="D270" s="47">
        <v>0</v>
      </c>
      <c r="E270" s="47">
        <v>0</v>
      </c>
      <c r="F270" s="47">
        <f t="shared" ref="F270:F333" si="45">D270-E270</f>
        <v>0</v>
      </c>
      <c r="G270" s="47">
        <v>0</v>
      </c>
      <c r="H270" s="47">
        <f t="shared" si="40"/>
        <v>7.6643399999999995E-3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7.6643399999999995E-3</v>
      </c>
      <c r="O270" s="47">
        <v>0</v>
      </c>
      <c r="P270" s="47">
        <v>0</v>
      </c>
      <c r="Q270" s="47">
        <f t="shared" si="43"/>
        <v>-7.6643399999999995E-3</v>
      </c>
      <c r="R270" s="47">
        <f t="shared" si="44"/>
        <v>7.6643399999999995E-3</v>
      </c>
      <c r="S270" s="48">
        <v>100</v>
      </c>
      <c r="T270" s="87"/>
    </row>
    <row r="271" spans="1:20" s="14" customFormat="1" x14ac:dyDescent="0.25">
      <c r="A271" s="77" t="s">
        <v>25</v>
      </c>
      <c r="B271" s="49" t="s">
        <v>687</v>
      </c>
      <c r="C271" s="51" t="s">
        <v>688</v>
      </c>
      <c r="D271" s="47">
        <v>0</v>
      </c>
      <c r="E271" s="47">
        <v>0</v>
      </c>
      <c r="F271" s="47">
        <f t="shared" si="45"/>
        <v>0</v>
      </c>
      <c r="G271" s="47">
        <v>0</v>
      </c>
      <c r="H271" s="47">
        <f t="shared" si="40"/>
        <v>2.5552679999999998E-2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2.0712011999999998E-2</v>
      </c>
      <c r="O271" s="47">
        <v>0</v>
      </c>
      <c r="P271" s="47">
        <v>4.8406679999999994E-3</v>
      </c>
      <c r="Q271" s="47">
        <f t="shared" si="43"/>
        <v>-2.5552679999999998E-2</v>
      </c>
      <c r="R271" s="47">
        <f t="shared" si="44"/>
        <v>2.5552679999999998E-2</v>
      </c>
      <c r="S271" s="48">
        <v>100</v>
      </c>
      <c r="T271" s="87"/>
    </row>
    <row r="272" spans="1:20" s="14" customFormat="1" x14ac:dyDescent="0.25">
      <c r="A272" s="77" t="s">
        <v>25</v>
      </c>
      <c r="B272" s="49" t="s">
        <v>689</v>
      </c>
      <c r="C272" s="51" t="s">
        <v>690</v>
      </c>
      <c r="D272" s="47">
        <v>0</v>
      </c>
      <c r="E272" s="47">
        <v>0</v>
      </c>
      <c r="F272" s="47">
        <f t="shared" si="45"/>
        <v>0</v>
      </c>
      <c r="G272" s="47">
        <v>0</v>
      </c>
      <c r="H272" s="47">
        <f t="shared" si="40"/>
        <v>6.853764E-3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6.853764E-3</v>
      </c>
      <c r="O272" s="47">
        <v>0</v>
      </c>
      <c r="P272" s="47">
        <v>0</v>
      </c>
      <c r="Q272" s="47">
        <f t="shared" si="43"/>
        <v>-6.853764E-3</v>
      </c>
      <c r="R272" s="47">
        <f t="shared" si="44"/>
        <v>6.853764E-3</v>
      </c>
      <c r="S272" s="48">
        <v>100</v>
      </c>
      <c r="T272" s="87"/>
    </row>
    <row r="273" spans="1:20" s="14" customFormat="1" x14ac:dyDescent="0.25">
      <c r="A273" s="53" t="s">
        <v>25</v>
      </c>
      <c r="B273" s="61" t="s">
        <v>828</v>
      </c>
      <c r="C273" s="50" t="s">
        <v>829</v>
      </c>
      <c r="D273" s="47">
        <v>0</v>
      </c>
      <c r="E273" s="47">
        <v>0</v>
      </c>
      <c r="F273" s="47">
        <f t="shared" si="45"/>
        <v>0</v>
      </c>
      <c r="G273" s="47">
        <v>0</v>
      </c>
      <c r="H273" s="47">
        <f t="shared" si="40"/>
        <v>5.7404880000000002E-3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5.7404880000000002E-3</v>
      </c>
      <c r="Q273" s="47">
        <f t="shared" si="43"/>
        <v>-5.7404880000000002E-3</v>
      </c>
      <c r="R273" s="47">
        <f t="shared" si="44"/>
        <v>5.7404880000000002E-3</v>
      </c>
      <c r="S273" s="48">
        <v>100</v>
      </c>
      <c r="T273" s="87"/>
    </row>
    <row r="274" spans="1:20" s="14" customFormat="1" x14ac:dyDescent="0.25">
      <c r="A274" s="53" t="s">
        <v>25</v>
      </c>
      <c r="B274" s="61" t="s">
        <v>830</v>
      </c>
      <c r="C274" s="50" t="s">
        <v>831</v>
      </c>
      <c r="D274" s="47">
        <v>0</v>
      </c>
      <c r="E274" s="47">
        <v>0</v>
      </c>
      <c r="F274" s="47">
        <f t="shared" si="45"/>
        <v>0</v>
      </c>
      <c r="G274" s="47">
        <v>0</v>
      </c>
      <c r="H274" s="47">
        <f t="shared" si="40"/>
        <v>4.2835319999999996E-3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4.2835319999999996E-3</v>
      </c>
      <c r="Q274" s="47">
        <f t="shared" si="43"/>
        <v>-4.2835319999999996E-3</v>
      </c>
      <c r="R274" s="47">
        <f t="shared" si="44"/>
        <v>4.2835319999999996E-3</v>
      </c>
      <c r="S274" s="48">
        <v>100</v>
      </c>
      <c r="T274" s="87"/>
    </row>
    <row r="275" spans="1:20" s="14" customFormat="1" x14ac:dyDescent="0.25">
      <c r="A275" s="53" t="s">
        <v>25</v>
      </c>
      <c r="B275" s="61" t="s">
        <v>832</v>
      </c>
      <c r="C275" s="50" t="s">
        <v>833</v>
      </c>
      <c r="D275" s="47">
        <v>0</v>
      </c>
      <c r="E275" s="47">
        <v>0</v>
      </c>
      <c r="F275" s="47">
        <f t="shared" si="45"/>
        <v>0</v>
      </c>
      <c r="G275" s="47">
        <v>0</v>
      </c>
      <c r="H275" s="47">
        <f t="shared" si="40"/>
        <v>3.6694320000000002E-3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3.6694320000000002E-3</v>
      </c>
      <c r="Q275" s="47">
        <f t="shared" si="43"/>
        <v>-3.6694320000000002E-3</v>
      </c>
      <c r="R275" s="47">
        <f t="shared" si="44"/>
        <v>3.6694320000000002E-3</v>
      </c>
      <c r="S275" s="48">
        <v>100</v>
      </c>
      <c r="T275" s="87"/>
    </row>
    <row r="276" spans="1:20" s="14" customFormat="1" x14ac:dyDescent="0.25">
      <c r="A276" s="53" t="s">
        <v>25</v>
      </c>
      <c r="B276" s="61" t="s">
        <v>834</v>
      </c>
      <c r="C276" s="50" t="s">
        <v>835</v>
      </c>
      <c r="D276" s="47">
        <v>0</v>
      </c>
      <c r="E276" s="47">
        <v>0</v>
      </c>
      <c r="F276" s="47">
        <f t="shared" si="45"/>
        <v>0</v>
      </c>
      <c r="G276" s="47">
        <v>0</v>
      </c>
      <c r="H276" s="47">
        <f t="shared" si="40"/>
        <v>4.2872039999999993E-3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4.2872039999999993E-3</v>
      </c>
      <c r="Q276" s="47">
        <f t="shared" si="43"/>
        <v>-4.2872039999999993E-3</v>
      </c>
      <c r="R276" s="47">
        <f t="shared" si="44"/>
        <v>4.2872039999999993E-3</v>
      </c>
      <c r="S276" s="48">
        <v>100</v>
      </c>
      <c r="T276" s="87"/>
    </row>
    <row r="277" spans="1:20" s="14" customFormat="1" x14ac:dyDescent="0.25">
      <c r="A277" s="53" t="s">
        <v>25</v>
      </c>
      <c r="B277" s="61" t="s">
        <v>836</v>
      </c>
      <c r="C277" s="50" t="s">
        <v>837</v>
      </c>
      <c r="D277" s="47">
        <v>0</v>
      </c>
      <c r="E277" s="47">
        <v>0</v>
      </c>
      <c r="F277" s="47">
        <f t="shared" si="45"/>
        <v>0</v>
      </c>
      <c r="G277" s="47">
        <v>0</v>
      </c>
      <c r="H277" s="47">
        <f t="shared" si="40"/>
        <v>1.2704448E-2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1.2704448E-2</v>
      </c>
      <c r="Q277" s="47">
        <f t="shared" si="43"/>
        <v>-1.2704448E-2</v>
      </c>
      <c r="R277" s="47">
        <f t="shared" si="44"/>
        <v>1.2704448E-2</v>
      </c>
      <c r="S277" s="48">
        <v>100</v>
      </c>
      <c r="T277" s="87"/>
    </row>
    <row r="278" spans="1:20" s="14" customFormat="1" x14ac:dyDescent="0.25">
      <c r="A278" s="53" t="s">
        <v>25</v>
      </c>
      <c r="B278" s="61" t="s">
        <v>838</v>
      </c>
      <c r="C278" s="50" t="s">
        <v>839</v>
      </c>
      <c r="D278" s="47">
        <v>0</v>
      </c>
      <c r="E278" s="47">
        <v>0</v>
      </c>
      <c r="F278" s="47">
        <f t="shared" si="45"/>
        <v>0</v>
      </c>
      <c r="G278" s="47">
        <v>0</v>
      </c>
      <c r="H278" s="47">
        <f t="shared" si="40"/>
        <v>7.9204799999999988E-3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7.9204799999999988E-3</v>
      </c>
      <c r="Q278" s="47">
        <f t="shared" si="43"/>
        <v>-7.9204799999999988E-3</v>
      </c>
      <c r="R278" s="47">
        <f t="shared" si="44"/>
        <v>7.9204799999999988E-3</v>
      </c>
      <c r="S278" s="48">
        <v>100</v>
      </c>
      <c r="T278" s="87"/>
    </row>
    <row r="279" spans="1:20" s="14" customFormat="1" x14ac:dyDescent="0.25">
      <c r="A279" s="53" t="s">
        <v>25</v>
      </c>
      <c r="B279" s="61" t="s">
        <v>840</v>
      </c>
      <c r="C279" s="50" t="s">
        <v>841</v>
      </c>
      <c r="D279" s="47">
        <v>0</v>
      </c>
      <c r="E279" s="47">
        <v>0</v>
      </c>
      <c r="F279" s="47">
        <f t="shared" si="45"/>
        <v>0</v>
      </c>
      <c r="G279" s="47">
        <v>0</v>
      </c>
      <c r="H279" s="47">
        <f t="shared" si="40"/>
        <v>7.6874051999999998E-2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7.6874051999999998E-2</v>
      </c>
      <c r="Q279" s="47">
        <f t="shared" si="43"/>
        <v>-7.6874051999999998E-2</v>
      </c>
      <c r="R279" s="47">
        <f t="shared" si="44"/>
        <v>7.6874051999999998E-2</v>
      </c>
      <c r="S279" s="48">
        <v>100</v>
      </c>
      <c r="T279" s="87"/>
    </row>
    <row r="280" spans="1:20" s="14" customFormat="1" x14ac:dyDescent="0.25">
      <c r="A280" s="53" t="s">
        <v>25</v>
      </c>
      <c r="B280" s="61" t="s">
        <v>842</v>
      </c>
      <c r="C280" s="50" t="s">
        <v>843</v>
      </c>
      <c r="D280" s="47">
        <v>0</v>
      </c>
      <c r="E280" s="47">
        <v>0</v>
      </c>
      <c r="F280" s="47">
        <f t="shared" si="45"/>
        <v>0</v>
      </c>
      <c r="G280" s="47">
        <v>0</v>
      </c>
      <c r="H280" s="47">
        <f t="shared" si="40"/>
        <v>7.8613799999999994E-3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>
        <v>7.8613799999999994E-3</v>
      </c>
      <c r="Q280" s="47">
        <f t="shared" si="43"/>
        <v>-7.8613799999999994E-3</v>
      </c>
      <c r="R280" s="47">
        <f t="shared" si="44"/>
        <v>7.8613799999999994E-3</v>
      </c>
      <c r="S280" s="48">
        <v>100</v>
      </c>
      <c r="T280" s="87"/>
    </row>
    <row r="281" spans="1:20" s="14" customFormat="1" x14ac:dyDescent="0.25">
      <c r="A281" s="53" t="s">
        <v>25</v>
      </c>
      <c r="B281" s="61" t="s">
        <v>844</v>
      </c>
      <c r="C281" s="50" t="s">
        <v>845</v>
      </c>
      <c r="D281" s="47">
        <v>0</v>
      </c>
      <c r="E281" s="47">
        <v>0</v>
      </c>
      <c r="F281" s="47">
        <f t="shared" si="45"/>
        <v>0</v>
      </c>
      <c r="G281" s="47">
        <v>0</v>
      </c>
      <c r="H281" s="47">
        <f t="shared" si="40"/>
        <v>0.126543564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0.126543564</v>
      </c>
      <c r="Q281" s="47">
        <f t="shared" si="43"/>
        <v>-0.126543564</v>
      </c>
      <c r="R281" s="47">
        <f t="shared" si="44"/>
        <v>0.126543564</v>
      </c>
      <c r="S281" s="48">
        <v>100</v>
      </c>
      <c r="T281" s="87"/>
    </row>
    <row r="282" spans="1:20" s="14" customFormat="1" x14ac:dyDescent="0.25">
      <c r="A282" s="53" t="s">
        <v>25</v>
      </c>
      <c r="B282" s="61" t="s">
        <v>846</v>
      </c>
      <c r="C282" s="50" t="s">
        <v>847</v>
      </c>
      <c r="D282" s="47">
        <v>0</v>
      </c>
      <c r="E282" s="47">
        <v>0</v>
      </c>
      <c r="F282" s="47">
        <f t="shared" si="45"/>
        <v>0</v>
      </c>
      <c r="G282" s="47">
        <v>0</v>
      </c>
      <c r="H282" s="47">
        <f t="shared" si="40"/>
        <v>4.9534199999999994E-2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4.9534199999999994E-2</v>
      </c>
      <c r="Q282" s="47">
        <f t="shared" si="43"/>
        <v>-4.9534199999999994E-2</v>
      </c>
      <c r="R282" s="47">
        <f t="shared" si="44"/>
        <v>4.9534199999999994E-2</v>
      </c>
      <c r="S282" s="48">
        <v>100</v>
      </c>
      <c r="T282" s="87"/>
    </row>
    <row r="283" spans="1:20" s="14" customFormat="1" x14ac:dyDescent="0.25">
      <c r="A283" s="53" t="s">
        <v>25</v>
      </c>
      <c r="B283" s="61" t="s">
        <v>848</v>
      </c>
      <c r="C283" s="50" t="s">
        <v>849</v>
      </c>
      <c r="D283" s="47">
        <v>0</v>
      </c>
      <c r="E283" s="47">
        <v>0</v>
      </c>
      <c r="F283" s="47">
        <f t="shared" si="45"/>
        <v>0</v>
      </c>
      <c r="G283" s="47">
        <v>0</v>
      </c>
      <c r="H283" s="47">
        <f t="shared" ref="H283:H328" si="46">J283+L283+N283+P283</f>
        <v>4.7899956E-2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4.7899956E-2</v>
      </c>
      <c r="Q283" s="47">
        <f t="shared" si="43"/>
        <v>-4.7899956E-2</v>
      </c>
      <c r="R283" s="47">
        <f t="shared" si="44"/>
        <v>4.7899956E-2</v>
      </c>
      <c r="S283" s="48">
        <v>100</v>
      </c>
      <c r="T283" s="87"/>
    </row>
    <row r="284" spans="1:20" s="14" customFormat="1" x14ac:dyDescent="0.25">
      <c r="A284" s="53" t="s">
        <v>25</v>
      </c>
      <c r="B284" s="61" t="s">
        <v>850</v>
      </c>
      <c r="C284" s="50" t="s">
        <v>851</v>
      </c>
      <c r="D284" s="47">
        <v>0</v>
      </c>
      <c r="E284" s="47">
        <v>0</v>
      </c>
      <c r="F284" s="47">
        <f t="shared" si="45"/>
        <v>0</v>
      </c>
      <c r="G284" s="47">
        <v>0</v>
      </c>
      <c r="H284" s="47">
        <f t="shared" si="46"/>
        <v>8.7233231999999994E-2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8.7233231999999994E-2</v>
      </c>
      <c r="Q284" s="47">
        <f t="shared" si="43"/>
        <v>-8.7233231999999994E-2</v>
      </c>
      <c r="R284" s="47">
        <f t="shared" si="44"/>
        <v>8.7233231999999994E-2</v>
      </c>
      <c r="S284" s="48">
        <v>100</v>
      </c>
      <c r="T284" s="87"/>
    </row>
    <row r="285" spans="1:20" s="14" customFormat="1" x14ac:dyDescent="0.25">
      <c r="A285" s="53" t="s">
        <v>25</v>
      </c>
      <c r="B285" s="61" t="s">
        <v>852</v>
      </c>
      <c r="C285" s="50" t="s">
        <v>853</v>
      </c>
      <c r="D285" s="47">
        <v>0</v>
      </c>
      <c r="E285" s="47">
        <v>0</v>
      </c>
      <c r="F285" s="47">
        <f t="shared" si="45"/>
        <v>0</v>
      </c>
      <c r="G285" s="47">
        <v>0</v>
      </c>
      <c r="H285" s="47">
        <f t="shared" si="46"/>
        <v>1.20813E-2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1.20813E-2</v>
      </c>
      <c r="Q285" s="47">
        <f t="shared" si="43"/>
        <v>-1.20813E-2</v>
      </c>
      <c r="R285" s="47">
        <f t="shared" si="44"/>
        <v>1.20813E-2</v>
      </c>
      <c r="S285" s="48">
        <v>100</v>
      </c>
      <c r="T285" s="87"/>
    </row>
    <row r="286" spans="1:20" s="14" customFormat="1" x14ac:dyDescent="0.25">
      <c r="A286" s="53" t="s">
        <v>25</v>
      </c>
      <c r="B286" s="61" t="s">
        <v>854</v>
      </c>
      <c r="C286" s="50" t="s">
        <v>855</v>
      </c>
      <c r="D286" s="47">
        <v>0</v>
      </c>
      <c r="E286" s="47">
        <v>0</v>
      </c>
      <c r="F286" s="47">
        <f t="shared" si="45"/>
        <v>0</v>
      </c>
      <c r="G286" s="47">
        <v>0</v>
      </c>
      <c r="H286" s="47">
        <f t="shared" si="46"/>
        <v>3.7918919999999998E-3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3.7918919999999998E-3</v>
      </c>
      <c r="Q286" s="47">
        <f t="shared" si="43"/>
        <v>-3.7918919999999998E-3</v>
      </c>
      <c r="R286" s="47">
        <f t="shared" si="44"/>
        <v>3.7918919999999998E-3</v>
      </c>
      <c r="S286" s="48">
        <v>100</v>
      </c>
      <c r="T286" s="87"/>
    </row>
    <row r="287" spans="1:20" s="14" customFormat="1" x14ac:dyDescent="0.25">
      <c r="A287" s="53" t="s">
        <v>25</v>
      </c>
      <c r="B287" s="61" t="s">
        <v>854</v>
      </c>
      <c r="C287" s="50" t="s">
        <v>856</v>
      </c>
      <c r="D287" s="47">
        <v>0</v>
      </c>
      <c r="E287" s="47">
        <v>0</v>
      </c>
      <c r="F287" s="47">
        <f t="shared" si="45"/>
        <v>0</v>
      </c>
      <c r="G287" s="47">
        <v>0</v>
      </c>
      <c r="H287" s="47">
        <f t="shared" si="46"/>
        <v>1.7633928E-2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1.7633928E-2</v>
      </c>
      <c r="Q287" s="47">
        <f t="shared" si="43"/>
        <v>-1.7633928E-2</v>
      </c>
      <c r="R287" s="47">
        <f t="shared" si="44"/>
        <v>1.7633928E-2</v>
      </c>
      <c r="S287" s="48">
        <v>100</v>
      </c>
      <c r="T287" s="87"/>
    </row>
    <row r="288" spans="1:20" s="14" customFormat="1" x14ac:dyDescent="0.25">
      <c r="A288" s="53" t="s">
        <v>25</v>
      </c>
      <c r="B288" s="61" t="s">
        <v>857</v>
      </c>
      <c r="C288" s="50" t="s">
        <v>858</v>
      </c>
      <c r="D288" s="47">
        <v>0</v>
      </c>
      <c r="E288" s="47">
        <v>0</v>
      </c>
      <c r="F288" s="47">
        <f t="shared" si="45"/>
        <v>0</v>
      </c>
      <c r="G288" s="47">
        <v>0</v>
      </c>
      <c r="H288" s="47">
        <f t="shared" si="46"/>
        <v>5.0536679999999999E-3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5.0536679999999999E-3</v>
      </c>
      <c r="Q288" s="47">
        <f t="shared" si="43"/>
        <v>-5.0536679999999999E-3</v>
      </c>
      <c r="R288" s="47">
        <f t="shared" si="44"/>
        <v>5.0536679999999999E-3</v>
      </c>
      <c r="S288" s="48">
        <v>100</v>
      </c>
      <c r="T288" s="87"/>
    </row>
    <row r="289" spans="1:20" s="14" customFormat="1" x14ac:dyDescent="0.25">
      <c r="A289" s="53" t="s">
        <v>25</v>
      </c>
      <c r="B289" s="61" t="s">
        <v>859</v>
      </c>
      <c r="C289" s="50" t="s">
        <v>860</v>
      </c>
      <c r="D289" s="47">
        <v>0</v>
      </c>
      <c r="E289" s="47">
        <v>0</v>
      </c>
      <c r="F289" s="47">
        <f t="shared" si="45"/>
        <v>0</v>
      </c>
      <c r="G289" s="47">
        <v>0</v>
      </c>
      <c r="H289" s="47">
        <f t="shared" si="46"/>
        <v>5.432124E-3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5.432124E-3</v>
      </c>
      <c r="Q289" s="47">
        <f t="shared" si="43"/>
        <v>-5.432124E-3</v>
      </c>
      <c r="R289" s="47">
        <f t="shared" si="44"/>
        <v>5.432124E-3</v>
      </c>
      <c r="S289" s="48">
        <v>100</v>
      </c>
      <c r="T289" s="87"/>
    </row>
    <row r="290" spans="1:20" s="14" customFormat="1" x14ac:dyDescent="0.25">
      <c r="A290" s="53" t="s">
        <v>25</v>
      </c>
      <c r="B290" s="61" t="s">
        <v>861</v>
      </c>
      <c r="C290" s="50" t="s">
        <v>862</v>
      </c>
      <c r="D290" s="47">
        <v>0</v>
      </c>
      <c r="E290" s="47">
        <v>0</v>
      </c>
      <c r="F290" s="47">
        <f t="shared" si="45"/>
        <v>0</v>
      </c>
      <c r="G290" s="47">
        <v>0</v>
      </c>
      <c r="H290" s="47">
        <f t="shared" si="46"/>
        <v>6.6644159999999994E-3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6.6644159999999994E-3</v>
      </c>
      <c r="Q290" s="47">
        <f t="shared" si="43"/>
        <v>-6.6644159999999994E-3</v>
      </c>
      <c r="R290" s="47">
        <f t="shared" si="44"/>
        <v>6.6644159999999994E-3</v>
      </c>
      <c r="S290" s="48">
        <v>100</v>
      </c>
      <c r="T290" s="87"/>
    </row>
    <row r="291" spans="1:20" s="14" customFormat="1" x14ac:dyDescent="0.25">
      <c r="A291" s="53" t="s">
        <v>25</v>
      </c>
      <c r="B291" s="61" t="s">
        <v>863</v>
      </c>
      <c r="C291" s="50" t="s">
        <v>864</v>
      </c>
      <c r="D291" s="47">
        <v>0</v>
      </c>
      <c r="E291" s="47">
        <v>0</v>
      </c>
      <c r="F291" s="47">
        <f t="shared" si="45"/>
        <v>0</v>
      </c>
      <c r="G291" s="47">
        <v>0</v>
      </c>
      <c r="H291" s="47">
        <f t="shared" si="46"/>
        <v>7.4315999999999991E-3</v>
      </c>
      <c r="I291" s="47">
        <v>0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7.4315999999999991E-3</v>
      </c>
      <c r="Q291" s="47">
        <f t="shared" si="43"/>
        <v>-7.4315999999999991E-3</v>
      </c>
      <c r="R291" s="47">
        <f t="shared" si="44"/>
        <v>7.4315999999999991E-3</v>
      </c>
      <c r="S291" s="48">
        <v>100</v>
      </c>
      <c r="T291" s="87"/>
    </row>
    <row r="292" spans="1:20" s="14" customFormat="1" x14ac:dyDescent="0.25">
      <c r="A292" s="53" t="s">
        <v>25</v>
      </c>
      <c r="B292" s="61" t="s">
        <v>865</v>
      </c>
      <c r="C292" s="50" t="s">
        <v>866</v>
      </c>
      <c r="D292" s="47">
        <v>0</v>
      </c>
      <c r="E292" s="47">
        <v>0</v>
      </c>
      <c r="F292" s="47">
        <f t="shared" si="45"/>
        <v>0</v>
      </c>
      <c r="G292" s="47">
        <v>0</v>
      </c>
      <c r="H292" s="47">
        <f t="shared" si="46"/>
        <v>9.0027959999999987E-3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9.0027959999999987E-3</v>
      </c>
      <c r="Q292" s="47">
        <f t="shared" si="43"/>
        <v>-9.0027959999999987E-3</v>
      </c>
      <c r="R292" s="47">
        <f t="shared" si="44"/>
        <v>9.0027959999999987E-3</v>
      </c>
      <c r="S292" s="48">
        <v>100</v>
      </c>
      <c r="T292" s="87"/>
    </row>
    <row r="293" spans="1:20" s="14" customFormat="1" x14ac:dyDescent="0.25">
      <c r="A293" s="53" t="s">
        <v>25</v>
      </c>
      <c r="B293" s="61" t="s">
        <v>867</v>
      </c>
      <c r="C293" s="50" t="s">
        <v>868</v>
      </c>
      <c r="D293" s="47">
        <v>0</v>
      </c>
      <c r="E293" s="47">
        <v>0</v>
      </c>
      <c r="F293" s="47">
        <f t="shared" si="45"/>
        <v>0</v>
      </c>
      <c r="G293" s="47">
        <v>0</v>
      </c>
      <c r="H293" s="47">
        <f t="shared" si="46"/>
        <v>5.3407716000000001E-2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5.3407716000000001E-2</v>
      </c>
      <c r="Q293" s="47">
        <f t="shared" si="43"/>
        <v>-5.3407716000000001E-2</v>
      </c>
      <c r="R293" s="47">
        <f t="shared" si="44"/>
        <v>5.3407716000000001E-2</v>
      </c>
      <c r="S293" s="48">
        <v>100</v>
      </c>
      <c r="T293" s="87"/>
    </row>
    <row r="294" spans="1:20" s="14" customFormat="1" x14ac:dyDescent="0.25">
      <c r="A294" s="53" t="s">
        <v>25</v>
      </c>
      <c r="B294" s="61" t="s">
        <v>854</v>
      </c>
      <c r="C294" s="50" t="s">
        <v>869</v>
      </c>
      <c r="D294" s="47">
        <v>0</v>
      </c>
      <c r="E294" s="47">
        <v>0</v>
      </c>
      <c r="F294" s="47">
        <f t="shared" si="45"/>
        <v>0</v>
      </c>
      <c r="G294" s="47">
        <v>0</v>
      </c>
      <c r="H294" s="47">
        <f t="shared" si="46"/>
        <v>6.1702440000000001E-3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6.1702440000000001E-3</v>
      </c>
      <c r="Q294" s="47">
        <f t="shared" si="43"/>
        <v>-6.1702440000000001E-3</v>
      </c>
      <c r="R294" s="47">
        <f t="shared" si="44"/>
        <v>6.1702440000000001E-3</v>
      </c>
      <c r="S294" s="48">
        <v>100</v>
      </c>
      <c r="T294" s="88"/>
    </row>
    <row r="295" spans="1:20" s="14" customFormat="1" ht="32.25" customHeight="1" x14ac:dyDescent="0.25">
      <c r="A295" s="53" t="s">
        <v>25</v>
      </c>
      <c r="B295" s="61" t="s">
        <v>183</v>
      </c>
      <c r="C295" s="50" t="s">
        <v>184</v>
      </c>
      <c r="D295" s="47">
        <v>3.1496124120000006</v>
      </c>
      <c r="E295" s="47">
        <v>0</v>
      </c>
      <c r="F295" s="47">
        <f t="shared" si="45"/>
        <v>3.1496124120000006</v>
      </c>
      <c r="G295" s="47">
        <f>I295+K295+M295+O295</f>
        <v>3.1496124120000006</v>
      </c>
      <c r="H295" s="47">
        <f t="shared" si="46"/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3.1496124120000006</v>
      </c>
      <c r="P295" s="47">
        <v>0</v>
      </c>
      <c r="Q295" s="47">
        <f t="shared" si="43"/>
        <v>3.1496124120000006</v>
      </c>
      <c r="R295" s="47">
        <f t="shared" si="44"/>
        <v>-3.1496124120000006</v>
      </c>
      <c r="S295" s="48">
        <f t="shared" ref="S295:S328" si="47">(J295+L295+N295+P295)/(I295+K295+M295+O295)*100-100</f>
        <v>-100</v>
      </c>
      <c r="T295" s="86" t="s">
        <v>727</v>
      </c>
    </row>
    <row r="296" spans="1:20" s="14" customFormat="1" ht="32.25" customHeight="1" x14ac:dyDescent="0.25">
      <c r="A296" s="53" t="s">
        <v>25</v>
      </c>
      <c r="B296" s="61" t="s">
        <v>350</v>
      </c>
      <c r="C296" s="50" t="s">
        <v>351</v>
      </c>
      <c r="D296" s="47">
        <v>0</v>
      </c>
      <c r="E296" s="47">
        <v>0</v>
      </c>
      <c r="F296" s="47">
        <f t="shared" si="45"/>
        <v>0</v>
      </c>
      <c r="G296" s="47">
        <f>I296+K296+M296+O296</f>
        <v>0</v>
      </c>
      <c r="H296" s="47">
        <f t="shared" si="46"/>
        <v>5.881194E-2</v>
      </c>
      <c r="I296" s="47">
        <v>0</v>
      </c>
      <c r="J296" s="47">
        <v>5.881194E-2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f t="shared" si="43"/>
        <v>-5.881194E-2</v>
      </c>
      <c r="R296" s="47">
        <f t="shared" si="44"/>
        <v>5.881194E-2</v>
      </c>
      <c r="S296" s="48">
        <v>100</v>
      </c>
      <c r="T296" s="87"/>
    </row>
    <row r="297" spans="1:20" s="14" customFormat="1" ht="32.25" customHeight="1" x14ac:dyDescent="0.25">
      <c r="A297" s="53" t="s">
        <v>25</v>
      </c>
      <c r="B297" s="61" t="s">
        <v>352</v>
      </c>
      <c r="C297" s="50" t="s">
        <v>353</v>
      </c>
      <c r="D297" s="47">
        <v>0</v>
      </c>
      <c r="E297" s="47">
        <v>0</v>
      </c>
      <c r="F297" s="47">
        <f t="shared" si="45"/>
        <v>0</v>
      </c>
      <c r="G297" s="47">
        <f>I297+K297+M297+O297</f>
        <v>0</v>
      </c>
      <c r="H297" s="47">
        <f t="shared" si="46"/>
        <v>5.0392812000000002E-2</v>
      </c>
      <c r="I297" s="47">
        <v>0</v>
      </c>
      <c r="J297" s="47">
        <v>5.0392812000000002E-2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f t="shared" si="43"/>
        <v>-5.0392812000000002E-2</v>
      </c>
      <c r="R297" s="47">
        <f t="shared" si="44"/>
        <v>5.0392812000000002E-2</v>
      </c>
      <c r="S297" s="48">
        <v>100</v>
      </c>
      <c r="T297" s="87"/>
    </row>
    <row r="298" spans="1:20" s="14" customFormat="1" ht="32.25" customHeight="1" x14ac:dyDescent="0.25">
      <c r="A298" s="53" t="s">
        <v>25</v>
      </c>
      <c r="B298" s="61" t="s">
        <v>546</v>
      </c>
      <c r="C298" s="50" t="s">
        <v>547</v>
      </c>
      <c r="D298" s="47">
        <v>0</v>
      </c>
      <c r="E298" s="47">
        <v>0</v>
      </c>
      <c r="F298" s="47">
        <f t="shared" si="45"/>
        <v>0</v>
      </c>
      <c r="G298" s="47">
        <v>0</v>
      </c>
      <c r="H298" s="47">
        <f t="shared" si="46"/>
        <v>0.11842691999999999</v>
      </c>
      <c r="I298" s="47">
        <v>0</v>
      </c>
      <c r="J298" s="47">
        <v>0.11842691999999999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f t="shared" si="43"/>
        <v>-0.11842691999999999</v>
      </c>
      <c r="R298" s="47">
        <f t="shared" si="44"/>
        <v>0.11842691999999999</v>
      </c>
      <c r="S298" s="48">
        <v>100</v>
      </c>
      <c r="T298" s="87"/>
    </row>
    <row r="299" spans="1:20" s="14" customFormat="1" x14ac:dyDescent="0.25">
      <c r="A299" s="77" t="s">
        <v>25</v>
      </c>
      <c r="B299" s="49" t="s">
        <v>691</v>
      </c>
      <c r="C299" s="51" t="s">
        <v>692</v>
      </c>
      <c r="D299" s="47">
        <v>0</v>
      </c>
      <c r="E299" s="47">
        <v>0</v>
      </c>
      <c r="F299" s="47">
        <f t="shared" si="45"/>
        <v>0</v>
      </c>
      <c r="G299" s="47">
        <v>0</v>
      </c>
      <c r="H299" s="47">
        <f t="shared" si="46"/>
        <v>4.8076259999999996E-2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4.8076259999999996E-2</v>
      </c>
      <c r="O299" s="47">
        <v>0</v>
      </c>
      <c r="P299" s="47">
        <v>0</v>
      </c>
      <c r="Q299" s="47">
        <f t="shared" si="43"/>
        <v>-4.8076259999999996E-2</v>
      </c>
      <c r="R299" s="47">
        <f t="shared" si="44"/>
        <v>4.8076259999999996E-2</v>
      </c>
      <c r="S299" s="48">
        <v>100</v>
      </c>
      <c r="T299" s="87"/>
    </row>
    <row r="300" spans="1:20" s="14" customFormat="1" x14ac:dyDescent="0.25">
      <c r="A300" s="77" t="s">
        <v>25</v>
      </c>
      <c r="B300" s="49" t="s">
        <v>693</v>
      </c>
      <c r="C300" s="51" t="s">
        <v>694</v>
      </c>
      <c r="D300" s="47">
        <v>0</v>
      </c>
      <c r="E300" s="47">
        <v>0</v>
      </c>
      <c r="F300" s="47">
        <f t="shared" si="45"/>
        <v>0</v>
      </c>
      <c r="G300" s="47">
        <v>0</v>
      </c>
      <c r="H300" s="47">
        <f t="shared" si="46"/>
        <v>2.1853715999999995E-2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2.1853715999999995E-2</v>
      </c>
      <c r="O300" s="47">
        <v>0</v>
      </c>
      <c r="P300" s="47">
        <v>0</v>
      </c>
      <c r="Q300" s="47">
        <f t="shared" si="43"/>
        <v>-2.1853715999999995E-2</v>
      </c>
      <c r="R300" s="47">
        <f t="shared" si="44"/>
        <v>2.1853715999999995E-2</v>
      </c>
      <c r="S300" s="48">
        <v>100</v>
      </c>
      <c r="T300" s="87"/>
    </row>
    <row r="301" spans="1:20" s="14" customFormat="1" x14ac:dyDescent="0.25">
      <c r="A301" s="77" t="s">
        <v>25</v>
      </c>
      <c r="B301" s="49" t="s">
        <v>695</v>
      </c>
      <c r="C301" s="51" t="s">
        <v>696</v>
      </c>
      <c r="D301" s="47">
        <v>0</v>
      </c>
      <c r="E301" s="47">
        <v>0</v>
      </c>
      <c r="F301" s="47">
        <f t="shared" si="45"/>
        <v>0</v>
      </c>
      <c r="G301" s="47">
        <v>0</v>
      </c>
      <c r="H301" s="47">
        <f t="shared" si="46"/>
        <v>2.3155535999999997E-2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2.3155535999999997E-2</v>
      </c>
      <c r="O301" s="47">
        <v>0</v>
      </c>
      <c r="P301" s="47">
        <v>0</v>
      </c>
      <c r="Q301" s="47">
        <f t="shared" si="43"/>
        <v>-2.3155535999999997E-2</v>
      </c>
      <c r="R301" s="47">
        <f t="shared" si="44"/>
        <v>2.3155535999999997E-2</v>
      </c>
      <c r="S301" s="48">
        <v>100</v>
      </c>
      <c r="T301" s="87"/>
    </row>
    <row r="302" spans="1:20" s="14" customFormat="1" x14ac:dyDescent="0.25">
      <c r="A302" s="77" t="s">
        <v>25</v>
      </c>
      <c r="B302" s="49" t="s">
        <v>697</v>
      </c>
      <c r="C302" s="51" t="s">
        <v>698</v>
      </c>
      <c r="D302" s="47">
        <v>0</v>
      </c>
      <c r="E302" s="47">
        <v>0</v>
      </c>
      <c r="F302" s="47">
        <f t="shared" si="45"/>
        <v>0</v>
      </c>
      <c r="G302" s="47">
        <v>0</v>
      </c>
      <c r="H302" s="47">
        <f t="shared" si="46"/>
        <v>3.0983304E-2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3.0983304E-2</v>
      </c>
      <c r="O302" s="47">
        <v>0</v>
      </c>
      <c r="P302" s="47">
        <v>0</v>
      </c>
      <c r="Q302" s="47">
        <f t="shared" si="43"/>
        <v>-3.0983304E-2</v>
      </c>
      <c r="R302" s="47">
        <f t="shared" si="44"/>
        <v>3.0983304E-2</v>
      </c>
      <c r="S302" s="48">
        <v>100</v>
      </c>
      <c r="T302" s="87"/>
    </row>
    <row r="303" spans="1:20" s="14" customFormat="1" ht="32.25" customHeight="1" x14ac:dyDescent="0.25">
      <c r="A303" s="53" t="s">
        <v>25</v>
      </c>
      <c r="B303" s="61" t="s">
        <v>870</v>
      </c>
      <c r="C303" s="50" t="s">
        <v>871</v>
      </c>
      <c r="D303" s="47">
        <v>0</v>
      </c>
      <c r="E303" s="47">
        <v>0</v>
      </c>
      <c r="F303" s="47">
        <f t="shared" si="45"/>
        <v>0</v>
      </c>
      <c r="G303" s="47">
        <v>0</v>
      </c>
      <c r="H303" s="47">
        <f t="shared" si="46"/>
        <v>4.9337424000000005E-2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4.9337424000000005E-2</v>
      </c>
      <c r="Q303" s="47">
        <f t="shared" si="43"/>
        <v>-4.9337424000000005E-2</v>
      </c>
      <c r="R303" s="47">
        <f t="shared" si="44"/>
        <v>4.9337424000000005E-2</v>
      </c>
      <c r="S303" s="48">
        <v>100</v>
      </c>
      <c r="T303" s="87"/>
    </row>
    <row r="304" spans="1:20" s="14" customFormat="1" ht="32.25" customHeight="1" x14ac:dyDescent="0.25">
      <c r="A304" s="53" t="s">
        <v>25</v>
      </c>
      <c r="B304" s="61" t="s">
        <v>872</v>
      </c>
      <c r="C304" s="50" t="s">
        <v>873</v>
      </c>
      <c r="D304" s="47">
        <v>0</v>
      </c>
      <c r="E304" s="47">
        <v>0</v>
      </c>
      <c r="F304" s="47">
        <f t="shared" si="45"/>
        <v>0</v>
      </c>
      <c r="G304" s="47">
        <v>0</v>
      </c>
      <c r="H304" s="47">
        <f t="shared" si="46"/>
        <v>2.2102992000000002E-2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2.2102992000000002E-2</v>
      </c>
      <c r="Q304" s="47">
        <f t="shared" si="43"/>
        <v>-2.2102992000000002E-2</v>
      </c>
      <c r="R304" s="47">
        <f t="shared" si="44"/>
        <v>2.2102992000000002E-2</v>
      </c>
      <c r="S304" s="48">
        <v>100</v>
      </c>
      <c r="T304" s="87"/>
    </row>
    <row r="305" spans="1:20" s="14" customFormat="1" ht="32.25" customHeight="1" x14ac:dyDescent="0.25">
      <c r="A305" s="53" t="s">
        <v>25</v>
      </c>
      <c r="B305" s="61" t="s">
        <v>874</v>
      </c>
      <c r="C305" s="50" t="s">
        <v>875</v>
      </c>
      <c r="D305" s="47">
        <v>0</v>
      </c>
      <c r="E305" s="47">
        <v>0</v>
      </c>
      <c r="F305" s="47">
        <f t="shared" si="45"/>
        <v>0</v>
      </c>
      <c r="G305" s="47">
        <v>0</v>
      </c>
      <c r="H305" s="47">
        <f t="shared" si="46"/>
        <v>9.5691408000000019E-2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9.5691408000000019E-2</v>
      </c>
      <c r="Q305" s="47">
        <f t="shared" si="43"/>
        <v>-9.5691408000000019E-2</v>
      </c>
      <c r="R305" s="47">
        <f t="shared" si="44"/>
        <v>9.5691408000000019E-2</v>
      </c>
      <c r="S305" s="48">
        <v>100</v>
      </c>
      <c r="T305" s="87"/>
    </row>
    <row r="306" spans="1:20" s="14" customFormat="1" ht="27.75" customHeight="1" x14ac:dyDescent="0.25">
      <c r="A306" s="53" t="s">
        <v>25</v>
      </c>
      <c r="B306" s="61" t="s">
        <v>876</v>
      </c>
      <c r="C306" s="50" t="s">
        <v>877</v>
      </c>
      <c r="D306" s="47">
        <v>0</v>
      </c>
      <c r="E306" s="47">
        <v>0</v>
      </c>
      <c r="F306" s="47">
        <f t="shared" si="45"/>
        <v>0</v>
      </c>
      <c r="G306" s="47">
        <v>0</v>
      </c>
      <c r="H306" s="47">
        <f t="shared" si="46"/>
        <v>1.7702076000000001E-2</v>
      </c>
      <c r="I306" s="47">
        <v>0</v>
      </c>
      <c r="J306" s="47">
        <v>0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1.7702076000000001E-2</v>
      </c>
      <c r="Q306" s="47">
        <f t="shared" si="43"/>
        <v>-1.7702076000000001E-2</v>
      </c>
      <c r="R306" s="47">
        <f t="shared" si="44"/>
        <v>1.7702076000000001E-2</v>
      </c>
      <c r="S306" s="48">
        <v>100</v>
      </c>
      <c r="T306" s="87"/>
    </row>
    <row r="307" spans="1:20" s="14" customFormat="1" ht="27.75" customHeight="1" x14ac:dyDescent="0.25">
      <c r="A307" s="53" t="s">
        <v>25</v>
      </c>
      <c r="B307" s="61" t="s">
        <v>878</v>
      </c>
      <c r="C307" s="50" t="s">
        <v>879</v>
      </c>
      <c r="D307" s="47">
        <v>0</v>
      </c>
      <c r="E307" s="47">
        <v>0</v>
      </c>
      <c r="F307" s="47">
        <f t="shared" si="45"/>
        <v>0</v>
      </c>
      <c r="G307" s="47">
        <v>0</v>
      </c>
      <c r="H307" s="47">
        <f t="shared" si="46"/>
        <v>3.5951051999999997E-2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3.5951051999999997E-2</v>
      </c>
      <c r="Q307" s="47">
        <f t="shared" si="43"/>
        <v>-3.5951051999999997E-2</v>
      </c>
      <c r="R307" s="47">
        <f t="shared" si="44"/>
        <v>3.5951051999999997E-2</v>
      </c>
      <c r="S307" s="48">
        <v>100</v>
      </c>
      <c r="T307" s="87"/>
    </row>
    <row r="308" spans="1:20" s="14" customFormat="1" ht="27.75" customHeight="1" x14ac:dyDescent="0.25">
      <c r="A308" s="53" t="s">
        <v>25</v>
      </c>
      <c r="B308" s="61" t="s">
        <v>880</v>
      </c>
      <c r="C308" s="50" t="s">
        <v>881</v>
      </c>
      <c r="D308" s="47">
        <v>0</v>
      </c>
      <c r="E308" s="47">
        <v>0</v>
      </c>
      <c r="F308" s="47">
        <f t="shared" si="45"/>
        <v>0</v>
      </c>
      <c r="G308" s="47">
        <v>0</v>
      </c>
      <c r="H308" s="47">
        <f t="shared" si="46"/>
        <v>0.529264752</v>
      </c>
      <c r="I308" s="47">
        <v>0</v>
      </c>
      <c r="J308" s="47">
        <v>0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0.529264752</v>
      </c>
      <c r="Q308" s="47">
        <f t="shared" si="43"/>
        <v>-0.529264752</v>
      </c>
      <c r="R308" s="47">
        <f t="shared" si="44"/>
        <v>0.529264752</v>
      </c>
      <c r="S308" s="48">
        <v>100</v>
      </c>
      <c r="T308" s="88"/>
    </row>
    <row r="309" spans="1:20" s="13" customFormat="1" ht="25.5" x14ac:dyDescent="0.25">
      <c r="A309" s="32" t="s">
        <v>26</v>
      </c>
      <c r="B309" s="39" t="s">
        <v>185</v>
      </c>
      <c r="C309" s="40" t="s">
        <v>50</v>
      </c>
      <c r="D309" s="35">
        <v>109.06536373199999</v>
      </c>
      <c r="E309" s="35">
        <f>E310</f>
        <v>6.5520720479999994</v>
      </c>
      <c r="F309" s="35">
        <f t="shared" si="45"/>
        <v>102.513291684</v>
      </c>
      <c r="G309" s="35">
        <f>G310</f>
        <v>109.06536373199999</v>
      </c>
      <c r="H309" s="35">
        <f t="shared" si="46"/>
        <v>54.418521096000013</v>
      </c>
      <c r="I309" s="35">
        <f t="shared" ref="I309:O309" si="48">I310</f>
        <v>6.4047554160000004</v>
      </c>
      <c r="J309" s="35">
        <f t="shared" si="48"/>
        <v>3.5835318360000001</v>
      </c>
      <c r="K309" s="35">
        <f t="shared" si="48"/>
        <v>64.309025747999996</v>
      </c>
      <c r="L309" s="35">
        <f t="shared" si="48"/>
        <v>9.109663764000004</v>
      </c>
      <c r="M309" s="35">
        <f t="shared" si="48"/>
        <v>14.319371075999999</v>
      </c>
      <c r="N309" s="35">
        <f t="shared" si="48"/>
        <v>9.2910593279999993</v>
      </c>
      <c r="O309" s="35">
        <f t="shared" si="48"/>
        <v>24.032211492000002</v>
      </c>
      <c r="P309" s="35">
        <f>P310</f>
        <v>32.434266168000008</v>
      </c>
      <c r="Q309" s="35">
        <f t="shared" si="43"/>
        <v>48.094770587999982</v>
      </c>
      <c r="R309" s="35">
        <f t="shared" si="44"/>
        <v>-54.646842635999981</v>
      </c>
      <c r="S309" s="36">
        <f t="shared" si="47"/>
        <v>-50.104671883074175</v>
      </c>
      <c r="T309" s="37" t="s">
        <v>48</v>
      </c>
    </row>
    <row r="310" spans="1:20" s="13" customFormat="1" x14ac:dyDescent="0.25">
      <c r="A310" s="32" t="s">
        <v>186</v>
      </c>
      <c r="B310" s="39" t="s">
        <v>187</v>
      </c>
      <c r="C310" s="40" t="s">
        <v>50</v>
      </c>
      <c r="D310" s="35">
        <v>109.06536373199999</v>
      </c>
      <c r="E310" s="35">
        <f>SUM(E311:E412)</f>
        <v>6.5520720479999994</v>
      </c>
      <c r="F310" s="35">
        <f t="shared" si="45"/>
        <v>102.513291684</v>
      </c>
      <c r="G310" s="35">
        <f>SUM(G311:G412)</f>
        <v>109.06536373199999</v>
      </c>
      <c r="H310" s="35">
        <f t="shared" si="46"/>
        <v>54.418521096000013</v>
      </c>
      <c r="I310" s="35">
        <f>SUM(I311:I412)</f>
        <v>6.4047554160000004</v>
      </c>
      <c r="J310" s="35">
        <f>SUM(J311:J412)</f>
        <v>3.5835318360000001</v>
      </c>
      <c r="K310" s="35">
        <f>SUM(K311:K415)</f>
        <v>64.309025747999996</v>
      </c>
      <c r="L310" s="35">
        <f>SUM(L311:L425)</f>
        <v>9.109663764000004</v>
      </c>
      <c r="M310" s="35">
        <f>SUM(M311:M412)</f>
        <v>14.319371075999999</v>
      </c>
      <c r="N310" s="35">
        <f>SUM(N311:N415)</f>
        <v>9.2910593279999993</v>
      </c>
      <c r="O310" s="35">
        <f>SUM(O311:O412)</f>
        <v>24.032211492000002</v>
      </c>
      <c r="P310" s="35">
        <f>SUM(P312:P425)</f>
        <v>32.434266168000008</v>
      </c>
      <c r="Q310" s="35">
        <f t="shared" si="43"/>
        <v>48.094770587999982</v>
      </c>
      <c r="R310" s="35">
        <f t="shared" si="44"/>
        <v>-54.646842635999981</v>
      </c>
      <c r="S310" s="36">
        <f t="shared" si="47"/>
        <v>-50.104671883074175</v>
      </c>
      <c r="T310" s="37" t="s">
        <v>48</v>
      </c>
    </row>
    <row r="311" spans="1:20" s="14" customFormat="1" x14ac:dyDescent="0.25">
      <c r="A311" s="44" t="s">
        <v>186</v>
      </c>
      <c r="B311" s="55" t="s">
        <v>447</v>
      </c>
      <c r="C311" s="46" t="s">
        <v>448</v>
      </c>
      <c r="D311" s="47">
        <v>0</v>
      </c>
      <c r="E311" s="47">
        <f>19749.72*1.2/1000000</f>
        <v>2.3699664000000002E-2</v>
      </c>
      <c r="F311" s="47">
        <f t="shared" si="45"/>
        <v>-2.3699664000000002E-2</v>
      </c>
      <c r="G311" s="47">
        <v>0</v>
      </c>
      <c r="H311" s="47">
        <f t="shared" si="46"/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f t="shared" si="43"/>
        <v>-2.3699664000000002E-2</v>
      </c>
      <c r="R311" s="47">
        <f t="shared" si="44"/>
        <v>0</v>
      </c>
      <c r="S311" s="48">
        <v>0</v>
      </c>
      <c r="T311" s="63" t="s">
        <v>48</v>
      </c>
    </row>
    <row r="312" spans="1:20" s="14" customFormat="1" x14ac:dyDescent="0.25">
      <c r="A312" s="44" t="s">
        <v>186</v>
      </c>
      <c r="B312" s="55" t="s">
        <v>455</v>
      </c>
      <c r="C312" s="46" t="s">
        <v>456</v>
      </c>
      <c r="D312" s="47">
        <v>0</v>
      </c>
      <c r="E312" s="47">
        <f>33654.68*1.2/1000000</f>
        <v>4.0385615999999999E-2</v>
      </c>
      <c r="F312" s="47">
        <f t="shared" si="45"/>
        <v>-4.0385615999999999E-2</v>
      </c>
      <c r="G312" s="47">
        <v>0</v>
      </c>
      <c r="H312" s="47">
        <f t="shared" si="46"/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f t="shared" si="43"/>
        <v>-4.0385615999999999E-2</v>
      </c>
      <c r="R312" s="47">
        <f t="shared" si="44"/>
        <v>0</v>
      </c>
      <c r="S312" s="48">
        <v>0</v>
      </c>
      <c r="T312" s="63" t="s">
        <v>48</v>
      </c>
    </row>
    <row r="313" spans="1:20" s="14" customFormat="1" x14ac:dyDescent="0.25">
      <c r="A313" s="44" t="s">
        <v>186</v>
      </c>
      <c r="B313" s="55" t="s">
        <v>931</v>
      </c>
      <c r="C313" s="46" t="s">
        <v>400</v>
      </c>
      <c r="D313" s="47">
        <v>0</v>
      </c>
      <c r="E313" s="47">
        <f>13688.2*1.2/1000000</f>
        <v>1.6425840000000001E-2</v>
      </c>
      <c r="F313" s="47">
        <f t="shared" si="45"/>
        <v>-1.6425840000000001E-2</v>
      </c>
      <c r="G313" s="47">
        <v>0</v>
      </c>
      <c r="H313" s="47">
        <f t="shared" si="46"/>
        <v>0.289420236</v>
      </c>
      <c r="I313" s="47">
        <v>0</v>
      </c>
      <c r="J313" s="47">
        <v>0</v>
      </c>
      <c r="K313" s="47">
        <v>0</v>
      </c>
      <c r="L313" s="47">
        <v>0.289420236</v>
      </c>
      <c r="M313" s="47">
        <v>0</v>
      </c>
      <c r="N313" s="47">
        <v>0</v>
      </c>
      <c r="O313" s="47">
        <v>0</v>
      </c>
      <c r="P313" s="47">
        <v>0</v>
      </c>
      <c r="Q313" s="47">
        <f t="shared" si="43"/>
        <v>-0.30584607600000002</v>
      </c>
      <c r="R313" s="47">
        <f t="shared" si="44"/>
        <v>0.289420236</v>
      </c>
      <c r="S313" s="48">
        <v>0</v>
      </c>
      <c r="T313" s="63" t="s">
        <v>48</v>
      </c>
    </row>
    <row r="314" spans="1:20" s="14" customFormat="1" ht="25.5" x14ac:dyDescent="0.25">
      <c r="A314" s="44" t="s">
        <v>186</v>
      </c>
      <c r="B314" s="55" t="s">
        <v>451</v>
      </c>
      <c r="C314" s="46" t="s">
        <v>452</v>
      </c>
      <c r="D314" s="47">
        <v>0</v>
      </c>
      <c r="E314" s="47">
        <f>46606.37*1.2/1000000</f>
        <v>5.5927643999999999E-2</v>
      </c>
      <c r="F314" s="47">
        <f t="shared" si="45"/>
        <v>-5.5927643999999999E-2</v>
      </c>
      <c r="G314" s="47">
        <v>0</v>
      </c>
      <c r="H314" s="47">
        <f t="shared" si="46"/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f t="shared" si="43"/>
        <v>-5.5927643999999999E-2</v>
      </c>
      <c r="R314" s="47">
        <f t="shared" si="44"/>
        <v>0</v>
      </c>
      <c r="S314" s="48">
        <v>0</v>
      </c>
      <c r="T314" s="63" t="s">
        <v>48</v>
      </c>
    </row>
    <row r="315" spans="1:20" s="14" customFormat="1" x14ac:dyDescent="0.25">
      <c r="A315" s="44" t="s">
        <v>186</v>
      </c>
      <c r="B315" s="45" t="s">
        <v>443</v>
      </c>
      <c r="C315" s="51" t="s">
        <v>444</v>
      </c>
      <c r="D315" s="47">
        <v>0</v>
      </c>
      <c r="E315" s="47">
        <f>14778.45*1.2/1000000</f>
        <v>1.7734139999999999E-2</v>
      </c>
      <c r="F315" s="47">
        <f t="shared" si="45"/>
        <v>-1.7734139999999999E-2</v>
      </c>
      <c r="G315" s="47">
        <v>0</v>
      </c>
      <c r="H315" s="47">
        <f t="shared" si="46"/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f t="shared" si="43"/>
        <v>-1.7734139999999999E-2</v>
      </c>
      <c r="R315" s="47">
        <f t="shared" si="44"/>
        <v>0</v>
      </c>
      <c r="S315" s="48">
        <v>0</v>
      </c>
      <c r="T315" s="63" t="s">
        <v>48</v>
      </c>
    </row>
    <row r="316" spans="1:20" s="14" customFormat="1" x14ac:dyDescent="0.25">
      <c r="A316" s="44" t="s">
        <v>186</v>
      </c>
      <c r="B316" s="45" t="s">
        <v>445</v>
      </c>
      <c r="C316" s="51" t="s">
        <v>446</v>
      </c>
      <c r="D316" s="47">
        <v>0</v>
      </c>
      <c r="E316" s="47">
        <f>16276.32*1.2/1000000</f>
        <v>1.9531583999999998E-2</v>
      </c>
      <c r="F316" s="47">
        <f t="shared" si="45"/>
        <v>-1.9531583999999998E-2</v>
      </c>
      <c r="G316" s="47">
        <v>0</v>
      </c>
      <c r="H316" s="47">
        <f t="shared" si="46"/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f t="shared" si="43"/>
        <v>-1.9531583999999998E-2</v>
      </c>
      <c r="R316" s="47">
        <f t="shared" si="44"/>
        <v>0</v>
      </c>
      <c r="S316" s="48">
        <v>0</v>
      </c>
      <c r="T316" s="63" t="s">
        <v>48</v>
      </c>
    </row>
    <row r="317" spans="1:20" s="14" customFormat="1" x14ac:dyDescent="0.25">
      <c r="A317" s="44" t="s">
        <v>186</v>
      </c>
      <c r="B317" s="45" t="s">
        <v>449</v>
      </c>
      <c r="C317" s="51" t="s">
        <v>450</v>
      </c>
      <c r="D317" s="47">
        <v>0</v>
      </c>
      <c r="E317" s="47">
        <f>18116.35*1.2/1000000</f>
        <v>2.1739619999999998E-2</v>
      </c>
      <c r="F317" s="47">
        <f t="shared" si="45"/>
        <v>-2.1739619999999998E-2</v>
      </c>
      <c r="G317" s="47">
        <v>0</v>
      </c>
      <c r="H317" s="47">
        <f t="shared" si="46"/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f t="shared" si="43"/>
        <v>-2.1739619999999998E-2</v>
      </c>
      <c r="R317" s="47">
        <f t="shared" si="44"/>
        <v>0</v>
      </c>
      <c r="S317" s="48">
        <v>0</v>
      </c>
      <c r="T317" s="63" t="s">
        <v>48</v>
      </c>
    </row>
    <row r="318" spans="1:20" s="14" customFormat="1" x14ac:dyDescent="0.25">
      <c r="A318" s="44" t="s">
        <v>186</v>
      </c>
      <c r="B318" s="45" t="s">
        <v>457</v>
      </c>
      <c r="C318" s="46" t="s">
        <v>458</v>
      </c>
      <c r="D318" s="47">
        <v>0</v>
      </c>
      <c r="E318" s="47">
        <f>19037.35*1.2/1000000</f>
        <v>2.2844819999999995E-2</v>
      </c>
      <c r="F318" s="47">
        <f t="shared" si="45"/>
        <v>-2.2844819999999995E-2</v>
      </c>
      <c r="G318" s="47">
        <v>0</v>
      </c>
      <c r="H318" s="47">
        <f t="shared" si="46"/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f t="shared" si="43"/>
        <v>-2.2844819999999995E-2</v>
      </c>
      <c r="R318" s="47">
        <f t="shared" si="44"/>
        <v>0</v>
      </c>
      <c r="S318" s="48">
        <v>0</v>
      </c>
      <c r="T318" s="63" t="s">
        <v>48</v>
      </c>
    </row>
    <row r="319" spans="1:20" s="14" customFormat="1" x14ac:dyDescent="0.25">
      <c r="A319" s="44" t="s">
        <v>186</v>
      </c>
      <c r="B319" s="45" t="s">
        <v>459</v>
      </c>
      <c r="C319" s="46" t="s">
        <v>460</v>
      </c>
      <c r="D319" s="47">
        <v>0</v>
      </c>
      <c r="E319" s="47">
        <f>90852.24*1.2/1000000</f>
        <v>0.10902268800000001</v>
      </c>
      <c r="F319" s="47">
        <f t="shared" si="45"/>
        <v>-0.10902268800000001</v>
      </c>
      <c r="G319" s="47">
        <v>0</v>
      </c>
      <c r="H319" s="47">
        <f t="shared" si="46"/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f t="shared" si="43"/>
        <v>-0.10902268800000001</v>
      </c>
      <c r="R319" s="47">
        <f t="shared" si="44"/>
        <v>0</v>
      </c>
      <c r="S319" s="48">
        <v>0</v>
      </c>
      <c r="T319" s="63" t="s">
        <v>48</v>
      </c>
    </row>
    <row r="320" spans="1:20" s="14" customFormat="1" ht="26.25" x14ac:dyDescent="0.25">
      <c r="A320" s="53" t="s">
        <v>186</v>
      </c>
      <c r="B320" s="61" t="s">
        <v>389</v>
      </c>
      <c r="C320" s="50" t="s">
        <v>390</v>
      </c>
      <c r="D320" s="47">
        <v>0</v>
      </c>
      <c r="E320" s="47">
        <v>0</v>
      </c>
      <c r="F320" s="47">
        <f t="shared" si="45"/>
        <v>0</v>
      </c>
      <c r="G320" s="47">
        <f t="shared" ref="G320:H337" si="49">I320+K320+M320+O320</f>
        <v>0</v>
      </c>
      <c r="H320" s="47">
        <f t="shared" si="46"/>
        <v>0.17718924000000003</v>
      </c>
      <c r="I320" s="47">
        <v>0</v>
      </c>
      <c r="J320" s="47">
        <v>0.17718924000000003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f t="shared" si="43"/>
        <v>-0.17718924000000003</v>
      </c>
      <c r="R320" s="47">
        <f t="shared" si="44"/>
        <v>0.17718924000000003</v>
      </c>
      <c r="S320" s="48">
        <v>100</v>
      </c>
      <c r="T320" s="58" t="s">
        <v>415</v>
      </c>
    </row>
    <row r="321" spans="1:20" s="14" customFormat="1" ht="38.25" x14ac:dyDescent="0.25">
      <c r="A321" s="60" t="s">
        <v>186</v>
      </c>
      <c r="B321" s="61" t="s">
        <v>391</v>
      </c>
      <c r="C321" s="78" t="s">
        <v>392</v>
      </c>
      <c r="D321" s="47">
        <v>0</v>
      </c>
      <c r="E321" s="47">
        <v>0</v>
      </c>
      <c r="F321" s="47">
        <f t="shared" si="45"/>
        <v>0</v>
      </c>
      <c r="G321" s="47">
        <f t="shared" si="49"/>
        <v>0</v>
      </c>
      <c r="H321" s="47">
        <f t="shared" si="46"/>
        <v>0.47313257999999997</v>
      </c>
      <c r="I321" s="47">
        <v>0</v>
      </c>
      <c r="J321" s="47">
        <v>0.45022481999999997</v>
      </c>
      <c r="K321" s="47">
        <v>0</v>
      </c>
      <c r="L321" s="47">
        <v>2.2907759999999999E-2</v>
      </c>
      <c r="M321" s="47">
        <v>0</v>
      </c>
      <c r="N321" s="47">
        <v>0</v>
      </c>
      <c r="O321" s="47">
        <v>0</v>
      </c>
      <c r="P321" s="47">
        <v>0</v>
      </c>
      <c r="Q321" s="47">
        <f t="shared" si="43"/>
        <v>-0.47313257999999997</v>
      </c>
      <c r="R321" s="47">
        <f t="shared" si="44"/>
        <v>0.47313257999999997</v>
      </c>
      <c r="S321" s="48">
        <v>100</v>
      </c>
      <c r="T321" s="58" t="s">
        <v>728</v>
      </c>
    </row>
    <row r="322" spans="1:20" s="14" customFormat="1" ht="25.5" x14ac:dyDescent="0.25">
      <c r="A322" s="60" t="s">
        <v>186</v>
      </c>
      <c r="B322" s="73" t="s">
        <v>393</v>
      </c>
      <c r="C322" s="74" t="s">
        <v>394</v>
      </c>
      <c r="D322" s="47">
        <v>0</v>
      </c>
      <c r="E322" s="47">
        <v>0</v>
      </c>
      <c r="F322" s="47">
        <f t="shared" si="45"/>
        <v>0</v>
      </c>
      <c r="G322" s="47">
        <f t="shared" si="49"/>
        <v>0</v>
      </c>
      <c r="H322" s="47">
        <f t="shared" si="46"/>
        <v>2.6690676000000003E-2</v>
      </c>
      <c r="I322" s="47">
        <v>0</v>
      </c>
      <c r="J322" s="47">
        <v>2.6690676000000003E-2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f t="shared" si="43"/>
        <v>-2.6690676000000003E-2</v>
      </c>
      <c r="R322" s="47">
        <f t="shared" si="44"/>
        <v>2.6690676000000003E-2</v>
      </c>
      <c r="S322" s="48">
        <v>100</v>
      </c>
      <c r="T322" s="58" t="s">
        <v>415</v>
      </c>
    </row>
    <row r="323" spans="1:20" s="14" customFormat="1" ht="38.25" x14ac:dyDescent="0.25">
      <c r="A323" s="77" t="s">
        <v>186</v>
      </c>
      <c r="B323" s="49" t="s">
        <v>188</v>
      </c>
      <c r="C323" s="51" t="s">
        <v>189</v>
      </c>
      <c r="D323" s="47">
        <v>0.67417982399999998</v>
      </c>
      <c r="E323" s="47">
        <f>17761*1.2/1000000</f>
        <v>2.1313200000000001E-2</v>
      </c>
      <c r="F323" s="47">
        <f t="shared" si="45"/>
        <v>0.65286662399999995</v>
      </c>
      <c r="G323" s="47">
        <f t="shared" si="49"/>
        <v>0.67417982399999998</v>
      </c>
      <c r="H323" s="47">
        <f t="shared" si="46"/>
        <v>0.223433304</v>
      </c>
      <c r="I323" s="47">
        <v>0.11337381599999999</v>
      </c>
      <c r="J323" s="47">
        <v>0</v>
      </c>
      <c r="K323" s="47">
        <v>0.56080600800000002</v>
      </c>
      <c r="L323" s="47">
        <v>0.16281773999999999</v>
      </c>
      <c r="M323" s="47">
        <v>0</v>
      </c>
      <c r="N323" s="47">
        <v>6.0615563999999997E-2</v>
      </c>
      <c r="O323" s="47">
        <v>0</v>
      </c>
      <c r="P323" s="47">
        <v>0</v>
      </c>
      <c r="Q323" s="47">
        <f t="shared" si="43"/>
        <v>0.42943331999999995</v>
      </c>
      <c r="R323" s="47">
        <f t="shared" si="44"/>
        <v>-0.45074651999999998</v>
      </c>
      <c r="S323" s="48">
        <f t="shared" si="47"/>
        <v>-66.858500351680647</v>
      </c>
      <c r="T323" s="79" t="s">
        <v>984</v>
      </c>
    </row>
    <row r="324" spans="1:20" s="14" customFormat="1" ht="38.25" x14ac:dyDescent="0.25">
      <c r="A324" s="60" t="s">
        <v>186</v>
      </c>
      <c r="B324" s="61" t="s">
        <v>190</v>
      </c>
      <c r="C324" s="62" t="s">
        <v>191</v>
      </c>
      <c r="D324" s="47">
        <v>4.1485422359999991</v>
      </c>
      <c r="E324" s="47">
        <f>29215*1.2/1000000</f>
        <v>3.5057999999999999E-2</v>
      </c>
      <c r="F324" s="47">
        <f t="shared" si="45"/>
        <v>4.1134842359999988</v>
      </c>
      <c r="G324" s="47">
        <f t="shared" si="49"/>
        <v>4.1485422359999991</v>
      </c>
      <c r="H324" s="47">
        <f t="shared" si="46"/>
        <v>2.1070029719999996</v>
      </c>
      <c r="I324" s="47">
        <v>0.28190096400000003</v>
      </c>
      <c r="J324" s="47">
        <v>0</v>
      </c>
      <c r="K324" s="47">
        <v>0</v>
      </c>
      <c r="L324" s="47">
        <v>0</v>
      </c>
      <c r="M324" s="47">
        <v>0</v>
      </c>
      <c r="N324" s="47">
        <v>0.15157746</v>
      </c>
      <c r="O324" s="47">
        <v>3.8666412719999994</v>
      </c>
      <c r="P324" s="47">
        <v>1.9554255119999997</v>
      </c>
      <c r="Q324" s="47">
        <f t="shared" si="43"/>
        <v>2.0064812639999992</v>
      </c>
      <c r="R324" s="47">
        <f t="shared" si="44"/>
        <v>-2.0415392639999994</v>
      </c>
      <c r="S324" s="48">
        <f t="shared" si="47"/>
        <v>-49.211003476933143</v>
      </c>
      <c r="T324" s="79" t="s">
        <v>984</v>
      </c>
    </row>
    <row r="325" spans="1:20" s="14" customFormat="1" ht="38.25" x14ac:dyDescent="0.25">
      <c r="A325" s="60" t="s">
        <v>186</v>
      </c>
      <c r="B325" s="61" t="s">
        <v>192</v>
      </c>
      <c r="C325" s="62" t="s">
        <v>193</v>
      </c>
      <c r="D325" s="47">
        <v>3.893593536</v>
      </c>
      <c r="E325" s="47">
        <f>29640*1.2/1000000</f>
        <v>3.5568000000000002E-2</v>
      </c>
      <c r="F325" s="47">
        <f t="shared" si="45"/>
        <v>3.858025536</v>
      </c>
      <c r="G325" s="47">
        <f t="shared" si="49"/>
        <v>3.893593536</v>
      </c>
      <c r="H325" s="47">
        <f t="shared" si="46"/>
        <v>2.2936996560000003</v>
      </c>
      <c r="I325" s="47">
        <v>0.28893457199999995</v>
      </c>
      <c r="J325" s="47">
        <v>0</v>
      </c>
      <c r="K325" s="47">
        <v>0</v>
      </c>
      <c r="L325" s="47">
        <v>1.854061884</v>
      </c>
      <c r="M325" s="47">
        <v>0</v>
      </c>
      <c r="N325" s="47">
        <v>0.32080073999999997</v>
      </c>
      <c r="O325" s="47">
        <v>3.604658964</v>
      </c>
      <c r="P325" s="47">
        <v>0.118837032</v>
      </c>
      <c r="Q325" s="47">
        <f t="shared" si="43"/>
        <v>1.5643258799999997</v>
      </c>
      <c r="R325" s="47">
        <f t="shared" si="44"/>
        <v>-1.5998938799999998</v>
      </c>
      <c r="S325" s="48">
        <f t="shared" si="47"/>
        <v>-41.090418535151372</v>
      </c>
      <c r="T325" s="79" t="s">
        <v>984</v>
      </c>
    </row>
    <row r="326" spans="1:20" s="14" customFormat="1" ht="38.25" x14ac:dyDescent="0.25">
      <c r="A326" s="60" t="s">
        <v>186</v>
      </c>
      <c r="B326" s="61" t="s">
        <v>194</v>
      </c>
      <c r="C326" s="62" t="s">
        <v>195</v>
      </c>
      <c r="D326" s="47">
        <v>3.3533705279999997</v>
      </c>
      <c r="E326" s="47">
        <f>19878*1.2/1000000</f>
        <v>2.3853599999999999E-2</v>
      </c>
      <c r="F326" s="47">
        <f t="shared" si="45"/>
        <v>3.3295169279999999</v>
      </c>
      <c r="G326" s="47">
        <f t="shared" si="49"/>
        <v>3.3533705279999997</v>
      </c>
      <c r="H326" s="47">
        <f t="shared" si="46"/>
        <v>1.5337834559999999</v>
      </c>
      <c r="I326" s="47">
        <v>0.20390425199999998</v>
      </c>
      <c r="J326" s="47">
        <v>0</v>
      </c>
      <c r="K326" s="47">
        <v>0</v>
      </c>
      <c r="L326" s="47">
        <v>0</v>
      </c>
      <c r="M326" s="47">
        <v>3.1494662759999996</v>
      </c>
      <c r="N326" s="47">
        <v>0.64894201200000001</v>
      </c>
      <c r="O326" s="47">
        <v>0</v>
      </c>
      <c r="P326" s="47">
        <v>0.88484144399999987</v>
      </c>
      <c r="Q326" s="47">
        <f t="shared" si="43"/>
        <v>1.795733472</v>
      </c>
      <c r="R326" s="47">
        <f t="shared" si="44"/>
        <v>-1.8195870719999998</v>
      </c>
      <c r="S326" s="48">
        <f t="shared" si="47"/>
        <v>-54.261438060804714</v>
      </c>
      <c r="T326" s="79" t="s">
        <v>984</v>
      </c>
    </row>
    <row r="327" spans="1:20" s="14" customFormat="1" ht="38.25" x14ac:dyDescent="0.25">
      <c r="A327" s="60" t="s">
        <v>186</v>
      </c>
      <c r="B327" s="61" t="s">
        <v>196</v>
      </c>
      <c r="C327" s="62" t="s">
        <v>197</v>
      </c>
      <c r="D327" s="47">
        <v>4.9100255879999999</v>
      </c>
      <c r="E327" s="47">
        <f>25723*1.2/1000000</f>
        <v>3.0867599999999999E-2</v>
      </c>
      <c r="F327" s="47">
        <f t="shared" si="45"/>
        <v>4.8791579880000002</v>
      </c>
      <c r="G327" s="47">
        <f t="shared" si="49"/>
        <v>4.9100255879999999</v>
      </c>
      <c r="H327" s="47">
        <f t="shared" si="46"/>
        <v>3.5027785199999997</v>
      </c>
      <c r="I327" s="47">
        <v>0.27519184799999996</v>
      </c>
      <c r="J327" s="47">
        <v>0</v>
      </c>
      <c r="K327" s="47">
        <v>4.6348337399999995</v>
      </c>
      <c r="L327" s="47">
        <v>0</v>
      </c>
      <c r="M327" s="47">
        <v>0</v>
      </c>
      <c r="N327" s="47">
        <v>1.6508535959999999</v>
      </c>
      <c r="O327" s="47">
        <v>0</v>
      </c>
      <c r="P327" s="47">
        <v>1.851924924</v>
      </c>
      <c r="Q327" s="47">
        <f t="shared" si="43"/>
        <v>1.3763794680000005</v>
      </c>
      <c r="R327" s="47">
        <f t="shared" si="44"/>
        <v>-1.4072470680000002</v>
      </c>
      <c r="S327" s="48">
        <f t="shared" si="47"/>
        <v>-28.660687053022343</v>
      </c>
      <c r="T327" s="79" t="s">
        <v>984</v>
      </c>
    </row>
    <row r="328" spans="1:20" s="14" customFormat="1" ht="38.25" x14ac:dyDescent="0.25">
      <c r="A328" s="60" t="s">
        <v>186</v>
      </c>
      <c r="B328" s="61" t="s">
        <v>198</v>
      </c>
      <c r="C328" s="62" t="s">
        <v>199</v>
      </c>
      <c r="D328" s="47">
        <v>4.1689711679999997</v>
      </c>
      <c r="E328" s="47">
        <f>27559*1.2/1000000</f>
        <v>3.3070799999999997E-2</v>
      </c>
      <c r="F328" s="47">
        <f t="shared" si="45"/>
        <v>4.1359003679999997</v>
      </c>
      <c r="G328" s="47">
        <f t="shared" si="49"/>
        <v>4.1689711679999997</v>
      </c>
      <c r="H328" s="47">
        <f t="shared" si="46"/>
        <v>2.675566296</v>
      </c>
      <c r="I328" s="47">
        <v>0.25660711199999997</v>
      </c>
      <c r="J328" s="47">
        <v>3.4612319999999999E-3</v>
      </c>
      <c r="K328" s="47">
        <v>0</v>
      </c>
      <c r="L328" s="47">
        <v>0.95261775599999998</v>
      </c>
      <c r="M328" s="47">
        <v>0</v>
      </c>
      <c r="N328" s="47">
        <v>1.6147776359999999</v>
      </c>
      <c r="O328" s="47">
        <v>3.9123640559999995</v>
      </c>
      <c r="P328" s="47">
        <v>0.104709672</v>
      </c>
      <c r="Q328" s="47">
        <f t="shared" si="43"/>
        <v>1.4603340719999998</v>
      </c>
      <c r="R328" s="47">
        <f t="shared" si="44"/>
        <v>-1.4934048719999997</v>
      </c>
      <c r="S328" s="48">
        <f t="shared" si="47"/>
        <v>-35.82190453757535</v>
      </c>
      <c r="T328" s="79" t="s">
        <v>984</v>
      </c>
    </row>
    <row r="329" spans="1:20" s="14" customFormat="1" ht="26.25" x14ac:dyDescent="0.25">
      <c r="A329" s="77" t="s">
        <v>186</v>
      </c>
      <c r="B329" s="49" t="s">
        <v>200</v>
      </c>
      <c r="C329" s="51" t="s">
        <v>201</v>
      </c>
      <c r="D329" s="47">
        <v>9.8400000000000001E-2</v>
      </c>
      <c r="E329" s="47">
        <f>19029.46*1.2/1000000</f>
        <v>2.2835352E-2</v>
      </c>
      <c r="F329" s="47">
        <f t="shared" si="45"/>
        <v>7.5564647999999998E-2</v>
      </c>
      <c r="G329" s="47">
        <f t="shared" si="49"/>
        <v>9.8400000000000001E-2</v>
      </c>
      <c r="H329" s="89">
        <f t="shared" ref="H329" si="50">J329+L329+N329</f>
        <v>0.32378716800000001</v>
      </c>
      <c r="I329" s="47">
        <v>1.7999999999999999E-2</v>
      </c>
      <c r="J329" s="47">
        <v>0</v>
      </c>
      <c r="K329" s="47">
        <v>8.0399999999999999E-2</v>
      </c>
      <c r="L329" s="89">
        <v>0.289082652</v>
      </c>
      <c r="M329" s="47">
        <v>0</v>
      </c>
      <c r="N329" s="114">
        <v>3.4704515999999998E-2</v>
      </c>
      <c r="O329" s="47">
        <v>0</v>
      </c>
      <c r="P329" s="47">
        <v>0</v>
      </c>
      <c r="Q329" s="89">
        <v>8.0531951999999962E-2</v>
      </c>
      <c r="R329" s="89">
        <v>-0.10336730399999994</v>
      </c>
      <c r="S329" s="111">
        <v>-24.19905</v>
      </c>
      <c r="T329" s="95" t="s">
        <v>985</v>
      </c>
    </row>
    <row r="330" spans="1:20" s="14" customFormat="1" ht="26.25" x14ac:dyDescent="0.25">
      <c r="A330" s="77" t="s">
        <v>186</v>
      </c>
      <c r="B330" s="49" t="s">
        <v>202</v>
      </c>
      <c r="C330" s="51" t="s">
        <v>203</v>
      </c>
      <c r="D330" s="47">
        <v>0.11399999999999999</v>
      </c>
      <c r="E330" s="47">
        <v>0</v>
      </c>
      <c r="F330" s="47">
        <f t="shared" si="45"/>
        <v>0.11399999999999999</v>
      </c>
      <c r="G330" s="47">
        <f t="shared" si="49"/>
        <v>0.11399999999999999</v>
      </c>
      <c r="H330" s="90"/>
      <c r="I330" s="47">
        <v>2.4E-2</v>
      </c>
      <c r="J330" s="47">
        <v>0</v>
      </c>
      <c r="K330" s="47">
        <v>0.09</v>
      </c>
      <c r="L330" s="90"/>
      <c r="M330" s="47">
        <v>0</v>
      </c>
      <c r="N330" s="115"/>
      <c r="O330" s="47">
        <v>0</v>
      </c>
      <c r="P330" s="47">
        <v>0</v>
      </c>
      <c r="Q330" s="90"/>
      <c r="R330" s="90"/>
      <c r="S330" s="112"/>
      <c r="T330" s="96"/>
    </row>
    <row r="331" spans="1:20" s="14" customFormat="1" ht="26.25" x14ac:dyDescent="0.25">
      <c r="A331" s="77" t="s">
        <v>186</v>
      </c>
      <c r="B331" s="49" t="s">
        <v>204</v>
      </c>
      <c r="C331" s="51" t="s">
        <v>205</v>
      </c>
      <c r="D331" s="47">
        <v>0.21475447199999997</v>
      </c>
      <c r="E331" s="47">
        <v>0</v>
      </c>
      <c r="F331" s="47">
        <f t="shared" si="45"/>
        <v>0.21475447199999997</v>
      </c>
      <c r="G331" s="47">
        <f t="shared" si="49"/>
        <v>0.21475447199999997</v>
      </c>
      <c r="H331" s="91"/>
      <c r="I331" s="47">
        <v>2.6341271999999995E-2</v>
      </c>
      <c r="J331" s="47">
        <v>0</v>
      </c>
      <c r="K331" s="47">
        <v>0.18841319999999998</v>
      </c>
      <c r="L331" s="91"/>
      <c r="M331" s="47">
        <v>0</v>
      </c>
      <c r="N331" s="116"/>
      <c r="O331" s="47">
        <v>0</v>
      </c>
      <c r="P331" s="47">
        <v>0</v>
      </c>
      <c r="Q331" s="91"/>
      <c r="R331" s="91"/>
      <c r="S331" s="113"/>
      <c r="T331" s="97"/>
    </row>
    <row r="332" spans="1:20" s="14" customFormat="1" ht="26.25" x14ac:dyDescent="0.25">
      <c r="A332" s="77" t="s">
        <v>186</v>
      </c>
      <c r="B332" s="49" t="s">
        <v>206</v>
      </c>
      <c r="C332" s="51" t="s">
        <v>207</v>
      </c>
      <c r="D332" s="47">
        <v>0.4768116</v>
      </c>
      <c r="E332" s="47">
        <v>0</v>
      </c>
      <c r="F332" s="47">
        <f t="shared" si="45"/>
        <v>0.4768116</v>
      </c>
      <c r="G332" s="47">
        <f t="shared" si="49"/>
        <v>0.4768116</v>
      </c>
      <c r="H332" s="47">
        <f t="shared" si="49"/>
        <v>0.29800702800000001</v>
      </c>
      <c r="I332" s="47">
        <v>7.4445599999999987E-2</v>
      </c>
      <c r="J332" s="47">
        <v>0</v>
      </c>
      <c r="K332" s="47">
        <v>0.402366</v>
      </c>
      <c r="L332" s="47">
        <v>0.32193350399999998</v>
      </c>
      <c r="M332" s="47">
        <v>0</v>
      </c>
      <c r="N332" s="47">
        <v>-2.3926475999999999E-2</v>
      </c>
      <c r="O332" s="47">
        <v>0</v>
      </c>
      <c r="P332" s="47">
        <v>0</v>
      </c>
      <c r="Q332" s="47">
        <f t="shared" ref="Q332:Q395" si="51">F332-H332</f>
        <v>0.17880457199999999</v>
      </c>
      <c r="R332" s="47">
        <f t="shared" ref="R332:R395" si="52">(J332+L332+N332+P332)-(I332+K332+M332+O332)</f>
        <v>-0.17880457199999999</v>
      </c>
      <c r="S332" s="48">
        <f t="shared" ref="S332:S394" si="53">(J332+L332+N332+P332)/(I332+K332+M332+O332)*100-100</f>
        <v>-37.500046559269947</v>
      </c>
      <c r="T332" s="76" t="s">
        <v>981</v>
      </c>
    </row>
    <row r="333" spans="1:20" s="14" customFormat="1" ht="26.25" x14ac:dyDescent="0.25">
      <c r="A333" s="77" t="s">
        <v>186</v>
      </c>
      <c r="B333" s="49" t="s">
        <v>208</v>
      </c>
      <c r="C333" s="51" t="s">
        <v>209</v>
      </c>
      <c r="D333" s="47">
        <v>0.30629999999999996</v>
      </c>
      <c r="E333" s="47">
        <v>0</v>
      </c>
      <c r="F333" s="47">
        <f t="shared" si="45"/>
        <v>0.30629999999999996</v>
      </c>
      <c r="G333" s="47">
        <f t="shared" si="49"/>
        <v>0.30629999999999996</v>
      </c>
      <c r="H333" s="47">
        <f t="shared" si="49"/>
        <v>0.27555015599999999</v>
      </c>
      <c r="I333" s="47">
        <v>4.2000000000000003E-2</v>
      </c>
      <c r="J333" s="47">
        <v>0</v>
      </c>
      <c r="K333" s="47">
        <f>0.22025*1.2</f>
        <v>0.26429999999999998</v>
      </c>
      <c r="L333" s="47">
        <v>0.27555015599999999</v>
      </c>
      <c r="M333" s="47">
        <v>0</v>
      </c>
      <c r="N333" s="47">
        <v>0</v>
      </c>
      <c r="O333" s="47">
        <v>0</v>
      </c>
      <c r="P333" s="47">
        <v>0</v>
      </c>
      <c r="Q333" s="47">
        <f t="shared" si="51"/>
        <v>3.0749843999999971E-2</v>
      </c>
      <c r="R333" s="47">
        <f t="shared" si="52"/>
        <v>-3.0749843999999971E-2</v>
      </c>
      <c r="S333" s="48">
        <f t="shared" si="53"/>
        <v>-10.039126346718902</v>
      </c>
      <c r="T333" s="76" t="s">
        <v>981</v>
      </c>
    </row>
    <row r="334" spans="1:20" s="14" customFormat="1" ht="38.25" x14ac:dyDescent="0.25">
      <c r="A334" s="77" t="s">
        <v>186</v>
      </c>
      <c r="B334" s="49" t="s">
        <v>210</v>
      </c>
      <c r="C334" s="51" t="s">
        <v>211</v>
      </c>
      <c r="D334" s="47">
        <v>0.24690239999999997</v>
      </c>
      <c r="E334" s="47">
        <f>15230*1.2/1000000</f>
        <v>1.8276000000000001E-2</v>
      </c>
      <c r="F334" s="47">
        <f t="shared" ref="F334:F397" si="54">D334-E334</f>
        <v>0.22862639999999995</v>
      </c>
      <c r="G334" s="47">
        <f t="shared" si="49"/>
        <v>0.24690239999999997</v>
      </c>
      <c r="H334" s="47">
        <f t="shared" si="49"/>
        <v>0.30874182</v>
      </c>
      <c r="I334" s="47">
        <v>3.6600000000000001E-2</v>
      </c>
      <c r="J334" s="47">
        <v>3.4012319999999997E-3</v>
      </c>
      <c r="K334" s="47">
        <f>0.175252*1.2</f>
        <v>0.21030239999999997</v>
      </c>
      <c r="L334" s="47">
        <v>0.32948860800000002</v>
      </c>
      <c r="M334" s="47">
        <v>0</v>
      </c>
      <c r="N334" s="47">
        <v>-2.4148019999999996E-2</v>
      </c>
      <c r="O334" s="47">
        <v>0</v>
      </c>
      <c r="P334" s="47">
        <v>0</v>
      </c>
      <c r="Q334" s="47">
        <f t="shared" si="51"/>
        <v>-8.0115420000000048E-2</v>
      </c>
      <c r="R334" s="47">
        <f t="shared" si="52"/>
        <v>6.1839420000000034E-2</v>
      </c>
      <c r="S334" s="48">
        <f t="shared" si="53"/>
        <v>25.046099187371212</v>
      </c>
      <c r="T334" s="76" t="s">
        <v>982</v>
      </c>
    </row>
    <row r="335" spans="1:20" s="14" customFormat="1" ht="26.25" x14ac:dyDescent="0.25">
      <c r="A335" s="77" t="s">
        <v>186</v>
      </c>
      <c r="B335" s="49" t="s">
        <v>212</v>
      </c>
      <c r="C335" s="51" t="s">
        <v>213</v>
      </c>
      <c r="D335" s="47">
        <v>0.251535756</v>
      </c>
      <c r="E335" s="47">
        <f>22781.46*1.2/1000000</f>
        <v>2.7337751999999996E-2</v>
      </c>
      <c r="F335" s="47">
        <f t="shared" si="54"/>
        <v>0.22419800400000001</v>
      </c>
      <c r="G335" s="47">
        <f t="shared" si="49"/>
        <v>0.251535756</v>
      </c>
      <c r="H335" s="47">
        <f t="shared" si="49"/>
        <v>0.14839351200000001</v>
      </c>
      <c r="I335" s="47">
        <v>4.3543355999999998E-2</v>
      </c>
      <c r="J335" s="47">
        <v>0</v>
      </c>
      <c r="K335" s="47">
        <f>0.173327*1.2</f>
        <v>0.20799239999999999</v>
      </c>
      <c r="L335" s="47">
        <v>0.14839351200000001</v>
      </c>
      <c r="M335" s="47">
        <v>0</v>
      </c>
      <c r="N335" s="47">
        <v>0</v>
      </c>
      <c r="O335" s="47">
        <v>0</v>
      </c>
      <c r="P335" s="47">
        <v>0</v>
      </c>
      <c r="Q335" s="47">
        <f t="shared" si="51"/>
        <v>7.5804492000000001E-2</v>
      </c>
      <c r="R335" s="47">
        <f t="shared" si="52"/>
        <v>-0.10314224399999999</v>
      </c>
      <c r="S335" s="48">
        <f t="shared" si="53"/>
        <v>-41.005002883168629</v>
      </c>
      <c r="T335" s="76" t="s">
        <v>981</v>
      </c>
    </row>
    <row r="336" spans="1:20" s="14" customFormat="1" ht="26.25" x14ac:dyDescent="0.25">
      <c r="A336" s="60" t="s">
        <v>186</v>
      </c>
      <c r="B336" s="61" t="s">
        <v>395</v>
      </c>
      <c r="C336" s="78" t="s">
        <v>396</v>
      </c>
      <c r="D336" s="47">
        <v>0</v>
      </c>
      <c r="E336" s="47">
        <f>737884.93*1.2/1000000</f>
        <v>0.88546191600000013</v>
      </c>
      <c r="F336" s="47">
        <f t="shared" si="54"/>
        <v>-0.88546191600000013</v>
      </c>
      <c r="G336" s="47">
        <f t="shared" si="49"/>
        <v>0</v>
      </c>
      <c r="H336" s="47">
        <f t="shared" si="49"/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f t="shared" si="51"/>
        <v>-0.88546191600000013</v>
      </c>
      <c r="R336" s="47">
        <f t="shared" si="52"/>
        <v>0</v>
      </c>
      <c r="S336" s="48">
        <v>0</v>
      </c>
      <c r="T336" s="58" t="s">
        <v>48</v>
      </c>
    </row>
    <row r="337" spans="1:20" s="14" customFormat="1" x14ac:dyDescent="0.25">
      <c r="A337" s="53" t="s">
        <v>186</v>
      </c>
      <c r="B337" s="61" t="s">
        <v>397</v>
      </c>
      <c r="C337" s="50" t="s">
        <v>882</v>
      </c>
      <c r="D337" s="47">
        <v>0</v>
      </c>
      <c r="E337" s="47">
        <v>0</v>
      </c>
      <c r="F337" s="47">
        <f t="shared" si="54"/>
        <v>0</v>
      </c>
      <c r="G337" s="47">
        <f t="shared" si="49"/>
        <v>0</v>
      </c>
      <c r="H337" s="47">
        <f t="shared" si="49"/>
        <v>0.11947021199999999</v>
      </c>
      <c r="I337" s="47">
        <v>0</v>
      </c>
      <c r="J337" s="47">
        <v>0.11947021199999999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f t="shared" si="51"/>
        <v>-0.11947021199999999</v>
      </c>
      <c r="R337" s="47">
        <f t="shared" si="52"/>
        <v>0.11947021199999999</v>
      </c>
      <c r="S337" s="48">
        <v>100</v>
      </c>
      <c r="T337" s="63" t="s">
        <v>729</v>
      </c>
    </row>
    <row r="338" spans="1:20" s="14" customFormat="1" x14ac:dyDescent="0.25">
      <c r="A338" s="53" t="s">
        <v>186</v>
      </c>
      <c r="B338" s="61" t="s">
        <v>572</v>
      </c>
      <c r="C338" s="50" t="s">
        <v>883</v>
      </c>
      <c r="D338" s="47">
        <v>0</v>
      </c>
      <c r="E338" s="47">
        <v>0</v>
      </c>
      <c r="F338" s="47">
        <f t="shared" si="54"/>
        <v>0</v>
      </c>
      <c r="G338" s="47">
        <v>0</v>
      </c>
      <c r="H338" s="47">
        <f t="shared" ref="H338:H401" si="55">J338+L338+N338+P338</f>
        <v>4.5009132E-2</v>
      </c>
      <c r="I338" s="47">
        <v>0</v>
      </c>
      <c r="J338" s="47">
        <v>0</v>
      </c>
      <c r="K338" s="47">
        <v>0</v>
      </c>
      <c r="L338" s="47">
        <v>4.5009132E-2</v>
      </c>
      <c r="M338" s="47">
        <v>0</v>
      </c>
      <c r="N338" s="47">
        <v>0</v>
      </c>
      <c r="O338" s="47">
        <v>0</v>
      </c>
      <c r="P338" s="47">
        <v>0</v>
      </c>
      <c r="Q338" s="47">
        <f t="shared" si="51"/>
        <v>-4.5009132E-2</v>
      </c>
      <c r="R338" s="47">
        <f t="shared" si="52"/>
        <v>4.5009132E-2</v>
      </c>
      <c r="S338" s="48">
        <v>100</v>
      </c>
      <c r="T338" s="58" t="s">
        <v>729</v>
      </c>
    </row>
    <row r="339" spans="1:20" s="14" customFormat="1" ht="26.25" x14ac:dyDescent="0.25">
      <c r="A339" s="80" t="s">
        <v>186</v>
      </c>
      <c r="B339" s="61" t="s">
        <v>884</v>
      </c>
      <c r="C339" s="50" t="s">
        <v>885</v>
      </c>
      <c r="D339" s="47">
        <v>0</v>
      </c>
      <c r="E339" s="47">
        <v>0</v>
      </c>
      <c r="F339" s="47">
        <f t="shared" si="54"/>
        <v>0</v>
      </c>
      <c r="G339" s="47">
        <v>0</v>
      </c>
      <c r="H339" s="47">
        <f t="shared" si="55"/>
        <v>5.4000000000000001E-4</v>
      </c>
      <c r="I339" s="47">
        <v>0</v>
      </c>
      <c r="J339" s="47">
        <v>5.4000000000000001E-4</v>
      </c>
      <c r="K339" s="47">
        <v>0</v>
      </c>
      <c r="L339" s="47">
        <v>0</v>
      </c>
      <c r="M339" s="47">
        <v>0</v>
      </c>
      <c r="N339" s="47">
        <v>0</v>
      </c>
      <c r="O339" s="47">
        <v>0</v>
      </c>
      <c r="P339" s="47">
        <v>0</v>
      </c>
      <c r="Q339" s="47">
        <f t="shared" si="51"/>
        <v>-5.4000000000000001E-4</v>
      </c>
      <c r="R339" s="47">
        <f t="shared" si="52"/>
        <v>5.4000000000000001E-4</v>
      </c>
      <c r="S339" s="48">
        <v>0</v>
      </c>
      <c r="T339" s="58" t="s">
        <v>48</v>
      </c>
    </row>
    <row r="340" spans="1:20" s="14" customFormat="1" ht="26.25" x14ac:dyDescent="0.25">
      <c r="A340" s="80" t="s">
        <v>186</v>
      </c>
      <c r="B340" s="61" t="s">
        <v>886</v>
      </c>
      <c r="C340" s="50" t="s">
        <v>887</v>
      </c>
      <c r="D340" s="47">
        <v>0</v>
      </c>
      <c r="E340" s="47">
        <v>0</v>
      </c>
      <c r="F340" s="47">
        <f t="shared" si="54"/>
        <v>0</v>
      </c>
      <c r="G340" s="47">
        <v>0</v>
      </c>
      <c r="H340" s="47">
        <f t="shared" si="55"/>
        <v>2.7120168E-2</v>
      </c>
      <c r="I340" s="47">
        <v>0</v>
      </c>
      <c r="J340" s="47">
        <v>2.7120168E-2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7">
        <v>0</v>
      </c>
      <c r="Q340" s="47">
        <f t="shared" si="51"/>
        <v>-2.7120168E-2</v>
      </c>
      <c r="R340" s="47">
        <f t="shared" si="52"/>
        <v>2.7120168E-2</v>
      </c>
      <c r="S340" s="48">
        <v>0</v>
      </c>
      <c r="T340" s="58" t="s">
        <v>48</v>
      </c>
    </row>
    <row r="341" spans="1:20" s="14" customFormat="1" ht="26.25" x14ac:dyDescent="0.25">
      <c r="A341" s="80" t="s">
        <v>186</v>
      </c>
      <c r="B341" s="61" t="s">
        <v>888</v>
      </c>
      <c r="C341" s="50" t="s">
        <v>574</v>
      </c>
      <c r="D341" s="47">
        <v>0</v>
      </c>
      <c r="E341" s="47">
        <v>0</v>
      </c>
      <c r="F341" s="47">
        <f t="shared" si="54"/>
        <v>0</v>
      </c>
      <c r="G341" s="47">
        <v>0</v>
      </c>
      <c r="H341" s="47">
        <f t="shared" si="55"/>
        <v>2.8310784000000002E-2</v>
      </c>
      <c r="I341" s="47">
        <v>0</v>
      </c>
      <c r="J341" s="47">
        <v>2.8310784000000002E-2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7">
        <v>0</v>
      </c>
      <c r="Q341" s="47">
        <f t="shared" si="51"/>
        <v>-2.8310784000000002E-2</v>
      </c>
      <c r="R341" s="47">
        <f t="shared" si="52"/>
        <v>2.8310784000000002E-2</v>
      </c>
      <c r="S341" s="48">
        <v>0</v>
      </c>
      <c r="T341" s="58" t="s">
        <v>48</v>
      </c>
    </row>
    <row r="342" spans="1:20" s="14" customFormat="1" x14ac:dyDescent="0.25">
      <c r="A342" s="80" t="s">
        <v>186</v>
      </c>
      <c r="B342" s="61" t="s">
        <v>889</v>
      </c>
      <c r="C342" s="50" t="s">
        <v>890</v>
      </c>
      <c r="D342" s="47">
        <v>0</v>
      </c>
      <c r="E342" s="47">
        <v>0</v>
      </c>
      <c r="F342" s="47">
        <f t="shared" si="54"/>
        <v>0</v>
      </c>
      <c r="G342" s="47">
        <v>0</v>
      </c>
      <c r="H342" s="47">
        <f t="shared" si="55"/>
        <v>0</v>
      </c>
      <c r="I342" s="47"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7">
        <f t="shared" si="51"/>
        <v>0</v>
      </c>
      <c r="R342" s="47">
        <f t="shared" si="52"/>
        <v>0</v>
      </c>
      <c r="S342" s="48">
        <v>0</v>
      </c>
      <c r="T342" s="58" t="s">
        <v>48</v>
      </c>
    </row>
    <row r="343" spans="1:20" s="14" customFormat="1" ht="38.25" x14ac:dyDescent="0.25">
      <c r="A343" s="53" t="s">
        <v>186</v>
      </c>
      <c r="B343" s="61" t="s">
        <v>573</v>
      </c>
      <c r="C343" s="50" t="s">
        <v>582</v>
      </c>
      <c r="D343" s="47">
        <v>0</v>
      </c>
      <c r="E343" s="47">
        <v>0</v>
      </c>
      <c r="F343" s="47">
        <f t="shared" si="54"/>
        <v>0</v>
      </c>
      <c r="G343" s="47">
        <v>0</v>
      </c>
      <c r="H343" s="47">
        <f t="shared" si="55"/>
        <v>8.3659643999999991E-2</v>
      </c>
      <c r="I343" s="47">
        <v>0</v>
      </c>
      <c r="J343" s="47">
        <v>0</v>
      </c>
      <c r="K343" s="47">
        <v>0</v>
      </c>
      <c r="L343" s="47">
        <v>5.0383163999999994E-2</v>
      </c>
      <c r="M343" s="47">
        <v>0</v>
      </c>
      <c r="N343" s="47">
        <v>5.3699639999999996E-3</v>
      </c>
      <c r="O343" s="47">
        <v>0</v>
      </c>
      <c r="P343" s="47">
        <v>2.7906515999999996E-2</v>
      </c>
      <c r="Q343" s="47">
        <f t="shared" si="51"/>
        <v>-8.3659643999999991E-2</v>
      </c>
      <c r="R343" s="47">
        <f t="shared" si="52"/>
        <v>8.3659643999999991E-2</v>
      </c>
      <c r="S343" s="48">
        <v>100</v>
      </c>
      <c r="T343" s="58" t="s">
        <v>417</v>
      </c>
    </row>
    <row r="344" spans="1:20" s="14" customFormat="1" ht="38.25" x14ac:dyDescent="0.25">
      <c r="A344" s="53" t="s">
        <v>186</v>
      </c>
      <c r="B344" s="61" t="s">
        <v>575</v>
      </c>
      <c r="C344" s="50" t="s">
        <v>576</v>
      </c>
      <c r="D344" s="47">
        <v>0</v>
      </c>
      <c r="E344" s="47">
        <v>0</v>
      </c>
      <c r="F344" s="47">
        <f t="shared" si="54"/>
        <v>0</v>
      </c>
      <c r="G344" s="47">
        <v>0</v>
      </c>
      <c r="H344" s="47">
        <f t="shared" si="55"/>
        <v>1.7464799999999999E-2</v>
      </c>
      <c r="I344" s="47">
        <v>0</v>
      </c>
      <c r="J344" s="47">
        <v>0</v>
      </c>
      <c r="K344" s="47">
        <v>0</v>
      </c>
      <c r="L344" s="47">
        <v>1.7464799999999999E-2</v>
      </c>
      <c r="M344" s="47">
        <v>0</v>
      </c>
      <c r="N344" s="47">
        <v>0</v>
      </c>
      <c r="O344" s="47">
        <v>0</v>
      </c>
      <c r="P344" s="47">
        <v>0</v>
      </c>
      <c r="Q344" s="47">
        <f t="shared" si="51"/>
        <v>-1.7464799999999999E-2</v>
      </c>
      <c r="R344" s="47">
        <f t="shared" si="52"/>
        <v>1.7464799999999999E-2</v>
      </c>
      <c r="S344" s="48">
        <v>100</v>
      </c>
      <c r="T344" s="58" t="s">
        <v>417</v>
      </c>
    </row>
    <row r="345" spans="1:20" s="14" customFormat="1" ht="38.25" x14ac:dyDescent="0.25">
      <c r="A345" s="53" t="s">
        <v>186</v>
      </c>
      <c r="B345" s="61" t="s">
        <v>577</v>
      </c>
      <c r="C345" s="50" t="s">
        <v>578</v>
      </c>
      <c r="D345" s="47">
        <v>0</v>
      </c>
      <c r="E345" s="47">
        <v>0</v>
      </c>
      <c r="F345" s="47">
        <f t="shared" si="54"/>
        <v>0</v>
      </c>
      <c r="G345" s="47">
        <v>0</v>
      </c>
      <c r="H345" s="47">
        <f t="shared" si="55"/>
        <v>5.5109340000000007E-2</v>
      </c>
      <c r="I345" s="47">
        <v>0</v>
      </c>
      <c r="J345" s="47">
        <v>0</v>
      </c>
      <c r="K345" s="47">
        <v>0</v>
      </c>
      <c r="L345" s="47">
        <v>5.5109340000000007E-2</v>
      </c>
      <c r="M345" s="47">
        <v>0</v>
      </c>
      <c r="N345" s="47">
        <v>0</v>
      </c>
      <c r="O345" s="47">
        <v>0</v>
      </c>
      <c r="P345" s="47">
        <v>0</v>
      </c>
      <c r="Q345" s="47">
        <f t="shared" si="51"/>
        <v>-5.5109340000000007E-2</v>
      </c>
      <c r="R345" s="47">
        <f t="shared" si="52"/>
        <v>5.5109340000000007E-2</v>
      </c>
      <c r="S345" s="48">
        <v>100</v>
      </c>
      <c r="T345" s="58" t="s">
        <v>417</v>
      </c>
    </row>
    <row r="346" spans="1:20" s="14" customFormat="1" ht="38.25" x14ac:dyDescent="0.25">
      <c r="A346" s="53" t="s">
        <v>186</v>
      </c>
      <c r="B346" s="61" t="s">
        <v>579</v>
      </c>
      <c r="C346" s="50" t="s">
        <v>580</v>
      </c>
      <c r="D346" s="47">
        <v>0</v>
      </c>
      <c r="E346" s="47">
        <v>0</v>
      </c>
      <c r="F346" s="47">
        <f t="shared" si="54"/>
        <v>0</v>
      </c>
      <c r="G346" s="47">
        <v>0</v>
      </c>
      <c r="H346" s="47">
        <f t="shared" si="55"/>
        <v>4.4203691999999996E-2</v>
      </c>
      <c r="I346" s="47">
        <v>0</v>
      </c>
      <c r="J346" s="47">
        <v>0</v>
      </c>
      <c r="K346" s="47">
        <v>0</v>
      </c>
      <c r="L346" s="47">
        <v>4.4203691999999996E-2</v>
      </c>
      <c r="M346" s="47">
        <v>0</v>
      </c>
      <c r="N346" s="47">
        <v>0</v>
      </c>
      <c r="O346" s="47">
        <v>0</v>
      </c>
      <c r="P346" s="47">
        <v>0</v>
      </c>
      <c r="Q346" s="47">
        <f t="shared" si="51"/>
        <v>-4.4203691999999996E-2</v>
      </c>
      <c r="R346" s="47">
        <f t="shared" si="52"/>
        <v>4.4203691999999996E-2</v>
      </c>
      <c r="S346" s="48">
        <v>100</v>
      </c>
      <c r="T346" s="58" t="s">
        <v>417</v>
      </c>
    </row>
    <row r="347" spans="1:20" s="14" customFormat="1" ht="26.25" x14ac:dyDescent="0.25">
      <c r="A347" s="53" t="s">
        <v>186</v>
      </c>
      <c r="B347" s="61" t="s">
        <v>581</v>
      </c>
      <c r="C347" s="50" t="s">
        <v>584</v>
      </c>
      <c r="D347" s="47">
        <v>0</v>
      </c>
      <c r="E347" s="47">
        <v>0</v>
      </c>
      <c r="F347" s="47">
        <f t="shared" si="54"/>
        <v>0</v>
      </c>
      <c r="G347" s="47">
        <v>0</v>
      </c>
      <c r="H347" s="47">
        <f t="shared" si="55"/>
        <v>3.2991221399999997</v>
      </c>
      <c r="I347" s="47">
        <v>0</v>
      </c>
      <c r="J347" s="47">
        <v>0</v>
      </c>
      <c r="K347" s="47">
        <v>0</v>
      </c>
      <c r="L347" s="47">
        <v>1.2638199720000001</v>
      </c>
      <c r="M347" s="47">
        <v>0</v>
      </c>
      <c r="N347" s="47">
        <v>2.0353021679999999</v>
      </c>
      <c r="O347" s="47">
        <v>0</v>
      </c>
      <c r="P347" s="47">
        <v>0</v>
      </c>
      <c r="Q347" s="47">
        <f t="shared" si="51"/>
        <v>-3.2991221399999997</v>
      </c>
      <c r="R347" s="47">
        <f t="shared" si="52"/>
        <v>3.2991221399999997</v>
      </c>
      <c r="S347" s="48">
        <v>100</v>
      </c>
      <c r="T347" s="58" t="s">
        <v>729</v>
      </c>
    </row>
    <row r="348" spans="1:20" s="14" customFormat="1" ht="26.25" x14ac:dyDescent="0.25">
      <c r="A348" s="53" t="s">
        <v>186</v>
      </c>
      <c r="B348" s="61" t="s">
        <v>583</v>
      </c>
      <c r="C348" s="50" t="s">
        <v>891</v>
      </c>
      <c r="D348" s="47">
        <v>0</v>
      </c>
      <c r="E348" s="47">
        <v>0</v>
      </c>
      <c r="F348" s="47">
        <f t="shared" si="54"/>
        <v>0</v>
      </c>
      <c r="G348" s="47">
        <v>0</v>
      </c>
      <c r="H348" s="47">
        <f t="shared" si="55"/>
        <v>4.6488108E-2</v>
      </c>
      <c r="I348" s="47">
        <v>0</v>
      </c>
      <c r="J348" s="47">
        <v>0</v>
      </c>
      <c r="K348" s="47">
        <v>0</v>
      </c>
      <c r="L348" s="47">
        <v>4.6488108E-2</v>
      </c>
      <c r="M348" s="47">
        <v>0</v>
      </c>
      <c r="N348" s="47">
        <v>0</v>
      </c>
      <c r="O348" s="47">
        <v>0</v>
      </c>
      <c r="P348" s="47">
        <v>0</v>
      </c>
      <c r="Q348" s="47">
        <f t="shared" si="51"/>
        <v>-4.6488108E-2</v>
      </c>
      <c r="R348" s="47">
        <f t="shared" si="52"/>
        <v>4.6488108E-2</v>
      </c>
      <c r="S348" s="48">
        <v>100</v>
      </c>
      <c r="T348" s="58" t="s">
        <v>729</v>
      </c>
    </row>
    <row r="349" spans="1:20" s="14" customFormat="1" x14ac:dyDescent="0.25">
      <c r="A349" s="53" t="s">
        <v>186</v>
      </c>
      <c r="B349" s="61" t="s">
        <v>892</v>
      </c>
      <c r="C349" s="50" t="s">
        <v>586</v>
      </c>
      <c r="D349" s="47">
        <v>0</v>
      </c>
      <c r="E349" s="47">
        <v>0</v>
      </c>
      <c r="F349" s="47">
        <f t="shared" si="54"/>
        <v>0</v>
      </c>
      <c r="G349" s="47">
        <v>0</v>
      </c>
      <c r="H349" s="47">
        <f t="shared" si="55"/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f t="shared" si="51"/>
        <v>0</v>
      </c>
      <c r="R349" s="47">
        <f t="shared" si="52"/>
        <v>0</v>
      </c>
      <c r="S349" s="48">
        <v>0</v>
      </c>
      <c r="T349" s="58" t="s">
        <v>48</v>
      </c>
    </row>
    <row r="350" spans="1:20" s="14" customFormat="1" ht="38.25" x14ac:dyDescent="0.25">
      <c r="A350" s="53" t="s">
        <v>186</v>
      </c>
      <c r="B350" s="61" t="s">
        <v>585</v>
      </c>
      <c r="C350" s="50" t="s">
        <v>588</v>
      </c>
      <c r="D350" s="47">
        <v>0</v>
      </c>
      <c r="E350" s="47">
        <v>0</v>
      </c>
      <c r="F350" s="47">
        <f t="shared" si="54"/>
        <v>0</v>
      </c>
      <c r="G350" s="47">
        <v>0</v>
      </c>
      <c r="H350" s="47">
        <f t="shared" si="55"/>
        <v>5.1477287999999996E-2</v>
      </c>
      <c r="I350" s="47">
        <v>0</v>
      </c>
      <c r="J350" s="47">
        <v>0</v>
      </c>
      <c r="K350" s="47">
        <v>0</v>
      </c>
      <c r="L350" s="47">
        <v>5.1477287999999996E-2</v>
      </c>
      <c r="M350" s="47">
        <v>0</v>
      </c>
      <c r="N350" s="47">
        <v>0</v>
      </c>
      <c r="O350" s="47">
        <v>0</v>
      </c>
      <c r="P350" s="47">
        <v>0</v>
      </c>
      <c r="Q350" s="47">
        <f t="shared" si="51"/>
        <v>-5.1477287999999996E-2</v>
      </c>
      <c r="R350" s="47">
        <f t="shared" si="52"/>
        <v>5.1477287999999996E-2</v>
      </c>
      <c r="S350" s="48">
        <v>100</v>
      </c>
      <c r="T350" s="58" t="s">
        <v>417</v>
      </c>
    </row>
    <row r="351" spans="1:20" s="14" customFormat="1" ht="26.25" x14ac:dyDescent="0.25">
      <c r="A351" s="53" t="s">
        <v>186</v>
      </c>
      <c r="B351" s="61" t="s">
        <v>587</v>
      </c>
      <c r="C351" s="50" t="s">
        <v>590</v>
      </c>
      <c r="D351" s="47">
        <v>0</v>
      </c>
      <c r="E351" s="47">
        <v>0</v>
      </c>
      <c r="F351" s="47">
        <f t="shared" si="54"/>
        <v>0</v>
      </c>
      <c r="G351" s="47">
        <v>0</v>
      </c>
      <c r="H351" s="47">
        <f t="shared" si="55"/>
        <v>3.9727247999999993E-2</v>
      </c>
      <c r="I351" s="47">
        <v>0</v>
      </c>
      <c r="J351" s="47">
        <v>0</v>
      </c>
      <c r="K351" s="47">
        <v>0</v>
      </c>
      <c r="L351" s="47">
        <v>3.9727247999999993E-2</v>
      </c>
      <c r="M351" s="47">
        <v>0</v>
      </c>
      <c r="N351" s="47">
        <v>0</v>
      </c>
      <c r="O351" s="47">
        <v>0</v>
      </c>
      <c r="P351" s="47">
        <v>0</v>
      </c>
      <c r="Q351" s="47">
        <f t="shared" si="51"/>
        <v>-3.9727247999999993E-2</v>
      </c>
      <c r="R351" s="47">
        <f t="shared" si="52"/>
        <v>3.9727247999999993E-2</v>
      </c>
      <c r="S351" s="48">
        <v>100</v>
      </c>
      <c r="T351" s="58" t="s">
        <v>730</v>
      </c>
    </row>
    <row r="352" spans="1:20" s="14" customFormat="1" ht="38.25" x14ac:dyDescent="0.25">
      <c r="A352" s="53" t="s">
        <v>186</v>
      </c>
      <c r="B352" s="61" t="s">
        <v>589</v>
      </c>
      <c r="C352" s="50" t="s">
        <v>592</v>
      </c>
      <c r="D352" s="47">
        <v>0</v>
      </c>
      <c r="E352" s="47">
        <v>0</v>
      </c>
      <c r="F352" s="47">
        <f t="shared" si="54"/>
        <v>0</v>
      </c>
      <c r="G352" s="47">
        <v>0</v>
      </c>
      <c r="H352" s="47">
        <f t="shared" si="55"/>
        <v>0.127711992</v>
      </c>
      <c r="I352" s="47">
        <v>0</v>
      </c>
      <c r="J352" s="47">
        <f>19.427/1000*1.2</f>
        <v>2.33124E-2</v>
      </c>
      <c r="K352" s="47">
        <v>0</v>
      </c>
      <c r="L352" s="47">
        <v>0.10439959199999999</v>
      </c>
      <c r="M352" s="47">
        <v>0</v>
      </c>
      <c r="N352" s="47">
        <v>0</v>
      </c>
      <c r="O352" s="47">
        <v>0</v>
      </c>
      <c r="P352" s="47">
        <v>0</v>
      </c>
      <c r="Q352" s="47">
        <f t="shared" si="51"/>
        <v>-0.127711992</v>
      </c>
      <c r="R352" s="47">
        <f t="shared" si="52"/>
        <v>0.127711992</v>
      </c>
      <c r="S352" s="48">
        <v>100</v>
      </c>
      <c r="T352" s="58" t="s">
        <v>417</v>
      </c>
    </row>
    <row r="353" spans="1:20" s="14" customFormat="1" ht="38.25" x14ac:dyDescent="0.25">
      <c r="A353" s="53" t="s">
        <v>186</v>
      </c>
      <c r="B353" s="61" t="s">
        <v>591</v>
      </c>
      <c r="C353" s="50" t="s">
        <v>594</v>
      </c>
      <c r="D353" s="47">
        <v>0</v>
      </c>
      <c r="E353" s="47">
        <v>0</v>
      </c>
      <c r="F353" s="47">
        <f t="shared" si="54"/>
        <v>0</v>
      </c>
      <c r="G353" s="47">
        <v>0</v>
      </c>
      <c r="H353" s="47">
        <f t="shared" si="55"/>
        <v>0.23487442799999997</v>
      </c>
      <c r="I353" s="47">
        <v>0</v>
      </c>
      <c r="J353" s="47">
        <f>23.477/1000*1.2</f>
        <v>2.81724E-2</v>
      </c>
      <c r="K353" s="47">
        <v>0</v>
      </c>
      <c r="L353" s="47">
        <v>0.20670202799999998</v>
      </c>
      <c r="M353" s="47">
        <v>0</v>
      </c>
      <c r="N353" s="47">
        <v>0</v>
      </c>
      <c r="O353" s="47">
        <v>0</v>
      </c>
      <c r="P353" s="47">
        <v>0</v>
      </c>
      <c r="Q353" s="47">
        <f t="shared" si="51"/>
        <v>-0.23487442799999997</v>
      </c>
      <c r="R353" s="47">
        <f t="shared" si="52"/>
        <v>0.23487442799999997</v>
      </c>
      <c r="S353" s="48">
        <v>100</v>
      </c>
      <c r="T353" s="58" t="s">
        <v>417</v>
      </c>
    </row>
    <row r="354" spans="1:20" s="14" customFormat="1" ht="38.25" x14ac:dyDescent="0.25">
      <c r="A354" s="53" t="s">
        <v>186</v>
      </c>
      <c r="B354" s="61" t="s">
        <v>593</v>
      </c>
      <c r="C354" s="50" t="s">
        <v>700</v>
      </c>
      <c r="D354" s="47">
        <v>0</v>
      </c>
      <c r="E354" s="47">
        <v>0</v>
      </c>
      <c r="F354" s="47">
        <f t="shared" si="54"/>
        <v>0</v>
      </c>
      <c r="G354" s="47">
        <v>0</v>
      </c>
      <c r="H354" s="47">
        <f t="shared" si="55"/>
        <v>0.12192470400000001</v>
      </c>
      <c r="I354" s="47">
        <v>0</v>
      </c>
      <c r="J354" s="47">
        <f>20.396/1000*1.2</f>
        <v>2.4475199999999999E-2</v>
      </c>
      <c r="K354" s="47">
        <v>0</v>
      </c>
      <c r="L354" s="47">
        <v>9.7449504000000006E-2</v>
      </c>
      <c r="M354" s="47">
        <v>0</v>
      </c>
      <c r="N354" s="47">
        <v>0</v>
      </c>
      <c r="O354" s="47">
        <v>0</v>
      </c>
      <c r="P354" s="47">
        <v>0</v>
      </c>
      <c r="Q354" s="47">
        <f t="shared" si="51"/>
        <v>-0.12192470400000001</v>
      </c>
      <c r="R354" s="47">
        <f t="shared" si="52"/>
        <v>0.12192470400000001</v>
      </c>
      <c r="S354" s="48">
        <v>100</v>
      </c>
      <c r="T354" s="58" t="s">
        <v>417</v>
      </c>
    </row>
    <row r="355" spans="1:20" s="14" customFormat="1" x14ac:dyDescent="0.25">
      <c r="A355" s="53" t="s">
        <v>186</v>
      </c>
      <c r="B355" s="61" t="s">
        <v>595</v>
      </c>
      <c r="C355" s="50" t="s">
        <v>103</v>
      </c>
      <c r="D355" s="47">
        <v>0</v>
      </c>
      <c r="E355" s="47">
        <v>0</v>
      </c>
      <c r="F355" s="47">
        <f t="shared" si="54"/>
        <v>0</v>
      </c>
      <c r="G355" s="47">
        <v>0</v>
      </c>
      <c r="H355" s="47">
        <f t="shared" si="55"/>
        <v>0</v>
      </c>
      <c r="I355" s="47">
        <v>0</v>
      </c>
      <c r="J355" s="47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f t="shared" si="51"/>
        <v>0</v>
      </c>
      <c r="R355" s="47">
        <f t="shared" si="52"/>
        <v>0</v>
      </c>
      <c r="S355" s="48">
        <v>0</v>
      </c>
      <c r="T355" s="58" t="s">
        <v>48</v>
      </c>
    </row>
    <row r="356" spans="1:20" s="14" customFormat="1" ht="38.25" x14ac:dyDescent="0.25">
      <c r="A356" s="53" t="s">
        <v>186</v>
      </c>
      <c r="B356" s="61" t="s">
        <v>699</v>
      </c>
      <c r="C356" s="50" t="s">
        <v>893</v>
      </c>
      <c r="D356" s="47">
        <v>0</v>
      </c>
      <c r="E356" s="47">
        <v>0</v>
      </c>
      <c r="F356" s="47">
        <f t="shared" si="54"/>
        <v>0</v>
      </c>
      <c r="G356" s="47">
        <v>0</v>
      </c>
      <c r="H356" s="47">
        <f t="shared" si="55"/>
        <v>0.24991691999999999</v>
      </c>
      <c r="I356" s="47">
        <v>0</v>
      </c>
      <c r="J356" s="47">
        <v>0</v>
      </c>
      <c r="K356" s="47">
        <v>0</v>
      </c>
      <c r="L356" s="47">
        <v>0</v>
      </c>
      <c r="M356" s="47">
        <v>0</v>
      </c>
      <c r="N356" s="47">
        <v>0.24991691999999999</v>
      </c>
      <c r="O356" s="47">
        <v>0</v>
      </c>
      <c r="P356" s="47">
        <v>0</v>
      </c>
      <c r="Q356" s="47">
        <f t="shared" si="51"/>
        <v>-0.24991691999999999</v>
      </c>
      <c r="R356" s="47">
        <f t="shared" si="52"/>
        <v>0.24991691999999999</v>
      </c>
      <c r="S356" s="48">
        <v>100</v>
      </c>
      <c r="T356" s="58" t="s">
        <v>743</v>
      </c>
    </row>
    <row r="357" spans="1:20" s="14" customFormat="1" ht="26.25" x14ac:dyDescent="0.25">
      <c r="A357" s="53" t="s">
        <v>258</v>
      </c>
      <c r="B357" s="61" t="s">
        <v>972</v>
      </c>
      <c r="C357" s="50" t="s">
        <v>973</v>
      </c>
      <c r="D357" s="47">
        <v>0</v>
      </c>
      <c r="E357" s="47">
        <v>0</v>
      </c>
      <c r="F357" s="47">
        <f t="shared" si="54"/>
        <v>0</v>
      </c>
      <c r="G357" s="47">
        <v>0</v>
      </c>
      <c r="H357" s="47">
        <f t="shared" si="55"/>
        <v>0</v>
      </c>
      <c r="I357" s="47">
        <v>0</v>
      </c>
      <c r="J357" s="47">
        <v>0</v>
      </c>
      <c r="K357" s="47">
        <v>0</v>
      </c>
      <c r="L357" s="47">
        <v>0</v>
      </c>
      <c r="M357" s="47">
        <v>0</v>
      </c>
      <c r="N357" s="47">
        <v>0</v>
      </c>
      <c r="O357" s="47">
        <v>0</v>
      </c>
      <c r="P357" s="47">
        <v>0</v>
      </c>
      <c r="Q357" s="47">
        <f t="shared" si="51"/>
        <v>0</v>
      </c>
      <c r="R357" s="47">
        <f t="shared" si="52"/>
        <v>0</v>
      </c>
      <c r="S357" s="48">
        <v>0</v>
      </c>
      <c r="T357" s="58" t="s">
        <v>48</v>
      </c>
    </row>
    <row r="358" spans="1:20" s="14" customFormat="1" ht="38.25" x14ac:dyDescent="0.25">
      <c r="A358" s="53" t="s">
        <v>186</v>
      </c>
      <c r="B358" s="61" t="s">
        <v>701</v>
      </c>
      <c r="C358" s="50" t="s">
        <v>894</v>
      </c>
      <c r="D358" s="47">
        <v>0</v>
      </c>
      <c r="E358" s="47">
        <v>0</v>
      </c>
      <c r="F358" s="47">
        <f t="shared" si="54"/>
        <v>0</v>
      </c>
      <c r="G358" s="47">
        <v>0</v>
      </c>
      <c r="H358" s="47">
        <f t="shared" si="55"/>
        <v>0.189503112</v>
      </c>
      <c r="I358" s="47">
        <v>0</v>
      </c>
      <c r="J358" s="47">
        <v>0</v>
      </c>
      <c r="K358" s="47">
        <v>0</v>
      </c>
      <c r="L358" s="47">
        <v>0</v>
      </c>
      <c r="M358" s="47">
        <v>0</v>
      </c>
      <c r="N358" s="47">
        <v>0.189503112</v>
      </c>
      <c r="O358" s="47">
        <v>0</v>
      </c>
      <c r="P358" s="47">
        <v>0</v>
      </c>
      <c r="Q358" s="47">
        <f t="shared" si="51"/>
        <v>-0.189503112</v>
      </c>
      <c r="R358" s="47">
        <f t="shared" si="52"/>
        <v>0.189503112</v>
      </c>
      <c r="S358" s="48">
        <v>100</v>
      </c>
      <c r="T358" s="58" t="s">
        <v>417</v>
      </c>
    </row>
    <row r="359" spans="1:20" s="14" customFormat="1" x14ac:dyDescent="0.25">
      <c r="A359" s="53" t="s">
        <v>258</v>
      </c>
      <c r="B359" s="61" t="s">
        <v>895</v>
      </c>
      <c r="C359" s="50" t="s">
        <v>896</v>
      </c>
      <c r="D359" s="47">
        <v>0</v>
      </c>
      <c r="E359" s="47">
        <v>0</v>
      </c>
      <c r="F359" s="47">
        <f t="shared" si="54"/>
        <v>0</v>
      </c>
      <c r="G359" s="47">
        <v>0</v>
      </c>
      <c r="H359" s="47">
        <f t="shared" si="55"/>
        <v>1.2371868239999999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1.2371868239999999</v>
      </c>
      <c r="Q359" s="47">
        <f t="shared" si="51"/>
        <v>-1.2371868239999999</v>
      </c>
      <c r="R359" s="47">
        <f t="shared" si="52"/>
        <v>1.2371868239999999</v>
      </c>
      <c r="S359" s="48">
        <v>100</v>
      </c>
      <c r="T359" s="58" t="s">
        <v>729</v>
      </c>
    </row>
    <row r="360" spans="1:20" s="14" customFormat="1" x14ac:dyDescent="0.25">
      <c r="A360" s="53" t="s">
        <v>186</v>
      </c>
      <c r="B360" s="61" t="s">
        <v>897</v>
      </c>
      <c r="C360" s="50" t="s">
        <v>898</v>
      </c>
      <c r="D360" s="47">
        <v>0</v>
      </c>
      <c r="E360" s="47">
        <v>0</v>
      </c>
      <c r="F360" s="47">
        <f t="shared" si="54"/>
        <v>0</v>
      </c>
      <c r="G360" s="47">
        <v>0</v>
      </c>
      <c r="H360" s="47">
        <f t="shared" si="55"/>
        <v>3.0632435999999999E-2</v>
      </c>
      <c r="I360" s="47">
        <v>0</v>
      </c>
      <c r="J360" s="47">
        <v>0</v>
      </c>
      <c r="K360" s="47">
        <v>0</v>
      </c>
      <c r="L360" s="47">
        <v>0</v>
      </c>
      <c r="M360" s="47">
        <v>0</v>
      </c>
      <c r="N360" s="47">
        <v>0</v>
      </c>
      <c r="O360" s="47">
        <v>0</v>
      </c>
      <c r="P360" s="47">
        <v>3.0632435999999999E-2</v>
      </c>
      <c r="Q360" s="47">
        <f t="shared" si="51"/>
        <v>-3.0632435999999999E-2</v>
      </c>
      <c r="R360" s="47">
        <f t="shared" si="52"/>
        <v>3.0632435999999999E-2</v>
      </c>
      <c r="S360" s="48">
        <v>100</v>
      </c>
      <c r="T360" s="58" t="s">
        <v>729</v>
      </c>
    </row>
    <row r="361" spans="1:20" s="14" customFormat="1" ht="26.25" x14ac:dyDescent="0.25">
      <c r="A361" s="53" t="s">
        <v>186</v>
      </c>
      <c r="B361" s="61" t="s">
        <v>899</v>
      </c>
      <c r="C361" s="50" t="s">
        <v>900</v>
      </c>
      <c r="D361" s="47">
        <v>0</v>
      </c>
      <c r="E361" s="47">
        <v>0</v>
      </c>
      <c r="F361" s="47">
        <f t="shared" si="54"/>
        <v>0</v>
      </c>
      <c r="G361" s="47">
        <v>0</v>
      </c>
      <c r="H361" s="47">
        <f t="shared" si="55"/>
        <v>0.15842091599999999</v>
      </c>
      <c r="I361" s="47">
        <v>0</v>
      </c>
      <c r="J361" s="47">
        <v>0</v>
      </c>
      <c r="K361" s="47">
        <v>0</v>
      </c>
      <c r="L361" s="47">
        <v>0</v>
      </c>
      <c r="M361" s="47">
        <v>0</v>
      </c>
      <c r="N361" s="47">
        <v>0</v>
      </c>
      <c r="O361" s="47">
        <v>0</v>
      </c>
      <c r="P361" s="47">
        <v>0.15842091599999999</v>
      </c>
      <c r="Q361" s="47">
        <f t="shared" si="51"/>
        <v>-0.15842091599999999</v>
      </c>
      <c r="R361" s="47">
        <f t="shared" si="52"/>
        <v>0.15842091599999999</v>
      </c>
      <c r="S361" s="48">
        <v>100</v>
      </c>
      <c r="T361" s="58" t="s">
        <v>729</v>
      </c>
    </row>
    <row r="362" spans="1:20" s="14" customFormat="1" x14ac:dyDescent="0.25">
      <c r="A362" s="53" t="s">
        <v>186</v>
      </c>
      <c r="B362" s="61" t="s">
        <v>901</v>
      </c>
      <c r="C362" s="50" t="s">
        <v>902</v>
      </c>
      <c r="D362" s="47">
        <v>0</v>
      </c>
      <c r="E362" s="47">
        <v>0</v>
      </c>
      <c r="F362" s="47">
        <f t="shared" si="54"/>
        <v>0</v>
      </c>
      <c r="G362" s="47">
        <v>0</v>
      </c>
      <c r="H362" s="47">
        <f t="shared" si="55"/>
        <v>1.1733096E-2</v>
      </c>
      <c r="I362" s="47">
        <v>0</v>
      </c>
      <c r="J362" s="47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7">
        <v>1.1733096E-2</v>
      </c>
      <c r="Q362" s="47">
        <f t="shared" si="51"/>
        <v>-1.1733096E-2</v>
      </c>
      <c r="R362" s="47">
        <f t="shared" si="52"/>
        <v>1.1733096E-2</v>
      </c>
      <c r="S362" s="48">
        <v>100</v>
      </c>
      <c r="T362" s="58" t="s">
        <v>729</v>
      </c>
    </row>
    <row r="363" spans="1:20" s="14" customFormat="1" x14ac:dyDescent="0.25">
      <c r="A363" s="53" t="s">
        <v>186</v>
      </c>
      <c r="B363" s="61" t="s">
        <v>903</v>
      </c>
      <c r="C363" s="50" t="s">
        <v>904</v>
      </c>
      <c r="D363" s="47">
        <v>0</v>
      </c>
      <c r="E363" s="47">
        <v>0</v>
      </c>
      <c r="F363" s="47">
        <f t="shared" si="54"/>
        <v>0</v>
      </c>
      <c r="G363" s="47">
        <v>0</v>
      </c>
      <c r="H363" s="47">
        <f t="shared" si="55"/>
        <v>4.8000000000000001E-2</v>
      </c>
      <c r="I363" s="47">
        <v>0</v>
      </c>
      <c r="J363" s="47">
        <v>0</v>
      </c>
      <c r="K363" s="47">
        <v>0</v>
      </c>
      <c r="L363" s="47">
        <v>0</v>
      </c>
      <c r="M363" s="47">
        <v>0</v>
      </c>
      <c r="N363" s="47">
        <f>40*1.2/1000</f>
        <v>4.8000000000000001E-2</v>
      </c>
      <c r="O363" s="47">
        <v>0</v>
      </c>
      <c r="P363" s="47">
        <v>0</v>
      </c>
      <c r="Q363" s="47">
        <f t="shared" si="51"/>
        <v>-4.8000000000000001E-2</v>
      </c>
      <c r="R363" s="47">
        <f t="shared" si="52"/>
        <v>4.8000000000000001E-2</v>
      </c>
      <c r="S363" s="48">
        <v>100</v>
      </c>
      <c r="T363" s="58" t="s">
        <v>729</v>
      </c>
    </row>
    <row r="364" spans="1:20" s="14" customFormat="1" x14ac:dyDescent="0.25">
      <c r="A364" s="53" t="s">
        <v>186</v>
      </c>
      <c r="B364" s="61" t="s">
        <v>905</v>
      </c>
      <c r="C364" s="50" t="s">
        <v>702</v>
      </c>
      <c r="D364" s="47">
        <v>0</v>
      </c>
      <c r="E364" s="47">
        <v>0</v>
      </c>
      <c r="F364" s="47">
        <f t="shared" si="54"/>
        <v>0</v>
      </c>
      <c r="G364" s="47">
        <v>0</v>
      </c>
      <c r="H364" s="47">
        <f t="shared" si="55"/>
        <v>5.2407311999999998E-2</v>
      </c>
      <c r="I364" s="47">
        <v>0</v>
      </c>
      <c r="J364" s="47">
        <v>0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5.2407311999999998E-2</v>
      </c>
      <c r="Q364" s="47">
        <f t="shared" si="51"/>
        <v>-5.2407311999999998E-2</v>
      </c>
      <c r="R364" s="47">
        <f t="shared" si="52"/>
        <v>5.2407311999999998E-2</v>
      </c>
      <c r="S364" s="48">
        <v>100</v>
      </c>
      <c r="T364" s="58" t="s">
        <v>729</v>
      </c>
    </row>
    <row r="365" spans="1:20" s="14" customFormat="1" x14ac:dyDescent="0.25">
      <c r="A365" s="53" t="s">
        <v>186</v>
      </c>
      <c r="B365" s="61" t="s">
        <v>906</v>
      </c>
      <c r="C365" s="50" t="s">
        <v>907</v>
      </c>
      <c r="D365" s="47">
        <v>0</v>
      </c>
      <c r="E365" s="47">
        <v>0</v>
      </c>
      <c r="F365" s="47">
        <f t="shared" si="54"/>
        <v>0</v>
      </c>
      <c r="G365" s="47">
        <v>0</v>
      </c>
      <c r="H365" s="47">
        <f t="shared" si="55"/>
        <v>2.1275220000000001E-2</v>
      </c>
      <c r="I365" s="47">
        <v>0</v>
      </c>
      <c r="J365" s="47">
        <v>0</v>
      </c>
      <c r="K365" s="47">
        <v>0</v>
      </c>
      <c r="L365" s="47">
        <v>0</v>
      </c>
      <c r="M365" s="47">
        <v>0</v>
      </c>
      <c r="N365" s="47">
        <v>0</v>
      </c>
      <c r="O365" s="47">
        <v>0</v>
      </c>
      <c r="P365" s="47">
        <v>2.1275220000000001E-2</v>
      </c>
      <c r="Q365" s="47">
        <f t="shared" si="51"/>
        <v>-2.1275220000000001E-2</v>
      </c>
      <c r="R365" s="47">
        <f t="shared" si="52"/>
        <v>2.1275220000000001E-2</v>
      </c>
      <c r="S365" s="48">
        <v>100</v>
      </c>
      <c r="T365" s="58" t="s">
        <v>729</v>
      </c>
    </row>
    <row r="366" spans="1:20" s="14" customFormat="1" ht="38.25" x14ac:dyDescent="0.25">
      <c r="A366" s="53" t="s">
        <v>186</v>
      </c>
      <c r="B366" s="61" t="s">
        <v>908</v>
      </c>
      <c r="C366" s="50" t="s">
        <v>909</v>
      </c>
      <c r="D366" s="47">
        <v>0</v>
      </c>
      <c r="E366" s="47">
        <v>0</v>
      </c>
      <c r="F366" s="47">
        <f t="shared" si="54"/>
        <v>0</v>
      </c>
      <c r="G366" s="47">
        <v>0</v>
      </c>
      <c r="H366" s="47">
        <f t="shared" si="55"/>
        <v>0.85048399200000002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0</v>
      </c>
      <c r="P366" s="47">
        <v>0.85048399200000002</v>
      </c>
      <c r="Q366" s="47">
        <f t="shared" si="51"/>
        <v>-0.85048399200000002</v>
      </c>
      <c r="R366" s="47">
        <f t="shared" si="52"/>
        <v>0.85048399200000002</v>
      </c>
      <c r="S366" s="48">
        <v>100</v>
      </c>
      <c r="T366" s="58" t="s">
        <v>417</v>
      </c>
    </row>
    <row r="367" spans="1:20" s="14" customFormat="1" ht="38.25" x14ac:dyDescent="0.25">
      <c r="A367" s="53" t="s">
        <v>186</v>
      </c>
      <c r="B367" s="61" t="s">
        <v>910</v>
      </c>
      <c r="C367" s="50" t="s">
        <v>911</v>
      </c>
      <c r="D367" s="47">
        <v>0</v>
      </c>
      <c r="E367" s="47">
        <v>0</v>
      </c>
      <c r="F367" s="47">
        <f t="shared" si="54"/>
        <v>0</v>
      </c>
      <c r="G367" s="47">
        <v>0</v>
      </c>
      <c r="H367" s="47">
        <f t="shared" si="55"/>
        <v>0.10761409199999999</v>
      </c>
      <c r="I367" s="47">
        <v>0</v>
      </c>
      <c r="J367" s="47">
        <v>0</v>
      </c>
      <c r="K367" s="47">
        <v>0</v>
      </c>
      <c r="L367" s="47">
        <v>0</v>
      </c>
      <c r="M367" s="47">
        <v>0</v>
      </c>
      <c r="N367" s="47">
        <v>0</v>
      </c>
      <c r="O367" s="47">
        <v>0</v>
      </c>
      <c r="P367" s="47">
        <v>0.10761409199999999</v>
      </c>
      <c r="Q367" s="47">
        <f t="shared" si="51"/>
        <v>-0.10761409199999999</v>
      </c>
      <c r="R367" s="47">
        <f t="shared" si="52"/>
        <v>0.10761409199999999</v>
      </c>
      <c r="S367" s="48">
        <v>100</v>
      </c>
      <c r="T367" s="58" t="s">
        <v>417</v>
      </c>
    </row>
    <row r="368" spans="1:20" s="14" customFormat="1" x14ac:dyDescent="0.25">
      <c r="A368" s="53" t="s">
        <v>186</v>
      </c>
      <c r="B368" s="61" t="s">
        <v>912</v>
      </c>
      <c r="C368" s="50" t="s">
        <v>913</v>
      </c>
      <c r="D368" s="47">
        <v>0</v>
      </c>
      <c r="E368" s="47">
        <v>0</v>
      </c>
      <c r="F368" s="47">
        <f t="shared" si="54"/>
        <v>0</v>
      </c>
      <c r="G368" s="47">
        <v>0</v>
      </c>
      <c r="H368" s="47">
        <f t="shared" si="55"/>
        <v>5.3120712E-2</v>
      </c>
      <c r="I368" s="47">
        <v>0</v>
      </c>
      <c r="J368" s="47">
        <v>0</v>
      </c>
      <c r="K368" s="47">
        <v>0</v>
      </c>
      <c r="L368" s="47">
        <v>0</v>
      </c>
      <c r="M368" s="47">
        <v>0</v>
      </c>
      <c r="N368" s="47">
        <v>0</v>
      </c>
      <c r="O368" s="47">
        <v>0</v>
      </c>
      <c r="P368" s="47">
        <v>5.3120712E-2</v>
      </c>
      <c r="Q368" s="47">
        <f t="shared" si="51"/>
        <v>-5.3120712E-2</v>
      </c>
      <c r="R368" s="47">
        <f t="shared" si="52"/>
        <v>5.3120712E-2</v>
      </c>
      <c r="S368" s="48">
        <v>100</v>
      </c>
      <c r="T368" s="58" t="s">
        <v>729</v>
      </c>
    </row>
    <row r="369" spans="1:20" s="14" customFormat="1" x14ac:dyDescent="0.25">
      <c r="A369" s="80" t="s">
        <v>186</v>
      </c>
      <c r="B369" s="61" t="s">
        <v>914</v>
      </c>
      <c r="C369" s="50" t="s">
        <v>915</v>
      </c>
      <c r="D369" s="47">
        <v>0</v>
      </c>
      <c r="E369" s="47">
        <v>0</v>
      </c>
      <c r="F369" s="47">
        <f t="shared" si="54"/>
        <v>0</v>
      </c>
      <c r="G369" s="47">
        <v>0</v>
      </c>
      <c r="H369" s="47">
        <f t="shared" si="55"/>
        <v>2.7375095999999998E-2</v>
      </c>
      <c r="I369" s="47">
        <v>0</v>
      </c>
      <c r="J369" s="47">
        <v>0</v>
      </c>
      <c r="K369" s="47">
        <v>0</v>
      </c>
      <c r="L369" s="47">
        <v>0</v>
      </c>
      <c r="M369" s="47">
        <v>0</v>
      </c>
      <c r="N369" s="47">
        <v>0</v>
      </c>
      <c r="O369" s="47">
        <v>0</v>
      </c>
      <c r="P369" s="47">
        <v>2.7375095999999998E-2</v>
      </c>
      <c r="Q369" s="47">
        <f t="shared" si="51"/>
        <v>-2.7375095999999998E-2</v>
      </c>
      <c r="R369" s="47">
        <f t="shared" si="52"/>
        <v>2.7375095999999998E-2</v>
      </c>
      <c r="S369" s="48">
        <v>100</v>
      </c>
      <c r="T369" s="58" t="s">
        <v>729</v>
      </c>
    </row>
    <row r="370" spans="1:20" s="14" customFormat="1" x14ac:dyDescent="0.25">
      <c r="A370" s="80" t="s">
        <v>186</v>
      </c>
      <c r="B370" s="61" t="s">
        <v>916</v>
      </c>
      <c r="C370" s="50" t="s">
        <v>917</v>
      </c>
      <c r="D370" s="47">
        <v>0</v>
      </c>
      <c r="E370" s="47">
        <v>0</v>
      </c>
      <c r="F370" s="47">
        <f t="shared" si="54"/>
        <v>0</v>
      </c>
      <c r="G370" s="47">
        <v>0</v>
      </c>
      <c r="H370" s="47">
        <f t="shared" si="55"/>
        <v>3.2306292E-2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7">
        <v>0</v>
      </c>
      <c r="O370" s="47">
        <v>0</v>
      </c>
      <c r="P370" s="47">
        <v>3.2306292E-2</v>
      </c>
      <c r="Q370" s="47">
        <f t="shared" si="51"/>
        <v>-3.2306292E-2</v>
      </c>
      <c r="R370" s="47">
        <f t="shared" si="52"/>
        <v>3.2306292E-2</v>
      </c>
      <c r="S370" s="48">
        <v>100</v>
      </c>
      <c r="T370" s="58" t="s">
        <v>729</v>
      </c>
    </row>
    <row r="371" spans="1:20" s="14" customFormat="1" x14ac:dyDescent="0.25">
      <c r="A371" s="80" t="s">
        <v>186</v>
      </c>
      <c r="B371" s="61" t="s">
        <v>918</v>
      </c>
      <c r="C371" s="50" t="s">
        <v>919</v>
      </c>
      <c r="D371" s="47">
        <v>0</v>
      </c>
      <c r="E371" s="47">
        <v>0</v>
      </c>
      <c r="F371" s="47">
        <f t="shared" si="54"/>
        <v>0</v>
      </c>
      <c r="G371" s="47">
        <v>0</v>
      </c>
      <c r="H371" s="47">
        <f t="shared" si="55"/>
        <v>4.9042427999999999E-2</v>
      </c>
      <c r="I371" s="47">
        <v>0</v>
      </c>
      <c r="J371" s="47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4.9042427999999999E-2</v>
      </c>
      <c r="Q371" s="47">
        <f t="shared" si="51"/>
        <v>-4.9042427999999999E-2</v>
      </c>
      <c r="R371" s="47">
        <f t="shared" si="52"/>
        <v>4.9042427999999999E-2</v>
      </c>
      <c r="S371" s="48">
        <v>100</v>
      </c>
      <c r="T371" s="58" t="s">
        <v>729</v>
      </c>
    </row>
    <row r="372" spans="1:20" s="14" customFormat="1" x14ac:dyDescent="0.25">
      <c r="A372" s="80" t="s">
        <v>186</v>
      </c>
      <c r="B372" s="61" t="s">
        <v>920</v>
      </c>
      <c r="C372" s="50" t="s">
        <v>921</v>
      </c>
      <c r="D372" s="47">
        <v>0</v>
      </c>
      <c r="E372" s="47">
        <v>0</v>
      </c>
      <c r="F372" s="47">
        <f t="shared" si="54"/>
        <v>0</v>
      </c>
      <c r="G372" s="47">
        <v>0</v>
      </c>
      <c r="H372" s="47">
        <f t="shared" si="55"/>
        <v>2.7375095999999998E-2</v>
      </c>
      <c r="I372" s="47">
        <v>0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2.7375095999999998E-2</v>
      </c>
      <c r="Q372" s="47">
        <f t="shared" si="51"/>
        <v>-2.7375095999999998E-2</v>
      </c>
      <c r="R372" s="47">
        <f t="shared" si="52"/>
        <v>2.7375095999999998E-2</v>
      </c>
      <c r="S372" s="48">
        <v>100</v>
      </c>
      <c r="T372" s="58" t="s">
        <v>729</v>
      </c>
    </row>
    <row r="373" spans="1:20" s="14" customFormat="1" ht="63.75" x14ac:dyDescent="0.25">
      <c r="A373" s="77" t="s">
        <v>186</v>
      </c>
      <c r="B373" s="49" t="s">
        <v>214</v>
      </c>
      <c r="C373" s="51" t="s">
        <v>215</v>
      </c>
      <c r="D373" s="47">
        <v>16.156940039999999</v>
      </c>
      <c r="E373" s="47">
        <f>21454*1.2/1000000</f>
        <v>2.5744799999999998E-2</v>
      </c>
      <c r="F373" s="47">
        <f t="shared" si="54"/>
        <v>16.13119524</v>
      </c>
      <c r="G373" s="47">
        <f t="shared" ref="G373:G392" si="56">I373+K373+M373+O373</f>
        <v>16.156940039999999</v>
      </c>
      <c r="H373" s="47">
        <f t="shared" si="55"/>
        <v>1.7999999999999999E-2</v>
      </c>
      <c r="I373" s="47">
        <v>0.43544364000000002</v>
      </c>
      <c r="J373" s="47">
        <v>0</v>
      </c>
      <c r="K373" s="47">
        <v>15.721496399999998</v>
      </c>
      <c r="L373" s="47">
        <v>8.9999999999999993E-3</v>
      </c>
      <c r="M373" s="47">
        <v>0</v>
      </c>
      <c r="N373" s="47">
        <v>8.9999999999999993E-3</v>
      </c>
      <c r="O373" s="47">
        <v>0</v>
      </c>
      <c r="P373" s="47">
        <v>0</v>
      </c>
      <c r="Q373" s="47">
        <f t="shared" si="51"/>
        <v>16.11319524</v>
      </c>
      <c r="R373" s="47">
        <f t="shared" si="52"/>
        <v>-16.138940039999998</v>
      </c>
      <c r="S373" s="48">
        <f t="shared" si="53"/>
        <v>-99.888592765985166</v>
      </c>
      <c r="T373" s="76" t="s">
        <v>986</v>
      </c>
    </row>
    <row r="374" spans="1:20" s="14" customFormat="1" x14ac:dyDescent="0.25">
      <c r="A374" s="77" t="s">
        <v>186</v>
      </c>
      <c r="B374" s="49" t="s">
        <v>216</v>
      </c>
      <c r="C374" s="51" t="s">
        <v>217</v>
      </c>
      <c r="D374" s="47">
        <v>0.28404715199999997</v>
      </c>
      <c r="E374" s="47">
        <f>20624.46*1.2/1000000</f>
        <v>2.4749351999999999E-2</v>
      </c>
      <c r="F374" s="47">
        <f t="shared" si="54"/>
        <v>0.25929779999999997</v>
      </c>
      <c r="G374" s="47">
        <f t="shared" si="56"/>
        <v>0.28404715199999997</v>
      </c>
      <c r="H374" s="47">
        <f t="shared" si="55"/>
        <v>0.25228929599999994</v>
      </c>
      <c r="I374" s="47">
        <v>3.1943951999999998E-2</v>
      </c>
      <c r="J374" s="47">
        <v>0</v>
      </c>
      <c r="K374" s="47">
        <v>0</v>
      </c>
      <c r="L374" s="47">
        <v>0</v>
      </c>
      <c r="M374" s="47">
        <v>0.25210319999999997</v>
      </c>
      <c r="N374" s="47">
        <v>0</v>
      </c>
      <c r="O374" s="47">
        <v>0</v>
      </c>
      <c r="P374" s="47">
        <v>0.25228929599999994</v>
      </c>
      <c r="Q374" s="47">
        <f t="shared" si="51"/>
        <v>7.0085040000000265E-3</v>
      </c>
      <c r="R374" s="47">
        <f t="shared" si="52"/>
        <v>-3.1757856000000029E-2</v>
      </c>
      <c r="S374" s="48">
        <f t="shared" si="53"/>
        <v>-11.180487386122437</v>
      </c>
      <c r="T374" s="76" t="s">
        <v>48</v>
      </c>
    </row>
    <row r="375" spans="1:20" s="14" customFormat="1" ht="25.5" x14ac:dyDescent="0.25">
      <c r="A375" s="60" t="s">
        <v>186</v>
      </c>
      <c r="B375" s="61" t="s">
        <v>218</v>
      </c>
      <c r="C375" s="62" t="s">
        <v>219</v>
      </c>
      <c r="D375" s="47">
        <v>1.6650492959999998</v>
      </c>
      <c r="E375" s="47">
        <f>52094.06*1.2/1000000</f>
        <v>6.2512871999999997E-2</v>
      </c>
      <c r="F375" s="47">
        <f t="shared" si="54"/>
        <v>1.6025364239999997</v>
      </c>
      <c r="G375" s="47">
        <f t="shared" si="56"/>
        <v>1.6650492959999998</v>
      </c>
      <c r="H375" s="47">
        <f t="shared" si="55"/>
        <v>1.102145376</v>
      </c>
      <c r="I375" s="47">
        <v>0.15465609599999997</v>
      </c>
      <c r="J375" s="47">
        <v>5.5121999999999992E-3</v>
      </c>
      <c r="K375" s="47">
        <v>0</v>
      </c>
      <c r="L375" s="47">
        <v>0</v>
      </c>
      <c r="M375" s="47">
        <v>1.5103932</v>
      </c>
      <c r="N375" s="47">
        <v>1.2E-2</v>
      </c>
      <c r="O375" s="47">
        <v>0</v>
      </c>
      <c r="P375" s="47">
        <v>1.0846331759999999</v>
      </c>
      <c r="Q375" s="47">
        <f t="shared" si="51"/>
        <v>0.50039104799999978</v>
      </c>
      <c r="R375" s="47">
        <f t="shared" si="52"/>
        <v>-0.56290391999999989</v>
      </c>
      <c r="S375" s="48">
        <f t="shared" si="53"/>
        <v>-33.80704231113647</v>
      </c>
      <c r="T375" s="76" t="s">
        <v>987</v>
      </c>
    </row>
    <row r="376" spans="1:20" s="14" customFormat="1" x14ac:dyDescent="0.25">
      <c r="A376" s="60" t="s">
        <v>186</v>
      </c>
      <c r="B376" s="61" t="s">
        <v>220</v>
      </c>
      <c r="C376" s="62" t="s">
        <v>221</v>
      </c>
      <c r="D376" s="47">
        <v>0.44014525199999993</v>
      </c>
      <c r="E376" s="47">
        <v>0</v>
      </c>
      <c r="F376" s="47">
        <f t="shared" si="54"/>
        <v>0.44014525199999993</v>
      </c>
      <c r="G376" s="47">
        <f t="shared" si="56"/>
        <v>0.44014525199999993</v>
      </c>
      <c r="H376" s="47">
        <f t="shared" si="55"/>
        <v>0.41793470399999999</v>
      </c>
      <c r="I376" s="47">
        <v>5.0432051999999998E-2</v>
      </c>
      <c r="J376" s="47">
        <v>0</v>
      </c>
      <c r="K376" s="47">
        <v>0.38971319999999993</v>
      </c>
      <c r="L376" s="47">
        <v>2.4685631999999996E-2</v>
      </c>
      <c r="M376" s="47">
        <v>0</v>
      </c>
      <c r="N376" s="47">
        <v>0.39324907199999998</v>
      </c>
      <c r="O376" s="47">
        <v>0</v>
      </c>
      <c r="P376" s="47">
        <v>0</v>
      </c>
      <c r="Q376" s="47">
        <f t="shared" si="51"/>
        <v>2.2210547999999941E-2</v>
      </c>
      <c r="R376" s="47">
        <f t="shared" si="52"/>
        <v>-2.2210547999999941E-2</v>
      </c>
      <c r="S376" s="48">
        <f t="shared" si="53"/>
        <v>-5.0461859804408249</v>
      </c>
      <c r="T376" s="76" t="s">
        <v>48</v>
      </c>
    </row>
    <row r="377" spans="1:20" s="14" customFormat="1" ht="26.25" x14ac:dyDescent="0.25">
      <c r="A377" s="60" t="s">
        <v>186</v>
      </c>
      <c r="B377" s="61" t="s">
        <v>222</v>
      </c>
      <c r="C377" s="62" t="s">
        <v>223</v>
      </c>
      <c r="D377" s="47">
        <v>4.0317851999999998</v>
      </c>
      <c r="E377" s="47">
        <v>0</v>
      </c>
      <c r="F377" s="47">
        <f t="shared" si="54"/>
        <v>4.0317851999999998</v>
      </c>
      <c r="G377" s="47">
        <f t="shared" si="56"/>
        <v>4.0317851999999998</v>
      </c>
      <c r="H377" s="47">
        <f t="shared" si="55"/>
        <v>3.4397257080000001</v>
      </c>
      <c r="I377" s="47">
        <v>0.29220839999999998</v>
      </c>
      <c r="J377" s="47">
        <v>0</v>
      </c>
      <c r="K377" s="47">
        <v>3.7395768</v>
      </c>
      <c r="L377" s="47">
        <v>4.5089232000000007E-2</v>
      </c>
      <c r="M377" s="47">
        <v>0</v>
      </c>
      <c r="N377" s="47">
        <v>3.5400000000000002E-3</v>
      </c>
      <c r="O377" s="47">
        <v>0</v>
      </c>
      <c r="P377" s="47">
        <v>3.391096476</v>
      </c>
      <c r="Q377" s="47">
        <f t="shared" si="51"/>
        <v>0.59205949199999974</v>
      </c>
      <c r="R377" s="47">
        <f t="shared" si="52"/>
        <v>-0.59205949199999974</v>
      </c>
      <c r="S377" s="48">
        <f t="shared" si="53"/>
        <v>-14.684797493676001</v>
      </c>
      <c r="T377" s="76" t="s">
        <v>48</v>
      </c>
    </row>
    <row r="378" spans="1:20" s="14" customFormat="1" ht="26.25" x14ac:dyDescent="0.25">
      <c r="A378" s="60" t="s">
        <v>186</v>
      </c>
      <c r="B378" s="61" t="s">
        <v>224</v>
      </c>
      <c r="C378" s="62" t="s">
        <v>225</v>
      </c>
      <c r="D378" s="47">
        <v>7.8828276600000002</v>
      </c>
      <c r="E378" s="47">
        <v>0</v>
      </c>
      <c r="F378" s="47">
        <f t="shared" si="54"/>
        <v>7.8828276600000002</v>
      </c>
      <c r="G378" s="47">
        <f t="shared" si="56"/>
        <v>7.8828276600000002</v>
      </c>
      <c r="H378" s="47">
        <f t="shared" si="55"/>
        <v>1.5827156039999999</v>
      </c>
      <c r="I378" s="47">
        <v>0.38447165999999999</v>
      </c>
      <c r="J378" s="47">
        <v>0</v>
      </c>
      <c r="K378" s="47">
        <v>7.4983560000000002</v>
      </c>
      <c r="L378" s="47">
        <v>1.0781232E-2</v>
      </c>
      <c r="M378" s="47">
        <v>0</v>
      </c>
      <c r="N378" s="47">
        <v>3.5400000000000002E-3</v>
      </c>
      <c r="O378" s="47">
        <v>0</v>
      </c>
      <c r="P378" s="47">
        <v>1.568394372</v>
      </c>
      <c r="Q378" s="47">
        <f t="shared" si="51"/>
        <v>6.3001120560000006</v>
      </c>
      <c r="R378" s="47">
        <f t="shared" si="52"/>
        <v>-6.3001120560000006</v>
      </c>
      <c r="S378" s="48">
        <f t="shared" si="53"/>
        <v>-79.921981397218573</v>
      </c>
      <c r="T378" s="76" t="s">
        <v>987</v>
      </c>
    </row>
    <row r="379" spans="1:20" s="14" customFormat="1" ht="26.25" x14ac:dyDescent="0.25">
      <c r="A379" s="60" t="s">
        <v>186</v>
      </c>
      <c r="B379" s="61" t="s">
        <v>226</v>
      </c>
      <c r="C379" s="62" t="s">
        <v>227</v>
      </c>
      <c r="D379" s="47">
        <v>7.8828240599999999</v>
      </c>
      <c r="E379" s="47">
        <v>0</v>
      </c>
      <c r="F379" s="47">
        <f t="shared" si="54"/>
        <v>7.8828240599999999</v>
      </c>
      <c r="G379" s="47">
        <f t="shared" si="56"/>
        <v>7.8828240599999999</v>
      </c>
      <c r="H379" s="47">
        <f t="shared" si="55"/>
        <v>1.5913823519999997</v>
      </c>
      <c r="I379" s="47">
        <v>0.38447045999999996</v>
      </c>
      <c r="J379" s="47">
        <v>0</v>
      </c>
      <c r="K379" s="47">
        <v>7.4983535999999997</v>
      </c>
      <c r="L379" s="47">
        <v>1.0781232E-2</v>
      </c>
      <c r="M379" s="47">
        <v>0</v>
      </c>
      <c r="N379" s="47">
        <v>3.5400000000000002E-3</v>
      </c>
      <c r="O379" s="47">
        <v>0</v>
      </c>
      <c r="P379" s="47">
        <v>1.5770611199999998</v>
      </c>
      <c r="Q379" s="47">
        <f t="shared" si="51"/>
        <v>6.2914417080000007</v>
      </c>
      <c r="R379" s="47">
        <f t="shared" si="52"/>
        <v>-6.2914417080000007</v>
      </c>
      <c r="S379" s="48">
        <f t="shared" si="53"/>
        <v>-79.812027518472874</v>
      </c>
      <c r="T379" s="76" t="s">
        <v>987</v>
      </c>
    </row>
    <row r="380" spans="1:20" s="14" customFormat="1" ht="26.25" x14ac:dyDescent="0.25">
      <c r="A380" s="60" t="s">
        <v>186</v>
      </c>
      <c r="B380" s="61" t="s">
        <v>228</v>
      </c>
      <c r="C380" s="62" t="s">
        <v>229</v>
      </c>
      <c r="D380" s="47">
        <v>6.7014986280000004</v>
      </c>
      <c r="E380" s="47">
        <v>0</v>
      </c>
      <c r="F380" s="47">
        <f t="shared" si="54"/>
        <v>6.7014986280000004</v>
      </c>
      <c r="G380" s="47">
        <f t="shared" si="56"/>
        <v>6.7014986280000004</v>
      </c>
      <c r="H380" s="47">
        <f t="shared" si="55"/>
        <v>3.3793349159999999</v>
      </c>
      <c r="I380" s="47">
        <v>0.37080622800000002</v>
      </c>
      <c r="J380" s="47">
        <v>0</v>
      </c>
      <c r="K380" s="47">
        <v>6.3306924000000002</v>
      </c>
      <c r="L380" s="47">
        <v>1.0781232E-2</v>
      </c>
      <c r="M380" s="47">
        <v>0</v>
      </c>
      <c r="N380" s="47">
        <v>2.5200000000000001E-3</v>
      </c>
      <c r="O380" s="47">
        <v>0</v>
      </c>
      <c r="P380" s="47">
        <v>3.366033684</v>
      </c>
      <c r="Q380" s="47">
        <f t="shared" si="51"/>
        <v>3.3221637120000005</v>
      </c>
      <c r="R380" s="47">
        <f t="shared" si="52"/>
        <v>-3.3221637120000005</v>
      </c>
      <c r="S380" s="48">
        <f t="shared" si="53"/>
        <v>-49.57344463400225</v>
      </c>
      <c r="T380" s="76" t="s">
        <v>987</v>
      </c>
    </row>
    <row r="381" spans="1:20" s="14" customFormat="1" x14ac:dyDescent="0.25">
      <c r="A381" s="60" t="s">
        <v>186</v>
      </c>
      <c r="B381" s="61" t="s">
        <v>230</v>
      </c>
      <c r="C381" s="62" t="s">
        <v>231</v>
      </c>
      <c r="D381" s="47">
        <v>0.71584339200000002</v>
      </c>
      <c r="E381" s="47">
        <v>0</v>
      </c>
      <c r="F381" s="47">
        <f t="shared" si="54"/>
        <v>0.71584339200000002</v>
      </c>
      <c r="G381" s="47">
        <f t="shared" si="56"/>
        <v>0.71584339200000002</v>
      </c>
      <c r="H381" s="47">
        <f t="shared" si="55"/>
        <v>0.75817771199999995</v>
      </c>
      <c r="I381" s="47">
        <v>7.9983791999999998E-2</v>
      </c>
      <c r="J381" s="47">
        <v>2.2285199999999998E-2</v>
      </c>
      <c r="K381" s="47">
        <v>0.63585959999999997</v>
      </c>
      <c r="L381" s="47">
        <v>0</v>
      </c>
      <c r="M381" s="47">
        <v>0</v>
      </c>
      <c r="N381" s="47">
        <v>1.4528724E-2</v>
      </c>
      <c r="O381" s="47">
        <v>0</v>
      </c>
      <c r="P381" s="47">
        <v>0.72136378800000001</v>
      </c>
      <c r="Q381" s="47">
        <f t="shared" si="51"/>
        <v>-4.2334319999999925E-2</v>
      </c>
      <c r="R381" s="47">
        <f t="shared" si="52"/>
        <v>4.2334319999999925E-2</v>
      </c>
      <c r="S381" s="48">
        <f t="shared" si="53"/>
        <v>5.9139080521120206</v>
      </c>
      <c r="T381" s="76" t="s">
        <v>48</v>
      </c>
    </row>
    <row r="382" spans="1:20" s="14" customFormat="1" ht="33" customHeight="1" x14ac:dyDescent="0.25">
      <c r="A382" s="60" t="s">
        <v>186</v>
      </c>
      <c r="B382" s="61" t="s">
        <v>232</v>
      </c>
      <c r="C382" s="62" t="s">
        <v>233</v>
      </c>
      <c r="D382" s="47">
        <v>4.5282312000000005</v>
      </c>
      <c r="E382" s="47">
        <f>191460.19*1.2/1000000</f>
        <v>0.229752228</v>
      </c>
      <c r="F382" s="47">
        <f t="shared" si="54"/>
        <v>4.2984789720000007</v>
      </c>
      <c r="G382" s="47">
        <f t="shared" si="56"/>
        <v>4.5282312000000005</v>
      </c>
      <c r="H382" s="47">
        <f t="shared" si="55"/>
        <v>1.7321393279999997</v>
      </c>
      <c r="I382" s="47">
        <v>0.26963880000000001</v>
      </c>
      <c r="J382" s="47">
        <v>0</v>
      </c>
      <c r="K382" s="47">
        <v>4.2585924000000004</v>
      </c>
      <c r="L382" s="47">
        <v>3.5491200000000001E-2</v>
      </c>
      <c r="M382" s="47">
        <v>0</v>
      </c>
      <c r="N382" s="47">
        <v>1.7048724000000001E-2</v>
      </c>
      <c r="O382" s="47">
        <v>0</v>
      </c>
      <c r="P382" s="47">
        <v>1.6795994039999997</v>
      </c>
      <c r="Q382" s="47">
        <f t="shared" si="51"/>
        <v>2.566339644000001</v>
      </c>
      <c r="R382" s="47">
        <f t="shared" si="52"/>
        <v>-2.7960918720000008</v>
      </c>
      <c r="S382" s="48">
        <f t="shared" si="53"/>
        <v>-61.747992726166466</v>
      </c>
      <c r="T382" s="76" t="s">
        <v>987</v>
      </c>
    </row>
    <row r="383" spans="1:20" s="14" customFormat="1" x14ac:dyDescent="0.25">
      <c r="A383" s="60" t="s">
        <v>186</v>
      </c>
      <c r="B383" s="61" t="s">
        <v>234</v>
      </c>
      <c r="C383" s="62" t="s">
        <v>235</v>
      </c>
      <c r="D383" s="47">
        <v>2.8084117559999999</v>
      </c>
      <c r="E383" s="47">
        <f>26283.04*1.2/1000000</f>
        <v>3.1539648000000003E-2</v>
      </c>
      <c r="F383" s="47">
        <f t="shared" si="54"/>
        <v>2.7768721080000001</v>
      </c>
      <c r="G383" s="47">
        <f t="shared" si="56"/>
        <v>2.8084117559999999</v>
      </c>
      <c r="H383" s="47">
        <f t="shared" si="55"/>
        <v>2.8535683679999999</v>
      </c>
      <c r="I383" s="47">
        <v>0.23628375600000001</v>
      </c>
      <c r="J383" s="47">
        <v>3.2552399999999995E-2</v>
      </c>
      <c r="K383" s="47">
        <v>2.5721279999999997</v>
      </c>
      <c r="L383" s="47">
        <v>0</v>
      </c>
      <c r="M383" s="47">
        <v>0</v>
      </c>
      <c r="N383" s="47">
        <v>8.9999999999999993E-3</v>
      </c>
      <c r="O383" s="47">
        <v>0</v>
      </c>
      <c r="P383" s="47">
        <v>2.8120159679999999</v>
      </c>
      <c r="Q383" s="47">
        <f t="shared" si="51"/>
        <v>-7.669625999999985E-2</v>
      </c>
      <c r="R383" s="47">
        <f t="shared" si="52"/>
        <v>4.5156611999999985E-2</v>
      </c>
      <c r="S383" s="48">
        <f t="shared" si="53"/>
        <v>1.6079056749255471</v>
      </c>
      <c r="T383" s="76" t="s">
        <v>48</v>
      </c>
    </row>
    <row r="384" spans="1:20" s="14" customFormat="1" x14ac:dyDescent="0.25">
      <c r="A384" s="60" t="s">
        <v>186</v>
      </c>
      <c r="B384" s="61" t="s">
        <v>236</v>
      </c>
      <c r="C384" s="62" t="s">
        <v>237</v>
      </c>
      <c r="D384" s="47">
        <v>1.6103208</v>
      </c>
      <c r="E384" s="47">
        <f>25112.69*1.2/1000000</f>
        <v>3.0135227999999997E-2</v>
      </c>
      <c r="F384" s="47">
        <f t="shared" si="54"/>
        <v>1.580185572</v>
      </c>
      <c r="G384" s="47">
        <f t="shared" si="56"/>
        <v>1.6103208</v>
      </c>
      <c r="H384" s="47">
        <f t="shared" si="55"/>
        <v>1.6967364840000001</v>
      </c>
      <c r="I384" s="47">
        <v>0.22431959999999998</v>
      </c>
      <c r="J384" s="47">
        <v>2.8612800000000001E-2</v>
      </c>
      <c r="K384" s="47">
        <v>1.3860011999999999</v>
      </c>
      <c r="L384" s="47">
        <v>0</v>
      </c>
      <c r="M384" s="47">
        <v>0</v>
      </c>
      <c r="N384" s="47">
        <v>2.8649976000000001E-2</v>
      </c>
      <c r="O384" s="47">
        <v>0</v>
      </c>
      <c r="P384" s="47">
        <v>1.6394737080000001</v>
      </c>
      <c r="Q384" s="47">
        <f t="shared" si="51"/>
        <v>-0.11655091200000012</v>
      </c>
      <c r="R384" s="47">
        <f t="shared" si="52"/>
        <v>8.6415684000000104E-2</v>
      </c>
      <c r="S384" s="48">
        <f t="shared" si="53"/>
        <v>5.3663645156915436</v>
      </c>
      <c r="T384" s="76" t="s">
        <v>48</v>
      </c>
    </row>
    <row r="385" spans="1:20" s="14" customFormat="1" ht="63.75" x14ac:dyDescent="0.25">
      <c r="A385" s="60" t="s">
        <v>186</v>
      </c>
      <c r="B385" s="61" t="s">
        <v>238</v>
      </c>
      <c r="C385" s="62" t="s">
        <v>239</v>
      </c>
      <c r="D385" s="47">
        <v>1.7808865079999998</v>
      </c>
      <c r="E385" s="47">
        <v>0</v>
      </c>
      <c r="F385" s="47">
        <f t="shared" si="54"/>
        <v>1.7808865079999998</v>
      </c>
      <c r="G385" s="47">
        <f t="shared" si="56"/>
        <v>1.7808865079999998</v>
      </c>
      <c r="H385" s="47">
        <f t="shared" si="55"/>
        <v>1.7999999999999999E-2</v>
      </c>
      <c r="I385" s="47">
        <v>0.15938170799999998</v>
      </c>
      <c r="J385" s="47">
        <v>0</v>
      </c>
      <c r="K385" s="47">
        <v>1.6215047999999999</v>
      </c>
      <c r="L385" s="47">
        <v>8.9999999999999993E-3</v>
      </c>
      <c r="M385" s="47">
        <v>0</v>
      </c>
      <c r="N385" s="47">
        <v>8.9999999999999993E-3</v>
      </c>
      <c r="O385" s="47">
        <v>0</v>
      </c>
      <c r="P385" s="47">
        <v>0</v>
      </c>
      <c r="Q385" s="47">
        <f t="shared" si="51"/>
        <v>1.7628865079999998</v>
      </c>
      <c r="R385" s="47">
        <f t="shared" si="52"/>
        <v>-1.7628865079999998</v>
      </c>
      <c r="S385" s="48">
        <f t="shared" si="53"/>
        <v>-98.989267428376749</v>
      </c>
      <c r="T385" s="76" t="s">
        <v>986</v>
      </c>
    </row>
    <row r="386" spans="1:20" s="14" customFormat="1" ht="63.75" x14ac:dyDescent="0.25">
      <c r="A386" s="60" t="s">
        <v>186</v>
      </c>
      <c r="B386" s="61" t="s">
        <v>240</v>
      </c>
      <c r="C386" s="62" t="s">
        <v>241</v>
      </c>
      <c r="D386" s="47">
        <v>2.5818131040000001</v>
      </c>
      <c r="E386" s="47">
        <v>0</v>
      </c>
      <c r="F386" s="47">
        <f t="shared" si="54"/>
        <v>2.5818131040000001</v>
      </c>
      <c r="G386" s="47">
        <f t="shared" si="56"/>
        <v>2.5818131040000001</v>
      </c>
      <c r="H386" s="47">
        <f t="shared" si="55"/>
        <v>1.7999999999999999E-2</v>
      </c>
      <c r="I386" s="47">
        <v>0.18404390400000001</v>
      </c>
      <c r="J386" s="47">
        <v>0</v>
      </c>
      <c r="K386" s="47">
        <v>2.3977691999999999</v>
      </c>
      <c r="L386" s="47">
        <v>8.9999999999999993E-3</v>
      </c>
      <c r="M386" s="47">
        <v>0</v>
      </c>
      <c r="N386" s="47">
        <v>8.9999999999999993E-3</v>
      </c>
      <c r="O386" s="47">
        <v>0</v>
      </c>
      <c r="P386" s="47">
        <v>0</v>
      </c>
      <c r="Q386" s="47">
        <f t="shared" si="51"/>
        <v>2.5638131040000003</v>
      </c>
      <c r="R386" s="47">
        <f t="shared" si="52"/>
        <v>-2.5638131040000003</v>
      </c>
      <c r="S386" s="48">
        <f t="shared" si="53"/>
        <v>-99.302815530213536</v>
      </c>
      <c r="T386" s="76" t="s">
        <v>986</v>
      </c>
    </row>
    <row r="387" spans="1:20" s="14" customFormat="1" ht="38.25" x14ac:dyDescent="0.25">
      <c r="A387" s="60" t="s">
        <v>186</v>
      </c>
      <c r="B387" s="61" t="s">
        <v>242</v>
      </c>
      <c r="C387" s="62" t="s">
        <v>243</v>
      </c>
      <c r="D387" s="47">
        <v>1.6474509720000001</v>
      </c>
      <c r="E387" s="47">
        <v>0</v>
      </c>
      <c r="F387" s="47">
        <f t="shared" si="54"/>
        <v>1.6474509720000001</v>
      </c>
      <c r="G387" s="47">
        <f t="shared" si="56"/>
        <v>1.6474509720000001</v>
      </c>
      <c r="H387" s="47">
        <f t="shared" si="55"/>
        <v>2.5871835840000004</v>
      </c>
      <c r="I387" s="47">
        <v>0.11902537199999999</v>
      </c>
      <c r="J387" s="47">
        <v>0</v>
      </c>
      <c r="K387" s="47">
        <v>0</v>
      </c>
      <c r="L387" s="47">
        <v>5.1469296000000005E-2</v>
      </c>
      <c r="M387" s="47">
        <v>1.5284256000000001</v>
      </c>
      <c r="N387" s="47">
        <v>0</v>
      </c>
      <c r="O387" s="47">
        <v>0</v>
      </c>
      <c r="P387" s="47">
        <v>2.5357142880000003</v>
      </c>
      <c r="Q387" s="47">
        <f t="shared" si="51"/>
        <v>-0.93973261200000024</v>
      </c>
      <c r="R387" s="47">
        <f t="shared" si="52"/>
        <v>0.93973261200000024</v>
      </c>
      <c r="S387" s="48">
        <f t="shared" si="53"/>
        <v>57.041613254151542</v>
      </c>
      <c r="T387" s="76" t="s">
        <v>988</v>
      </c>
    </row>
    <row r="388" spans="1:20" s="14" customFormat="1" ht="25.5" x14ac:dyDescent="0.25">
      <c r="A388" s="60" t="s">
        <v>186</v>
      </c>
      <c r="B388" s="61" t="s">
        <v>244</v>
      </c>
      <c r="C388" s="62" t="s">
        <v>245</v>
      </c>
      <c r="D388" s="47">
        <v>1.535047008</v>
      </c>
      <c r="E388" s="47">
        <v>0</v>
      </c>
      <c r="F388" s="47">
        <f t="shared" si="54"/>
        <v>1.535047008</v>
      </c>
      <c r="G388" s="47">
        <f t="shared" si="56"/>
        <v>1.535047008</v>
      </c>
      <c r="H388" s="47">
        <f t="shared" si="55"/>
        <v>0.85193037599999977</v>
      </c>
      <c r="I388" s="47">
        <v>0.12306100799999999</v>
      </c>
      <c r="J388" s="47">
        <v>2.3110800000000001E-2</v>
      </c>
      <c r="K388" s="47">
        <v>0</v>
      </c>
      <c r="L388" s="47">
        <v>1.5401231999999999E-2</v>
      </c>
      <c r="M388" s="47">
        <v>1.411986</v>
      </c>
      <c r="N388" s="47">
        <v>0</v>
      </c>
      <c r="O388" s="47">
        <v>0</v>
      </c>
      <c r="P388" s="47">
        <v>0.81341834399999979</v>
      </c>
      <c r="Q388" s="47">
        <f t="shared" si="51"/>
        <v>0.68311663200000028</v>
      </c>
      <c r="R388" s="47">
        <f t="shared" si="52"/>
        <v>-0.68311663200000028</v>
      </c>
      <c r="S388" s="48">
        <f t="shared" si="53"/>
        <v>-44.501349368448807</v>
      </c>
      <c r="T388" s="76" t="s">
        <v>987</v>
      </c>
    </row>
    <row r="389" spans="1:20" s="14" customFormat="1" ht="63.75" x14ac:dyDescent="0.25">
      <c r="A389" s="60" t="s">
        <v>186</v>
      </c>
      <c r="B389" s="61" t="s">
        <v>246</v>
      </c>
      <c r="C389" s="62" t="s">
        <v>247</v>
      </c>
      <c r="D389" s="47">
        <v>4.1824833119999996</v>
      </c>
      <c r="E389" s="47">
        <v>0</v>
      </c>
      <c r="F389" s="47">
        <f t="shared" si="54"/>
        <v>4.1824833119999996</v>
      </c>
      <c r="G389" s="47">
        <f t="shared" si="56"/>
        <v>4.1824833119999996</v>
      </c>
      <c r="H389" s="47">
        <f t="shared" si="55"/>
        <v>5.2564559999999996E-2</v>
      </c>
      <c r="I389" s="47">
        <v>0.28202011199999999</v>
      </c>
      <c r="J389" s="47">
        <v>0</v>
      </c>
      <c r="K389" s="47">
        <v>0</v>
      </c>
      <c r="L389" s="47">
        <v>2.39784E-2</v>
      </c>
      <c r="M389" s="47">
        <v>3.9004631999999995</v>
      </c>
      <c r="N389" s="47">
        <v>1.668E-2</v>
      </c>
      <c r="O389" s="47">
        <v>0</v>
      </c>
      <c r="P389" s="47">
        <v>1.1906159999999997E-2</v>
      </c>
      <c r="Q389" s="47">
        <f t="shared" si="51"/>
        <v>4.1299187519999991</v>
      </c>
      <c r="R389" s="47">
        <f t="shared" si="52"/>
        <v>-4.1299187519999991</v>
      </c>
      <c r="S389" s="48">
        <f t="shared" si="53"/>
        <v>-98.743221285565284</v>
      </c>
      <c r="T389" s="76" t="s">
        <v>986</v>
      </c>
    </row>
    <row r="390" spans="1:20" s="14" customFormat="1" ht="25.5" x14ac:dyDescent="0.25">
      <c r="A390" s="60" t="s">
        <v>186</v>
      </c>
      <c r="B390" s="61" t="s">
        <v>248</v>
      </c>
      <c r="C390" s="62" t="s">
        <v>249</v>
      </c>
      <c r="D390" s="47">
        <v>2.7582003719999997</v>
      </c>
      <c r="E390" s="47">
        <v>0</v>
      </c>
      <c r="F390" s="47">
        <f t="shared" si="54"/>
        <v>2.7582003719999997</v>
      </c>
      <c r="G390" s="47">
        <f t="shared" si="56"/>
        <v>2.7582003719999997</v>
      </c>
      <c r="H390" s="47">
        <f t="shared" si="55"/>
        <v>1.4127892560000002</v>
      </c>
      <c r="I390" s="47">
        <v>0.19166677200000001</v>
      </c>
      <c r="J390" s="47">
        <v>0</v>
      </c>
      <c r="K390" s="47">
        <v>0</v>
      </c>
      <c r="L390" s="47">
        <v>0</v>
      </c>
      <c r="M390" s="47">
        <v>2.5665335999999996</v>
      </c>
      <c r="N390" s="47">
        <v>4.0256364000000003E-2</v>
      </c>
      <c r="O390" s="47">
        <v>0</v>
      </c>
      <c r="P390" s="47">
        <v>1.3725328920000002</v>
      </c>
      <c r="Q390" s="47">
        <f t="shared" si="51"/>
        <v>1.3454111159999995</v>
      </c>
      <c r="R390" s="47">
        <f t="shared" si="52"/>
        <v>-1.3454111159999995</v>
      </c>
      <c r="S390" s="48">
        <f t="shared" si="53"/>
        <v>-48.77858511143728</v>
      </c>
      <c r="T390" s="76" t="s">
        <v>987</v>
      </c>
    </row>
    <row r="391" spans="1:20" s="14" customFormat="1" ht="25.5" x14ac:dyDescent="0.25">
      <c r="A391" s="60" t="s">
        <v>186</v>
      </c>
      <c r="B391" s="61" t="s">
        <v>250</v>
      </c>
      <c r="C391" s="62" t="s">
        <v>251</v>
      </c>
      <c r="D391" s="47">
        <v>2.1872914199999998</v>
      </c>
      <c r="E391" s="47">
        <f>50477.82*1.2/1000000</f>
        <v>6.0573384000000001E-2</v>
      </c>
      <c r="F391" s="47">
        <f t="shared" si="54"/>
        <v>2.1267180359999998</v>
      </c>
      <c r="G391" s="47">
        <f t="shared" si="56"/>
        <v>2.1872914199999998</v>
      </c>
      <c r="H391" s="47">
        <f t="shared" si="55"/>
        <v>1.085173116</v>
      </c>
      <c r="I391" s="47">
        <v>0.12575142</v>
      </c>
      <c r="J391" s="47">
        <v>0</v>
      </c>
      <c r="K391" s="47">
        <v>2.0615399999999999</v>
      </c>
      <c r="L391" s="47">
        <v>0.31845886799999995</v>
      </c>
      <c r="M391" s="47">
        <v>0</v>
      </c>
      <c r="N391" s="47">
        <v>0.38803473599999999</v>
      </c>
      <c r="O391" s="47">
        <v>0</v>
      </c>
      <c r="P391" s="47">
        <v>0.378679512</v>
      </c>
      <c r="Q391" s="47">
        <f t="shared" si="51"/>
        <v>1.0415449199999998</v>
      </c>
      <c r="R391" s="47">
        <f t="shared" si="52"/>
        <v>-1.1021183039999998</v>
      </c>
      <c r="S391" s="48">
        <f t="shared" si="53"/>
        <v>-50.387355517537749</v>
      </c>
      <c r="T391" s="76" t="s">
        <v>987</v>
      </c>
    </row>
    <row r="392" spans="1:20" s="14" customFormat="1" x14ac:dyDescent="0.25">
      <c r="A392" s="60" t="s">
        <v>186</v>
      </c>
      <c r="B392" s="61" t="s">
        <v>252</v>
      </c>
      <c r="C392" s="62" t="s">
        <v>253</v>
      </c>
      <c r="D392" s="47">
        <v>1.6873670519999999</v>
      </c>
      <c r="E392" s="47">
        <f>42570.25*1.2/1000000</f>
        <v>5.1084299999999992E-2</v>
      </c>
      <c r="F392" s="47">
        <f t="shared" si="54"/>
        <v>1.6362827519999998</v>
      </c>
      <c r="G392" s="47">
        <f t="shared" si="56"/>
        <v>1.6873670519999999</v>
      </c>
      <c r="H392" s="47">
        <f t="shared" si="55"/>
        <v>1.691832228</v>
      </c>
      <c r="I392" s="47">
        <v>0.129338652</v>
      </c>
      <c r="J392" s="47">
        <v>0</v>
      </c>
      <c r="K392" s="47">
        <v>1.5580284</v>
      </c>
      <c r="L392" s="47">
        <v>0.36389690399999997</v>
      </c>
      <c r="M392" s="47">
        <v>0</v>
      </c>
      <c r="N392" s="47">
        <v>0.29959994400000001</v>
      </c>
      <c r="O392" s="47">
        <v>0</v>
      </c>
      <c r="P392" s="47">
        <v>1.0283353799999999</v>
      </c>
      <c r="Q392" s="47">
        <f t="shared" si="51"/>
        <v>-5.5549476000000153E-2</v>
      </c>
      <c r="R392" s="47">
        <f t="shared" si="52"/>
        <v>4.4651760000000706E-3</v>
      </c>
      <c r="S392" s="48">
        <f t="shared" si="53"/>
        <v>0.26462387034922585</v>
      </c>
      <c r="T392" s="76" t="s">
        <v>48</v>
      </c>
    </row>
    <row r="393" spans="1:20" s="14" customFormat="1" ht="26.25" x14ac:dyDescent="0.25">
      <c r="A393" s="60" t="s">
        <v>186</v>
      </c>
      <c r="B393" s="61" t="s">
        <v>254</v>
      </c>
      <c r="C393" s="62" t="s">
        <v>255</v>
      </c>
      <c r="D393" s="47">
        <v>0</v>
      </c>
      <c r="E393" s="47">
        <f>308048.07*1.2/1000000</f>
        <v>0.36965768399999999</v>
      </c>
      <c r="F393" s="47">
        <f t="shared" si="54"/>
        <v>-0.36965768399999999</v>
      </c>
      <c r="G393" s="47">
        <v>0</v>
      </c>
      <c r="H393" s="47">
        <f t="shared" si="55"/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f t="shared" si="51"/>
        <v>-0.36965768399999999</v>
      </c>
      <c r="R393" s="47">
        <f t="shared" si="52"/>
        <v>0</v>
      </c>
      <c r="S393" s="48">
        <v>0</v>
      </c>
      <c r="T393" s="76" t="s">
        <v>48</v>
      </c>
    </row>
    <row r="394" spans="1:20" s="14" customFormat="1" ht="63.75" x14ac:dyDescent="0.25">
      <c r="A394" s="60" t="s">
        <v>186</v>
      </c>
      <c r="B394" s="61" t="s">
        <v>256</v>
      </c>
      <c r="C394" s="62" t="s">
        <v>257</v>
      </c>
      <c r="D394" s="47">
        <v>13.139512440000001</v>
      </c>
      <c r="E394" s="47">
        <f>434687.7*1.2/1000000</f>
        <v>0.52162523999999999</v>
      </c>
      <c r="F394" s="47">
        <f t="shared" si="54"/>
        <v>12.6178872</v>
      </c>
      <c r="G394" s="47">
        <f t="shared" ref="G394:G400" si="57">I394+K394+M394+O394</f>
        <v>13.139512440000001</v>
      </c>
      <c r="H394" s="47">
        <f t="shared" si="55"/>
        <v>2.5609956000000003E-2</v>
      </c>
      <c r="I394" s="47">
        <v>0.49096523999999997</v>
      </c>
      <c r="J394" s="47">
        <v>0</v>
      </c>
      <c r="K394" s="47">
        <v>0</v>
      </c>
      <c r="L394" s="47">
        <v>0</v>
      </c>
      <c r="M394" s="47">
        <v>0</v>
      </c>
      <c r="N394" s="47">
        <v>8.9999999999999993E-3</v>
      </c>
      <c r="O394" s="47">
        <v>12.648547200000001</v>
      </c>
      <c r="P394" s="47">
        <v>1.6609956000000002E-2</v>
      </c>
      <c r="Q394" s="47">
        <f t="shared" si="51"/>
        <v>12.592277244</v>
      </c>
      <c r="R394" s="47">
        <f t="shared" si="52"/>
        <v>-13.113902484</v>
      </c>
      <c r="S394" s="48">
        <f t="shared" si="53"/>
        <v>-99.805092037341993</v>
      </c>
      <c r="T394" s="76" t="s">
        <v>986</v>
      </c>
    </row>
    <row r="395" spans="1:20" s="14" customFormat="1" ht="38.25" x14ac:dyDescent="0.25">
      <c r="A395" s="60" t="s">
        <v>186</v>
      </c>
      <c r="B395" s="61" t="s">
        <v>398</v>
      </c>
      <c r="C395" s="78" t="s">
        <v>221</v>
      </c>
      <c r="D395" s="47">
        <v>0</v>
      </c>
      <c r="E395" s="47">
        <v>0</v>
      </c>
      <c r="F395" s="47">
        <f t="shared" si="54"/>
        <v>0</v>
      </c>
      <c r="G395" s="47">
        <f t="shared" si="57"/>
        <v>0</v>
      </c>
      <c r="H395" s="47">
        <f t="shared" si="55"/>
        <v>0.258426084</v>
      </c>
      <c r="I395" s="47">
        <v>0</v>
      </c>
      <c r="J395" s="47">
        <v>0.258426084</v>
      </c>
      <c r="K395" s="47">
        <v>0</v>
      </c>
      <c r="L395" s="47">
        <v>0</v>
      </c>
      <c r="M395" s="47">
        <v>0</v>
      </c>
      <c r="N395" s="47">
        <v>0</v>
      </c>
      <c r="O395" s="47">
        <v>0</v>
      </c>
      <c r="P395" s="47">
        <v>0</v>
      </c>
      <c r="Q395" s="47">
        <f t="shared" si="51"/>
        <v>-0.258426084</v>
      </c>
      <c r="R395" s="47">
        <f t="shared" si="52"/>
        <v>0.258426084</v>
      </c>
      <c r="S395" s="48">
        <v>100</v>
      </c>
      <c r="T395" s="58" t="s">
        <v>417</v>
      </c>
    </row>
    <row r="396" spans="1:20" s="14" customFormat="1" ht="38.25" x14ac:dyDescent="0.25">
      <c r="A396" s="60" t="s">
        <v>186</v>
      </c>
      <c r="B396" s="61" t="s">
        <v>399</v>
      </c>
      <c r="C396" s="78" t="s">
        <v>223</v>
      </c>
      <c r="D396" s="47">
        <v>0</v>
      </c>
      <c r="E396" s="47">
        <v>0</v>
      </c>
      <c r="F396" s="47">
        <f t="shared" si="54"/>
        <v>0</v>
      </c>
      <c r="G396" s="47">
        <f t="shared" si="57"/>
        <v>0</v>
      </c>
      <c r="H396" s="47">
        <f t="shared" si="55"/>
        <v>0.19101264000000001</v>
      </c>
      <c r="I396" s="47">
        <v>0</v>
      </c>
      <c r="J396" s="47">
        <v>0.19101264000000001</v>
      </c>
      <c r="K396" s="47">
        <v>0</v>
      </c>
      <c r="L396" s="47">
        <v>0</v>
      </c>
      <c r="M396" s="47">
        <v>0</v>
      </c>
      <c r="N396" s="47">
        <v>0</v>
      </c>
      <c r="O396" s="47">
        <v>0</v>
      </c>
      <c r="P396" s="47">
        <v>0</v>
      </c>
      <c r="Q396" s="47">
        <f t="shared" ref="Q396:Q459" si="58">F396-H396</f>
        <v>-0.19101264000000001</v>
      </c>
      <c r="R396" s="47">
        <f t="shared" ref="R396:R459" si="59">(J396+L396+N396+P396)-(I396+K396+M396+O396)</f>
        <v>0.19101264000000001</v>
      </c>
      <c r="S396" s="48">
        <v>100</v>
      </c>
      <c r="T396" s="58" t="s">
        <v>417</v>
      </c>
    </row>
    <row r="397" spans="1:20" s="14" customFormat="1" ht="38.25" x14ac:dyDescent="0.25">
      <c r="A397" s="60" t="s">
        <v>186</v>
      </c>
      <c r="B397" s="61" t="s">
        <v>977</v>
      </c>
      <c r="C397" s="78" t="s">
        <v>978</v>
      </c>
      <c r="D397" s="47">
        <v>0</v>
      </c>
      <c r="E397" s="47">
        <v>0</v>
      </c>
      <c r="F397" s="47">
        <f t="shared" si="54"/>
        <v>0</v>
      </c>
      <c r="G397" s="47">
        <f t="shared" si="57"/>
        <v>0</v>
      </c>
      <c r="H397" s="47">
        <f t="shared" si="55"/>
        <v>0.69586594800000001</v>
      </c>
      <c r="I397" s="47">
        <v>0</v>
      </c>
      <c r="J397" s="47">
        <v>0.38220278400000002</v>
      </c>
      <c r="K397" s="47">
        <v>0</v>
      </c>
      <c r="L397" s="47">
        <v>0.31366316399999999</v>
      </c>
      <c r="M397" s="47">
        <v>0</v>
      </c>
      <c r="N397" s="47">
        <v>0</v>
      </c>
      <c r="O397" s="47">
        <v>0</v>
      </c>
      <c r="P397" s="47">
        <v>0</v>
      </c>
      <c r="Q397" s="47">
        <f t="shared" si="58"/>
        <v>-0.69586594800000001</v>
      </c>
      <c r="R397" s="47">
        <f t="shared" si="59"/>
        <v>0.69586594800000001</v>
      </c>
      <c r="S397" s="48">
        <v>100</v>
      </c>
      <c r="T397" s="58" t="s">
        <v>417</v>
      </c>
    </row>
    <row r="398" spans="1:20" s="14" customFormat="1" ht="38.25" x14ac:dyDescent="0.25">
      <c r="A398" s="60" t="s">
        <v>186</v>
      </c>
      <c r="B398" s="61" t="s">
        <v>401</v>
      </c>
      <c r="C398" s="78" t="s">
        <v>402</v>
      </c>
      <c r="D398" s="47">
        <v>0</v>
      </c>
      <c r="E398" s="47">
        <f>1669838.71*1.2/1000000</f>
        <v>2.0038064519999996</v>
      </c>
      <c r="F398" s="47">
        <f t="shared" ref="F398:F461" si="60">D398-E398</f>
        <v>-2.0038064519999996</v>
      </c>
      <c r="G398" s="47">
        <f t="shared" si="57"/>
        <v>0</v>
      </c>
      <c r="H398" s="47">
        <f t="shared" si="55"/>
        <v>0.83938006800000009</v>
      </c>
      <c r="I398" s="47">
        <v>0</v>
      </c>
      <c r="J398" s="47">
        <v>0.78641545200000007</v>
      </c>
      <c r="K398" s="47">
        <v>0</v>
      </c>
      <c r="L398" s="47">
        <v>5.2964615999999999E-2</v>
      </c>
      <c r="M398" s="47">
        <v>0</v>
      </c>
      <c r="N398" s="47">
        <v>0</v>
      </c>
      <c r="O398" s="47">
        <v>0</v>
      </c>
      <c r="P398" s="47">
        <v>0</v>
      </c>
      <c r="Q398" s="47">
        <f t="shared" si="58"/>
        <v>-2.8431865199999997</v>
      </c>
      <c r="R398" s="47">
        <f t="shared" si="59"/>
        <v>0.83938006800000009</v>
      </c>
      <c r="S398" s="48">
        <v>100</v>
      </c>
      <c r="T398" s="58" t="s">
        <v>731</v>
      </c>
    </row>
    <row r="399" spans="1:20" s="14" customFormat="1" ht="38.25" x14ac:dyDescent="0.25">
      <c r="A399" s="60" t="s">
        <v>186</v>
      </c>
      <c r="B399" s="61" t="s">
        <v>403</v>
      </c>
      <c r="C399" s="78" t="s">
        <v>404</v>
      </c>
      <c r="D399" s="47">
        <v>0</v>
      </c>
      <c r="E399" s="47">
        <f>1399947.52*1.2/1000000</f>
        <v>1.679937024</v>
      </c>
      <c r="F399" s="47">
        <f t="shared" si="60"/>
        <v>-1.679937024</v>
      </c>
      <c r="G399" s="47">
        <f t="shared" si="57"/>
        <v>0</v>
      </c>
      <c r="H399" s="47">
        <f t="shared" si="55"/>
        <v>0.95315849999999991</v>
      </c>
      <c r="I399" s="47">
        <v>0</v>
      </c>
      <c r="J399" s="47">
        <v>0.84580591199999988</v>
      </c>
      <c r="K399" s="47">
        <v>0</v>
      </c>
      <c r="L399" s="47">
        <v>0.107352588</v>
      </c>
      <c r="M399" s="47">
        <v>0</v>
      </c>
      <c r="N399" s="47">
        <v>0</v>
      </c>
      <c r="O399" s="47">
        <v>0</v>
      </c>
      <c r="P399" s="47">
        <v>0</v>
      </c>
      <c r="Q399" s="47">
        <f t="shared" si="58"/>
        <v>-2.6330955239999998</v>
      </c>
      <c r="R399" s="47">
        <f t="shared" si="59"/>
        <v>0.95315849999999991</v>
      </c>
      <c r="S399" s="48">
        <v>100</v>
      </c>
      <c r="T399" s="58" t="s">
        <v>732</v>
      </c>
    </row>
    <row r="400" spans="1:20" s="14" customFormat="1" ht="25.5" x14ac:dyDescent="0.25">
      <c r="A400" s="60" t="s">
        <v>186</v>
      </c>
      <c r="B400" s="61" t="s">
        <v>405</v>
      </c>
      <c r="C400" s="78" t="s">
        <v>406</v>
      </c>
      <c r="D400" s="47">
        <v>0</v>
      </c>
      <c r="E400" s="47">
        <v>0</v>
      </c>
      <c r="F400" s="47">
        <f t="shared" si="60"/>
        <v>0</v>
      </c>
      <c r="G400" s="47">
        <f t="shared" si="57"/>
        <v>0</v>
      </c>
      <c r="H400" s="47">
        <f t="shared" si="55"/>
        <v>2.9019923999999999E-2</v>
      </c>
      <c r="I400" s="47">
        <v>0</v>
      </c>
      <c r="J400" s="47">
        <v>2.24712E-2</v>
      </c>
      <c r="K400" s="47">
        <v>0</v>
      </c>
      <c r="L400" s="47">
        <v>0</v>
      </c>
      <c r="M400" s="47">
        <v>0</v>
      </c>
      <c r="N400" s="47">
        <v>6.5487239999999997E-3</v>
      </c>
      <c r="O400" s="47">
        <v>0</v>
      </c>
      <c r="P400" s="47">
        <v>0</v>
      </c>
      <c r="Q400" s="47">
        <f t="shared" si="58"/>
        <v>-2.9019923999999999E-2</v>
      </c>
      <c r="R400" s="47">
        <f t="shared" si="59"/>
        <v>2.9019923999999999E-2</v>
      </c>
      <c r="S400" s="48">
        <v>100</v>
      </c>
      <c r="T400" s="58" t="s">
        <v>734</v>
      </c>
    </row>
    <row r="401" spans="1:20" s="14" customFormat="1" ht="38.25" x14ac:dyDescent="0.25">
      <c r="A401" s="60" t="s">
        <v>186</v>
      </c>
      <c r="B401" s="61" t="s">
        <v>596</v>
      </c>
      <c r="C401" s="78" t="s">
        <v>597</v>
      </c>
      <c r="D401" s="47">
        <v>0</v>
      </c>
      <c r="E401" s="47">
        <v>0</v>
      </c>
      <c r="F401" s="47">
        <f t="shared" si="60"/>
        <v>0</v>
      </c>
      <c r="G401" s="47">
        <v>0</v>
      </c>
      <c r="H401" s="47">
        <f t="shared" si="55"/>
        <v>0.186618648</v>
      </c>
      <c r="I401" s="47">
        <v>0</v>
      </c>
      <c r="J401" s="47">
        <v>0</v>
      </c>
      <c r="K401" s="47">
        <v>0</v>
      </c>
      <c r="L401" s="47">
        <v>0.186618648</v>
      </c>
      <c r="M401" s="47">
        <v>0</v>
      </c>
      <c r="N401" s="47">
        <v>0</v>
      </c>
      <c r="O401" s="47">
        <v>0</v>
      </c>
      <c r="P401" s="47">
        <v>0</v>
      </c>
      <c r="Q401" s="47">
        <f t="shared" si="58"/>
        <v>-0.186618648</v>
      </c>
      <c r="R401" s="47">
        <f t="shared" si="59"/>
        <v>0.186618648</v>
      </c>
      <c r="S401" s="48">
        <v>100</v>
      </c>
      <c r="T401" s="58" t="s">
        <v>733</v>
      </c>
    </row>
    <row r="402" spans="1:20" s="14" customFormat="1" ht="38.25" x14ac:dyDescent="0.25">
      <c r="A402" s="60" t="s">
        <v>186</v>
      </c>
      <c r="B402" s="61" t="s">
        <v>598</v>
      </c>
      <c r="C402" s="78" t="s">
        <v>599</v>
      </c>
      <c r="D402" s="47">
        <v>0</v>
      </c>
      <c r="E402" s="47">
        <v>0</v>
      </c>
      <c r="F402" s="47">
        <f t="shared" si="60"/>
        <v>0</v>
      </c>
      <c r="G402" s="47">
        <v>0</v>
      </c>
      <c r="H402" s="47">
        <f t="shared" ref="H402:H465" si="61">J402+L402+N402+P402</f>
        <v>0.121102536</v>
      </c>
      <c r="I402" s="47">
        <v>0</v>
      </c>
      <c r="J402" s="47">
        <v>0</v>
      </c>
      <c r="K402" s="47">
        <v>0</v>
      </c>
      <c r="L402" s="47">
        <v>0.121102536</v>
      </c>
      <c r="M402" s="47">
        <v>0</v>
      </c>
      <c r="N402" s="47">
        <v>0</v>
      </c>
      <c r="O402" s="47">
        <v>0</v>
      </c>
      <c r="P402" s="47">
        <v>0</v>
      </c>
      <c r="Q402" s="47">
        <f t="shared" si="58"/>
        <v>-0.121102536</v>
      </c>
      <c r="R402" s="47">
        <f t="shared" si="59"/>
        <v>0.121102536</v>
      </c>
      <c r="S402" s="48">
        <v>100</v>
      </c>
      <c r="T402" s="58" t="s">
        <v>733</v>
      </c>
    </row>
    <row r="403" spans="1:20" s="14" customFormat="1" ht="38.25" x14ac:dyDescent="0.25">
      <c r="A403" s="60" t="s">
        <v>186</v>
      </c>
      <c r="B403" s="61" t="s">
        <v>600</v>
      </c>
      <c r="C403" s="78" t="s">
        <v>601</v>
      </c>
      <c r="D403" s="47">
        <v>0</v>
      </c>
      <c r="E403" s="47">
        <v>0</v>
      </c>
      <c r="F403" s="47">
        <f t="shared" si="60"/>
        <v>0</v>
      </c>
      <c r="G403" s="47">
        <v>0</v>
      </c>
      <c r="H403" s="47">
        <f t="shared" si="61"/>
        <v>0.137132016</v>
      </c>
      <c r="I403" s="47">
        <v>0</v>
      </c>
      <c r="J403" s="47">
        <v>0</v>
      </c>
      <c r="K403" s="47">
        <v>0</v>
      </c>
      <c r="L403" s="47">
        <v>0.137132016</v>
      </c>
      <c r="M403" s="47">
        <v>0</v>
      </c>
      <c r="N403" s="47">
        <v>0</v>
      </c>
      <c r="O403" s="47">
        <v>0</v>
      </c>
      <c r="P403" s="47">
        <v>0</v>
      </c>
      <c r="Q403" s="47">
        <f t="shared" si="58"/>
        <v>-0.137132016</v>
      </c>
      <c r="R403" s="47">
        <f t="shared" si="59"/>
        <v>0.137132016</v>
      </c>
      <c r="S403" s="48">
        <v>100</v>
      </c>
      <c r="T403" s="58" t="s">
        <v>733</v>
      </c>
    </row>
    <row r="404" spans="1:20" s="14" customFormat="1" ht="38.25" x14ac:dyDescent="0.25">
      <c r="A404" s="60" t="s">
        <v>186</v>
      </c>
      <c r="B404" s="61" t="s">
        <v>602</v>
      </c>
      <c r="C404" s="78" t="s">
        <v>922</v>
      </c>
      <c r="D404" s="47">
        <v>0</v>
      </c>
      <c r="E404" s="47">
        <v>0</v>
      </c>
      <c r="F404" s="47">
        <f t="shared" si="60"/>
        <v>0</v>
      </c>
      <c r="G404" s="47">
        <v>0</v>
      </c>
      <c r="H404" s="47">
        <f t="shared" si="61"/>
        <v>2.1207599999999997E-2</v>
      </c>
      <c r="I404" s="47">
        <v>0</v>
      </c>
      <c r="J404" s="47">
        <v>0</v>
      </c>
      <c r="K404" s="47">
        <v>0</v>
      </c>
      <c r="L404" s="47">
        <v>2.1207599999999997E-2</v>
      </c>
      <c r="M404" s="47">
        <v>0</v>
      </c>
      <c r="N404" s="47">
        <v>0</v>
      </c>
      <c r="O404" s="47">
        <v>0</v>
      </c>
      <c r="P404" s="47">
        <v>0</v>
      </c>
      <c r="Q404" s="47">
        <f t="shared" si="58"/>
        <v>-2.1207599999999997E-2</v>
      </c>
      <c r="R404" s="47">
        <f t="shared" si="59"/>
        <v>2.1207599999999997E-2</v>
      </c>
      <c r="S404" s="48">
        <v>100</v>
      </c>
      <c r="T404" s="58" t="s">
        <v>417</v>
      </c>
    </row>
    <row r="405" spans="1:20" s="14" customFormat="1" ht="38.25" x14ac:dyDescent="0.25">
      <c r="A405" s="60" t="s">
        <v>186</v>
      </c>
      <c r="B405" s="61" t="s">
        <v>703</v>
      </c>
      <c r="C405" s="78" t="s">
        <v>923</v>
      </c>
      <c r="D405" s="47">
        <v>0</v>
      </c>
      <c r="E405" s="47">
        <v>0</v>
      </c>
      <c r="F405" s="47">
        <f t="shared" si="60"/>
        <v>0</v>
      </c>
      <c r="G405" s="47">
        <v>0</v>
      </c>
      <c r="H405" s="47">
        <f t="shared" si="61"/>
        <v>0.20513985599999998</v>
      </c>
      <c r="I405" s="47">
        <v>0</v>
      </c>
      <c r="J405" s="47">
        <v>0</v>
      </c>
      <c r="K405" s="47">
        <v>0</v>
      </c>
      <c r="L405" s="47">
        <f>8.342*1.2/1000</f>
        <v>1.0010400000000001E-2</v>
      </c>
      <c r="M405" s="47">
        <v>0</v>
      </c>
      <c r="N405" s="47">
        <f>162.60788*1.2/1000</f>
        <v>0.19512945599999998</v>
      </c>
      <c r="O405" s="47">
        <v>0</v>
      </c>
      <c r="P405" s="47">
        <v>0</v>
      </c>
      <c r="Q405" s="47">
        <f t="shared" si="58"/>
        <v>-0.20513985599999998</v>
      </c>
      <c r="R405" s="47">
        <f t="shared" si="59"/>
        <v>0.20513985599999998</v>
      </c>
      <c r="S405" s="48">
        <v>100</v>
      </c>
      <c r="T405" s="58" t="s">
        <v>417</v>
      </c>
    </row>
    <row r="406" spans="1:20" s="14" customFormat="1" ht="38.25" x14ac:dyDescent="0.25">
      <c r="A406" s="60" t="s">
        <v>186</v>
      </c>
      <c r="B406" s="61" t="s">
        <v>605</v>
      </c>
      <c r="C406" s="78" t="s">
        <v>603</v>
      </c>
      <c r="D406" s="47">
        <v>0</v>
      </c>
      <c r="E406" s="47">
        <v>0</v>
      </c>
      <c r="F406" s="47">
        <f t="shared" si="60"/>
        <v>0</v>
      </c>
      <c r="G406" s="47">
        <v>0</v>
      </c>
      <c r="H406" s="47">
        <f t="shared" si="61"/>
        <v>6.4778316000000002E-2</v>
      </c>
      <c r="I406" s="47">
        <v>0</v>
      </c>
      <c r="J406" s="47">
        <v>0</v>
      </c>
      <c r="K406" s="47">
        <v>0</v>
      </c>
      <c r="L406" s="47">
        <v>2.1398400000000001E-2</v>
      </c>
      <c r="M406" s="47">
        <v>0</v>
      </c>
      <c r="N406" s="47">
        <v>4.3379915999999998E-2</v>
      </c>
      <c r="O406" s="47">
        <v>0</v>
      </c>
      <c r="P406" s="47">
        <v>0</v>
      </c>
      <c r="Q406" s="47">
        <f t="shared" si="58"/>
        <v>-6.4778316000000002E-2</v>
      </c>
      <c r="R406" s="47">
        <f t="shared" si="59"/>
        <v>6.4778316000000002E-2</v>
      </c>
      <c r="S406" s="48">
        <v>100</v>
      </c>
      <c r="T406" s="58" t="s">
        <v>417</v>
      </c>
    </row>
    <row r="407" spans="1:20" s="14" customFormat="1" x14ac:dyDescent="0.25">
      <c r="A407" s="60" t="s">
        <v>186</v>
      </c>
      <c r="B407" s="61" t="s">
        <v>607</v>
      </c>
      <c r="C407" s="78" t="s">
        <v>604</v>
      </c>
      <c r="D407" s="47">
        <v>0</v>
      </c>
      <c r="E407" s="47">
        <v>0</v>
      </c>
      <c r="F407" s="47">
        <f t="shared" si="60"/>
        <v>0</v>
      </c>
      <c r="G407" s="47">
        <v>0</v>
      </c>
      <c r="H407" s="47">
        <f t="shared" si="61"/>
        <v>9.1442843999999995E-2</v>
      </c>
      <c r="I407" s="47">
        <v>0</v>
      </c>
      <c r="J407" s="47">
        <v>0</v>
      </c>
      <c r="K407" s="47">
        <v>0</v>
      </c>
      <c r="L407" s="47">
        <v>9.1442843999999995E-2</v>
      </c>
      <c r="M407" s="47">
        <v>0</v>
      </c>
      <c r="N407" s="47">
        <v>0</v>
      </c>
      <c r="O407" s="47">
        <v>0</v>
      </c>
      <c r="P407" s="47">
        <v>0</v>
      </c>
      <c r="Q407" s="47">
        <f t="shared" si="58"/>
        <v>-9.1442843999999995E-2</v>
      </c>
      <c r="R407" s="47">
        <f t="shared" si="59"/>
        <v>9.1442843999999995E-2</v>
      </c>
      <c r="S407" s="48">
        <v>100</v>
      </c>
      <c r="T407" s="58" t="s">
        <v>989</v>
      </c>
    </row>
    <row r="408" spans="1:20" s="14" customFormat="1" ht="38.25" x14ac:dyDescent="0.25">
      <c r="A408" s="60" t="s">
        <v>186</v>
      </c>
      <c r="B408" s="61" t="s">
        <v>608</v>
      </c>
      <c r="C408" s="78" t="s">
        <v>609</v>
      </c>
      <c r="D408" s="47">
        <v>0</v>
      </c>
      <c r="E408" s="47">
        <v>0</v>
      </c>
      <c r="F408" s="47">
        <f t="shared" si="60"/>
        <v>0</v>
      </c>
      <c r="G408" s="47">
        <v>0</v>
      </c>
      <c r="H408" s="47">
        <f t="shared" si="61"/>
        <v>3.2500559999999998E-2</v>
      </c>
      <c r="I408" s="47">
        <v>0</v>
      </c>
      <c r="J408" s="47">
        <v>0</v>
      </c>
      <c r="K408" s="47">
        <v>0</v>
      </c>
      <c r="L408" s="47">
        <v>3.2500559999999998E-2</v>
      </c>
      <c r="M408" s="47">
        <v>0</v>
      </c>
      <c r="N408" s="47">
        <v>0</v>
      </c>
      <c r="O408" s="47">
        <v>0</v>
      </c>
      <c r="P408" s="47">
        <v>0</v>
      </c>
      <c r="Q408" s="47">
        <f t="shared" si="58"/>
        <v>-3.2500559999999998E-2</v>
      </c>
      <c r="R408" s="47">
        <f t="shared" si="59"/>
        <v>3.2500559999999998E-2</v>
      </c>
      <c r="S408" s="48">
        <v>100</v>
      </c>
      <c r="T408" s="58" t="s">
        <v>733</v>
      </c>
    </row>
    <row r="409" spans="1:20" s="14" customFormat="1" ht="38.25" x14ac:dyDescent="0.25">
      <c r="A409" s="60" t="s">
        <v>186</v>
      </c>
      <c r="B409" s="61" t="s">
        <v>610</v>
      </c>
      <c r="C409" s="78" t="s">
        <v>611</v>
      </c>
      <c r="D409" s="47">
        <v>0</v>
      </c>
      <c r="E409" s="47">
        <v>0</v>
      </c>
      <c r="F409" s="47">
        <f t="shared" si="60"/>
        <v>0</v>
      </c>
      <c r="G409" s="47">
        <v>0</v>
      </c>
      <c r="H409" s="47">
        <f t="shared" si="61"/>
        <v>7.6437720000000001E-3</v>
      </c>
      <c r="I409" s="47">
        <v>0</v>
      </c>
      <c r="J409" s="47">
        <v>0</v>
      </c>
      <c r="K409" s="47">
        <v>0</v>
      </c>
      <c r="L409" s="47">
        <v>7.6437720000000001E-3</v>
      </c>
      <c r="M409" s="47">
        <v>0</v>
      </c>
      <c r="N409" s="47">
        <v>0</v>
      </c>
      <c r="O409" s="47">
        <v>0</v>
      </c>
      <c r="P409" s="47">
        <v>0</v>
      </c>
      <c r="Q409" s="47">
        <f t="shared" si="58"/>
        <v>-7.6437720000000001E-3</v>
      </c>
      <c r="R409" s="47">
        <f t="shared" si="59"/>
        <v>7.6437720000000001E-3</v>
      </c>
      <c r="S409" s="48">
        <v>100</v>
      </c>
      <c r="T409" s="58" t="s">
        <v>733</v>
      </c>
    </row>
    <row r="410" spans="1:20" s="14" customFormat="1" ht="38.25" x14ac:dyDescent="0.25">
      <c r="A410" s="60" t="s">
        <v>186</v>
      </c>
      <c r="B410" s="61" t="s">
        <v>612</v>
      </c>
      <c r="C410" s="78" t="s">
        <v>606</v>
      </c>
      <c r="D410" s="47">
        <v>0</v>
      </c>
      <c r="E410" s="47">
        <v>0</v>
      </c>
      <c r="F410" s="47">
        <f t="shared" si="60"/>
        <v>0</v>
      </c>
      <c r="G410" s="47">
        <v>0</v>
      </c>
      <c r="H410" s="47">
        <f t="shared" si="61"/>
        <v>8.6806644000000002E-2</v>
      </c>
      <c r="I410" s="47">
        <v>0</v>
      </c>
      <c r="J410" s="47">
        <f>11.298/1000*1.2</f>
        <v>1.3557600000000001E-2</v>
      </c>
      <c r="K410" s="47">
        <v>0</v>
      </c>
      <c r="L410" s="47">
        <v>7.3249043999999999E-2</v>
      </c>
      <c r="M410" s="47">
        <v>0</v>
      </c>
      <c r="N410" s="47">
        <v>0</v>
      </c>
      <c r="O410" s="47">
        <v>0</v>
      </c>
      <c r="P410" s="47">
        <v>0</v>
      </c>
      <c r="Q410" s="47">
        <f t="shared" si="58"/>
        <v>-8.6806644000000002E-2</v>
      </c>
      <c r="R410" s="47">
        <f t="shared" si="59"/>
        <v>8.6806644000000002E-2</v>
      </c>
      <c r="S410" s="48">
        <v>100</v>
      </c>
      <c r="T410" s="58" t="s">
        <v>417</v>
      </c>
    </row>
    <row r="411" spans="1:20" s="14" customFormat="1" ht="38.25" x14ac:dyDescent="0.25">
      <c r="A411" s="60" t="s">
        <v>186</v>
      </c>
      <c r="B411" s="61" t="s">
        <v>614</v>
      </c>
      <c r="C411" s="78" t="s">
        <v>613</v>
      </c>
      <c r="D411" s="47">
        <v>0</v>
      </c>
      <c r="E411" s="47">
        <v>0</v>
      </c>
      <c r="F411" s="47">
        <f t="shared" si="60"/>
        <v>0</v>
      </c>
      <c r="G411" s="47">
        <v>0</v>
      </c>
      <c r="H411" s="47">
        <f t="shared" si="61"/>
        <v>0.14407621199999998</v>
      </c>
      <c r="I411" s="47">
        <v>0</v>
      </c>
      <c r="J411" s="47">
        <f>18.929/1000*1.2</f>
        <v>2.2714799999999997E-2</v>
      </c>
      <c r="K411" s="47">
        <v>0</v>
      </c>
      <c r="L411" s="47">
        <v>0.12136141199999997</v>
      </c>
      <c r="M411" s="47">
        <v>0</v>
      </c>
      <c r="N411" s="47">
        <v>0</v>
      </c>
      <c r="O411" s="47">
        <v>0</v>
      </c>
      <c r="P411" s="47">
        <v>0</v>
      </c>
      <c r="Q411" s="47">
        <f t="shared" si="58"/>
        <v>-0.14407621199999998</v>
      </c>
      <c r="R411" s="47">
        <f t="shared" si="59"/>
        <v>0.14407621199999998</v>
      </c>
      <c r="S411" s="48">
        <v>100</v>
      </c>
      <c r="T411" s="58" t="s">
        <v>417</v>
      </c>
    </row>
    <row r="412" spans="1:20" s="14" customFormat="1" ht="38.25" x14ac:dyDescent="0.25">
      <c r="A412" s="60" t="s">
        <v>186</v>
      </c>
      <c r="B412" s="61" t="s">
        <v>616</v>
      </c>
      <c r="C412" s="78" t="s">
        <v>615</v>
      </c>
      <c r="D412" s="47">
        <v>0</v>
      </c>
      <c r="E412" s="47">
        <v>0</v>
      </c>
      <c r="F412" s="47">
        <f t="shared" si="60"/>
        <v>0</v>
      </c>
      <c r="G412" s="47">
        <v>0</v>
      </c>
      <c r="H412" s="47">
        <f t="shared" si="61"/>
        <v>0.23216722799999998</v>
      </c>
      <c r="I412" s="47">
        <v>0</v>
      </c>
      <c r="J412" s="47">
        <f>30.403/1000*1.2</f>
        <v>3.6483599999999998E-2</v>
      </c>
      <c r="K412" s="47">
        <v>0</v>
      </c>
      <c r="L412" s="47">
        <v>0.19568362799999997</v>
      </c>
      <c r="M412" s="47">
        <v>0</v>
      </c>
      <c r="N412" s="47">
        <v>0</v>
      </c>
      <c r="O412" s="47">
        <v>0</v>
      </c>
      <c r="P412" s="47">
        <v>0</v>
      </c>
      <c r="Q412" s="47">
        <f t="shared" si="58"/>
        <v>-0.23216722799999998</v>
      </c>
      <c r="R412" s="47">
        <f t="shared" si="59"/>
        <v>0.23216722799999998</v>
      </c>
      <c r="S412" s="48">
        <v>100</v>
      </c>
      <c r="T412" s="58" t="s">
        <v>417</v>
      </c>
    </row>
    <row r="413" spans="1:20" s="14" customFormat="1" ht="38.25" x14ac:dyDescent="0.25">
      <c r="A413" s="60" t="s">
        <v>186</v>
      </c>
      <c r="B413" s="61" t="s">
        <v>704</v>
      </c>
      <c r="C413" s="78" t="s">
        <v>617</v>
      </c>
      <c r="D413" s="47">
        <v>0</v>
      </c>
      <c r="E413" s="47">
        <v>0</v>
      </c>
      <c r="F413" s="47">
        <f t="shared" si="60"/>
        <v>0</v>
      </c>
      <c r="G413" s="47">
        <v>0</v>
      </c>
      <c r="H413" s="47">
        <f t="shared" si="61"/>
        <v>0.41532865199999996</v>
      </c>
      <c r="I413" s="47">
        <v>0</v>
      </c>
      <c r="J413" s="47">
        <v>0</v>
      </c>
      <c r="K413" s="47">
        <v>0</v>
      </c>
      <c r="L413" s="47">
        <v>0</v>
      </c>
      <c r="M413" s="47">
        <v>0</v>
      </c>
      <c r="N413" s="47">
        <v>0.41532865199999996</v>
      </c>
      <c r="O413" s="47">
        <v>0</v>
      </c>
      <c r="P413" s="47">
        <v>0</v>
      </c>
      <c r="Q413" s="47">
        <f t="shared" si="58"/>
        <v>-0.41532865199999996</v>
      </c>
      <c r="R413" s="47">
        <f t="shared" si="59"/>
        <v>0.41532865199999996</v>
      </c>
      <c r="S413" s="48">
        <v>100</v>
      </c>
      <c r="T413" s="58" t="s">
        <v>417</v>
      </c>
    </row>
    <row r="414" spans="1:20" s="14" customFormat="1" ht="38.25" x14ac:dyDescent="0.25">
      <c r="A414" s="60" t="s">
        <v>186</v>
      </c>
      <c r="B414" s="61" t="s">
        <v>706</v>
      </c>
      <c r="C414" s="78" t="s">
        <v>705</v>
      </c>
      <c r="D414" s="47">
        <v>0</v>
      </c>
      <c r="E414" s="47">
        <v>0</v>
      </c>
      <c r="F414" s="47">
        <f t="shared" si="60"/>
        <v>0</v>
      </c>
      <c r="G414" s="47">
        <v>0</v>
      </c>
      <c r="H414" s="47">
        <f t="shared" si="61"/>
        <v>0.203527872</v>
      </c>
      <c r="I414" s="47">
        <v>0</v>
      </c>
      <c r="J414" s="47">
        <v>0</v>
      </c>
      <c r="K414" s="47">
        <v>0</v>
      </c>
      <c r="L414" s="47">
        <v>0</v>
      </c>
      <c r="M414" s="47">
        <v>0</v>
      </c>
      <c r="N414" s="47">
        <v>0.203527872</v>
      </c>
      <c r="O414" s="47">
        <v>0</v>
      </c>
      <c r="P414" s="47">
        <v>0</v>
      </c>
      <c r="Q414" s="47">
        <f t="shared" si="58"/>
        <v>-0.203527872</v>
      </c>
      <c r="R414" s="47">
        <f t="shared" si="59"/>
        <v>0.203527872</v>
      </c>
      <c r="S414" s="48">
        <v>100</v>
      </c>
      <c r="T414" s="58" t="s">
        <v>417</v>
      </c>
    </row>
    <row r="415" spans="1:20" s="14" customFormat="1" ht="38.25" x14ac:dyDescent="0.25">
      <c r="A415" s="60" t="s">
        <v>186</v>
      </c>
      <c r="B415" s="61" t="s">
        <v>708</v>
      </c>
      <c r="C415" s="78" t="s">
        <v>924</v>
      </c>
      <c r="D415" s="47">
        <v>0</v>
      </c>
      <c r="E415" s="47">
        <v>0</v>
      </c>
      <c r="F415" s="47">
        <f t="shared" si="60"/>
        <v>0</v>
      </c>
      <c r="G415" s="47">
        <v>0</v>
      </c>
      <c r="H415" s="47">
        <f t="shared" si="61"/>
        <v>0.20667837600000002</v>
      </c>
      <c r="I415" s="47">
        <v>0</v>
      </c>
      <c r="J415" s="47">
        <v>0</v>
      </c>
      <c r="K415" s="47">
        <v>0</v>
      </c>
      <c r="L415" s="47">
        <f>8.342*1.2/1000</f>
        <v>1.0010400000000001E-2</v>
      </c>
      <c r="M415" s="47">
        <v>0</v>
      </c>
      <c r="N415" s="47">
        <f>163.88998*1.2/1000</f>
        <v>0.19666797600000002</v>
      </c>
      <c r="O415" s="47">
        <v>0</v>
      </c>
      <c r="P415" s="47">
        <v>0</v>
      </c>
      <c r="Q415" s="47">
        <f t="shared" si="58"/>
        <v>-0.20667837600000002</v>
      </c>
      <c r="R415" s="47">
        <f t="shared" si="59"/>
        <v>0.20667837600000002</v>
      </c>
      <c r="S415" s="48">
        <v>100</v>
      </c>
      <c r="T415" s="58" t="s">
        <v>417</v>
      </c>
    </row>
    <row r="416" spans="1:20" s="14" customFormat="1" ht="38.25" x14ac:dyDescent="0.25">
      <c r="A416" s="60" t="s">
        <v>186</v>
      </c>
      <c r="B416" s="61" t="s">
        <v>925</v>
      </c>
      <c r="C416" s="78" t="s">
        <v>707</v>
      </c>
      <c r="D416" s="47">
        <v>0</v>
      </c>
      <c r="E416" s="47">
        <v>0</v>
      </c>
      <c r="F416" s="47">
        <f t="shared" si="60"/>
        <v>0</v>
      </c>
      <c r="G416" s="47">
        <v>0</v>
      </c>
      <c r="H416" s="47">
        <f t="shared" si="61"/>
        <v>6.0949667999999999E-2</v>
      </c>
      <c r="I416" s="47">
        <v>0</v>
      </c>
      <c r="J416" s="47">
        <v>0</v>
      </c>
      <c r="K416" s="47">
        <v>0</v>
      </c>
      <c r="L416" s="47">
        <v>0</v>
      </c>
      <c r="M416" s="47">
        <v>0</v>
      </c>
      <c r="N416" s="47">
        <v>0</v>
      </c>
      <c r="O416" s="47">
        <v>0</v>
      </c>
      <c r="P416" s="47">
        <v>6.0949667999999999E-2</v>
      </c>
      <c r="Q416" s="47">
        <f t="shared" si="58"/>
        <v>-6.0949667999999999E-2</v>
      </c>
      <c r="R416" s="47">
        <f t="shared" si="59"/>
        <v>6.0949667999999999E-2</v>
      </c>
      <c r="S416" s="48">
        <v>100</v>
      </c>
      <c r="T416" s="58" t="s">
        <v>417</v>
      </c>
    </row>
    <row r="417" spans="1:20" s="14" customFormat="1" ht="38.25" x14ac:dyDescent="0.25">
      <c r="A417" s="60" t="s">
        <v>186</v>
      </c>
      <c r="B417" s="61" t="s">
        <v>926</v>
      </c>
      <c r="C417" s="78" t="s">
        <v>709</v>
      </c>
      <c r="D417" s="47">
        <v>0</v>
      </c>
      <c r="E417" s="47">
        <v>0</v>
      </c>
      <c r="F417" s="47">
        <f t="shared" si="60"/>
        <v>0</v>
      </c>
      <c r="G417" s="47">
        <v>0</v>
      </c>
      <c r="H417" s="47">
        <f t="shared" si="61"/>
        <v>1.717308E-2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1.717308E-2</v>
      </c>
      <c r="Q417" s="47">
        <f t="shared" si="58"/>
        <v>-1.717308E-2</v>
      </c>
      <c r="R417" s="47">
        <f t="shared" si="59"/>
        <v>1.717308E-2</v>
      </c>
      <c r="S417" s="48">
        <v>100</v>
      </c>
      <c r="T417" s="58" t="s">
        <v>417</v>
      </c>
    </row>
    <row r="418" spans="1:20" s="14" customFormat="1" ht="38.25" x14ac:dyDescent="0.25">
      <c r="A418" s="60" t="s">
        <v>186</v>
      </c>
      <c r="B418" s="61" t="s">
        <v>927</v>
      </c>
      <c r="C418" s="78" t="s">
        <v>928</v>
      </c>
      <c r="D418" s="47">
        <v>0</v>
      </c>
      <c r="E418" s="47">
        <v>0</v>
      </c>
      <c r="F418" s="47">
        <f t="shared" si="60"/>
        <v>0</v>
      </c>
      <c r="G418" s="47">
        <v>0</v>
      </c>
      <c r="H418" s="47">
        <f t="shared" si="61"/>
        <v>0.33914888399999998</v>
      </c>
      <c r="I418" s="47">
        <v>0</v>
      </c>
      <c r="J418" s="47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7">
        <v>0.33914888399999998</v>
      </c>
      <c r="Q418" s="47">
        <f t="shared" si="58"/>
        <v>-0.33914888399999998</v>
      </c>
      <c r="R418" s="47">
        <f t="shared" si="59"/>
        <v>0.33914888399999998</v>
      </c>
      <c r="S418" s="48">
        <v>100</v>
      </c>
      <c r="T418" s="58" t="s">
        <v>417</v>
      </c>
    </row>
    <row r="419" spans="1:20" s="14" customFormat="1" x14ac:dyDescent="0.25">
      <c r="A419" s="60" t="s">
        <v>186</v>
      </c>
      <c r="B419" s="61" t="s">
        <v>929</v>
      </c>
      <c r="C419" s="78" t="s">
        <v>930</v>
      </c>
      <c r="D419" s="47">
        <v>0</v>
      </c>
      <c r="E419" s="47">
        <v>0</v>
      </c>
      <c r="F419" s="47">
        <f t="shared" si="60"/>
        <v>0</v>
      </c>
      <c r="G419" s="47">
        <v>0</v>
      </c>
      <c r="H419" s="47">
        <f t="shared" si="61"/>
        <v>0</v>
      </c>
      <c r="I419" s="47">
        <v>0</v>
      </c>
      <c r="J419" s="47">
        <v>0</v>
      </c>
      <c r="K419" s="47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7">
        <f t="shared" si="58"/>
        <v>0</v>
      </c>
      <c r="R419" s="47">
        <f t="shared" si="59"/>
        <v>0</v>
      </c>
      <c r="S419" s="48">
        <v>0</v>
      </c>
      <c r="T419" s="58" t="s">
        <v>48</v>
      </c>
    </row>
    <row r="420" spans="1:20" s="14" customFormat="1" x14ac:dyDescent="0.25">
      <c r="A420" s="60" t="s">
        <v>186</v>
      </c>
      <c r="B420" s="61" t="s">
        <v>931</v>
      </c>
      <c r="C420" s="78" t="s">
        <v>400</v>
      </c>
      <c r="D420" s="47">
        <v>0</v>
      </c>
      <c r="E420" s="47">
        <v>0</v>
      </c>
      <c r="F420" s="47">
        <f t="shared" si="60"/>
        <v>0</v>
      </c>
      <c r="G420" s="47">
        <v>0</v>
      </c>
      <c r="H420" s="47">
        <f t="shared" si="61"/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f t="shared" si="58"/>
        <v>0</v>
      </c>
      <c r="R420" s="47">
        <f t="shared" si="59"/>
        <v>0</v>
      </c>
      <c r="S420" s="48">
        <v>0</v>
      </c>
      <c r="T420" s="58" t="s">
        <v>48</v>
      </c>
    </row>
    <row r="421" spans="1:20" s="14" customFormat="1" ht="26.25" x14ac:dyDescent="0.25">
      <c r="A421" s="60" t="s">
        <v>186</v>
      </c>
      <c r="B421" s="61" t="s">
        <v>932</v>
      </c>
      <c r="C421" s="78" t="s">
        <v>933</v>
      </c>
      <c r="D421" s="47">
        <v>0</v>
      </c>
      <c r="E421" s="47">
        <v>0</v>
      </c>
      <c r="F421" s="47">
        <f t="shared" si="60"/>
        <v>0</v>
      </c>
      <c r="G421" s="47">
        <v>0</v>
      </c>
      <c r="H421" s="47">
        <f t="shared" si="61"/>
        <v>3.4351199999999998E-2</v>
      </c>
      <c r="I421" s="47">
        <v>0</v>
      </c>
      <c r="J421" s="47">
        <v>0</v>
      </c>
      <c r="K421" s="47">
        <v>0</v>
      </c>
      <c r="L421" s="47">
        <v>0</v>
      </c>
      <c r="M421" s="47">
        <v>0</v>
      </c>
      <c r="N421" s="47">
        <v>0</v>
      </c>
      <c r="O421" s="47">
        <v>0</v>
      </c>
      <c r="P421" s="47">
        <v>3.4351199999999998E-2</v>
      </c>
      <c r="Q421" s="47">
        <f t="shared" si="58"/>
        <v>-3.4351199999999998E-2</v>
      </c>
      <c r="R421" s="47">
        <f t="shared" si="59"/>
        <v>3.4351199999999998E-2</v>
      </c>
      <c r="S421" s="48">
        <v>100</v>
      </c>
      <c r="T421" s="58" t="s">
        <v>990</v>
      </c>
    </row>
    <row r="422" spans="1:20" s="14" customFormat="1" ht="26.25" x14ac:dyDescent="0.25">
      <c r="A422" s="60" t="s">
        <v>186</v>
      </c>
      <c r="B422" s="61" t="s">
        <v>934</v>
      </c>
      <c r="C422" s="78" t="s">
        <v>935</v>
      </c>
      <c r="D422" s="47">
        <v>0</v>
      </c>
      <c r="E422" s="47">
        <v>0</v>
      </c>
      <c r="F422" s="47">
        <f t="shared" si="60"/>
        <v>0</v>
      </c>
      <c r="G422" s="47">
        <v>0</v>
      </c>
      <c r="H422" s="47">
        <f t="shared" si="61"/>
        <v>2.9909999999999999E-2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2.9909999999999999E-2</v>
      </c>
      <c r="Q422" s="47">
        <f t="shared" si="58"/>
        <v>-2.9909999999999999E-2</v>
      </c>
      <c r="R422" s="47">
        <f t="shared" si="59"/>
        <v>2.9909999999999999E-2</v>
      </c>
      <c r="S422" s="48">
        <v>100</v>
      </c>
      <c r="T422" s="58" t="s">
        <v>990</v>
      </c>
    </row>
    <row r="423" spans="1:20" s="14" customFormat="1" ht="26.25" x14ac:dyDescent="0.25">
      <c r="A423" s="60" t="s">
        <v>186</v>
      </c>
      <c r="B423" s="61" t="s">
        <v>936</v>
      </c>
      <c r="C423" s="78" t="s">
        <v>937</v>
      </c>
      <c r="D423" s="47">
        <v>0</v>
      </c>
      <c r="E423" s="47">
        <v>0</v>
      </c>
      <c r="F423" s="47">
        <f t="shared" si="60"/>
        <v>0</v>
      </c>
      <c r="G423" s="47">
        <v>0</v>
      </c>
      <c r="H423" s="47">
        <f t="shared" si="61"/>
        <v>3.3596399999999998E-2</v>
      </c>
      <c r="I423" s="47">
        <v>0</v>
      </c>
      <c r="J423" s="47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0</v>
      </c>
      <c r="P423" s="47">
        <v>3.3596399999999998E-2</v>
      </c>
      <c r="Q423" s="47">
        <f t="shared" si="58"/>
        <v>-3.3596399999999998E-2</v>
      </c>
      <c r="R423" s="47">
        <f t="shared" si="59"/>
        <v>3.3596399999999998E-2</v>
      </c>
      <c r="S423" s="48">
        <v>100</v>
      </c>
      <c r="T423" s="58" t="s">
        <v>990</v>
      </c>
    </row>
    <row r="424" spans="1:20" s="14" customFormat="1" ht="26.25" x14ac:dyDescent="0.25">
      <c r="A424" s="60" t="s">
        <v>186</v>
      </c>
      <c r="B424" s="61" t="s">
        <v>938</v>
      </c>
      <c r="C424" s="78" t="s">
        <v>939</v>
      </c>
      <c r="D424" s="47">
        <v>0</v>
      </c>
      <c r="E424" s="47">
        <v>0</v>
      </c>
      <c r="F424" s="47">
        <f t="shared" si="60"/>
        <v>0</v>
      </c>
      <c r="G424" s="47">
        <v>0</v>
      </c>
      <c r="H424" s="47">
        <f t="shared" si="61"/>
        <v>3.2171999999999999E-2</v>
      </c>
      <c r="I424" s="47">
        <v>0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3.2171999999999999E-2</v>
      </c>
      <c r="Q424" s="47">
        <f t="shared" si="58"/>
        <v>-3.2171999999999999E-2</v>
      </c>
      <c r="R424" s="47">
        <f t="shared" si="59"/>
        <v>3.2171999999999999E-2</v>
      </c>
      <c r="S424" s="48">
        <v>100</v>
      </c>
      <c r="T424" s="58" t="s">
        <v>990</v>
      </c>
    </row>
    <row r="425" spans="1:20" s="14" customFormat="1" ht="26.25" x14ac:dyDescent="0.25">
      <c r="A425" s="60" t="s">
        <v>186</v>
      </c>
      <c r="B425" s="61" t="s">
        <v>940</v>
      </c>
      <c r="C425" s="78" t="s">
        <v>941</v>
      </c>
      <c r="D425" s="47">
        <v>0</v>
      </c>
      <c r="E425" s="47">
        <v>0</v>
      </c>
      <c r="F425" s="47">
        <f t="shared" si="60"/>
        <v>0</v>
      </c>
      <c r="G425" s="47">
        <v>0</v>
      </c>
      <c r="H425" s="47">
        <f t="shared" si="61"/>
        <v>3.5188799999999999E-2</v>
      </c>
      <c r="I425" s="47">
        <v>0</v>
      </c>
      <c r="J425" s="47">
        <v>0</v>
      </c>
      <c r="K425" s="47">
        <v>0</v>
      </c>
      <c r="L425" s="47">
        <v>0</v>
      </c>
      <c r="M425" s="47">
        <v>0</v>
      </c>
      <c r="N425" s="47">
        <v>0</v>
      </c>
      <c r="O425" s="47">
        <v>0</v>
      </c>
      <c r="P425" s="47">
        <v>3.5188799999999999E-2</v>
      </c>
      <c r="Q425" s="47">
        <f t="shared" si="58"/>
        <v>-3.5188799999999999E-2</v>
      </c>
      <c r="R425" s="47">
        <f t="shared" si="59"/>
        <v>3.5188799999999999E-2</v>
      </c>
      <c r="S425" s="48">
        <v>100</v>
      </c>
      <c r="T425" s="58" t="s">
        <v>990</v>
      </c>
    </row>
    <row r="426" spans="1:20" s="13" customFormat="1" ht="25.5" x14ac:dyDescent="0.25">
      <c r="A426" s="32" t="s">
        <v>258</v>
      </c>
      <c r="B426" s="39" t="s">
        <v>259</v>
      </c>
      <c r="C426" s="40" t="s">
        <v>50</v>
      </c>
      <c r="D426" s="35">
        <v>0</v>
      </c>
      <c r="E426" s="35">
        <v>0</v>
      </c>
      <c r="F426" s="35">
        <f t="shared" si="60"/>
        <v>0</v>
      </c>
      <c r="G426" s="35">
        <f t="shared" ref="G426:G441" si="62">I426+K426+M426+O426</f>
        <v>0</v>
      </c>
      <c r="H426" s="35">
        <f t="shared" si="61"/>
        <v>0</v>
      </c>
      <c r="I426" s="35">
        <v>0</v>
      </c>
      <c r="J426" s="35">
        <v>0</v>
      </c>
      <c r="K426" s="35">
        <v>0</v>
      </c>
      <c r="L426" s="35">
        <v>0</v>
      </c>
      <c r="M426" s="35">
        <v>0</v>
      </c>
      <c r="N426" s="35">
        <v>0</v>
      </c>
      <c r="O426" s="35">
        <v>0</v>
      </c>
      <c r="P426" s="35">
        <v>0</v>
      </c>
      <c r="Q426" s="35">
        <f t="shared" si="58"/>
        <v>0</v>
      </c>
      <c r="R426" s="35">
        <f t="shared" si="59"/>
        <v>0</v>
      </c>
      <c r="S426" s="36">
        <v>0</v>
      </c>
      <c r="T426" s="37" t="s">
        <v>48</v>
      </c>
    </row>
    <row r="427" spans="1:20" s="13" customFormat="1" ht="25.5" x14ac:dyDescent="0.25">
      <c r="A427" s="32" t="s">
        <v>27</v>
      </c>
      <c r="B427" s="39" t="s">
        <v>260</v>
      </c>
      <c r="C427" s="40" t="s">
        <v>50</v>
      </c>
      <c r="D427" s="35">
        <v>0</v>
      </c>
      <c r="E427" s="35">
        <v>0</v>
      </c>
      <c r="F427" s="35">
        <f t="shared" si="60"/>
        <v>0</v>
      </c>
      <c r="G427" s="35">
        <f t="shared" si="62"/>
        <v>0</v>
      </c>
      <c r="H427" s="35">
        <f t="shared" si="61"/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0</v>
      </c>
      <c r="Q427" s="35">
        <f t="shared" si="58"/>
        <v>0</v>
      </c>
      <c r="R427" s="35">
        <f t="shared" si="59"/>
        <v>0</v>
      </c>
      <c r="S427" s="36">
        <v>0</v>
      </c>
      <c r="T427" s="37" t="s">
        <v>48</v>
      </c>
    </row>
    <row r="428" spans="1:20" s="13" customFormat="1" x14ac:dyDescent="0.25">
      <c r="A428" s="32" t="s">
        <v>28</v>
      </c>
      <c r="B428" s="39" t="s">
        <v>261</v>
      </c>
      <c r="C428" s="40" t="s">
        <v>50</v>
      </c>
      <c r="D428" s="35">
        <v>0</v>
      </c>
      <c r="E428" s="35">
        <v>0</v>
      </c>
      <c r="F428" s="35">
        <f t="shared" si="60"/>
        <v>0</v>
      </c>
      <c r="G428" s="35">
        <f t="shared" si="62"/>
        <v>0</v>
      </c>
      <c r="H428" s="35">
        <f t="shared" si="61"/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0</v>
      </c>
      <c r="O428" s="35">
        <v>0</v>
      </c>
      <c r="P428" s="35">
        <v>0</v>
      </c>
      <c r="Q428" s="35">
        <f t="shared" si="58"/>
        <v>0</v>
      </c>
      <c r="R428" s="35">
        <f t="shared" si="59"/>
        <v>0</v>
      </c>
      <c r="S428" s="36">
        <v>0</v>
      </c>
      <c r="T428" s="37" t="s">
        <v>48</v>
      </c>
    </row>
    <row r="429" spans="1:20" s="13" customFormat="1" x14ac:dyDescent="0.25">
      <c r="A429" s="32" t="s">
        <v>29</v>
      </c>
      <c r="B429" s="39" t="s">
        <v>262</v>
      </c>
      <c r="C429" s="40" t="s">
        <v>50</v>
      </c>
      <c r="D429" s="35">
        <v>0</v>
      </c>
      <c r="E429" s="35">
        <v>0</v>
      </c>
      <c r="F429" s="35">
        <f t="shared" si="60"/>
        <v>0</v>
      </c>
      <c r="G429" s="35">
        <f t="shared" si="62"/>
        <v>0</v>
      </c>
      <c r="H429" s="35">
        <f t="shared" si="61"/>
        <v>0</v>
      </c>
      <c r="I429" s="35">
        <v>0</v>
      </c>
      <c r="J429" s="35">
        <v>0</v>
      </c>
      <c r="K429" s="35">
        <v>0</v>
      </c>
      <c r="L429" s="35">
        <v>0</v>
      </c>
      <c r="M429" s="35">
        <v>0</v>
      </c>
      <c r="N429" s="35">
        <v>0</v>
      </c>
      <c r="O429" s="35">
        <v>0</v>
      </c>
      <c r="P429" s="35">
        <v>0</v>
      </c>
      <c r="Q429" s="35">
        <f t="shared" si="58"/>
        <v>0</v>
      </c>
      <c r="R429" s="35">
        <f t="shared" si="59"/>
        <v>0</v>
      </c>
      <c r="S429" s="36">
        <v>0</v>
      </c>
      <c r="T429" s="37" t="s">
        <v>48</v>
      </c>
    </row>
    <row r="430" spans="1:20" s="13" customFormat="1" x14ac:dyDescent="0.25">
      <c r="A430" s="32" t="s">
        <v>30</v>
      </c>
      <c r="B430" s="39" t="s">
        <v>263</v>
      </c>
      <c r="C430" s="40" t="s">
        <v>50</v>
      </c>
      <c r="D430" s="35">
        <v>0</v>
      </c>
      <c r="E430" s="35">
        <v>0</v>
      </c>
      <c r="F430" s="35">
        <f t="shared" si="60"/>
        <v>0</v>
      </c>
      <c r="G430" s="35">
        <f t="shared" si="62"/>
        <v>0</v>
      </c>
      <c r="H430" s="35">
        <f t="shared" si="61"/>
        <v>0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0</v>
      </c>
      <c r="Q430" s="35">
        <f t="shared" si="58"/>
        <v>0</v>
      </c>
      <c r="R430" s="35">
        <f t="shared" si="59"/>
        <v>0</v>
      </c>
      <c r="S430" s="36">
        <v>0</v>
      </c>
      <c r="T430" s="37" t="s">
        <v>48</v>
      </c>
    </row>
    <row r="431" spans="1:20" s="13" customFormat="1" ht="25.5" x14ac:dyDescent="0.25">
      <c r="A431" s="32" t="s">
        <v>31</v>
      </c>
      <c r="B431" s="39" t="s">
        <v>264</v>
      </c>
      <c r="C431" s="40" t="s">
        <v>50</v>
      </c>
      <c r="D431" s="35">
        <v>0</v>
      </c>
      <c r="E431" s="35">
        <v>0</v>
      </c>
      <c r="F431" s="35">
        <f t="shared" si="60"/>
        <v>0</v>
      </c>
      <c r="G431" s="35">
        <f t="shared" si="62"/>
        <v>0</v>
      </c>
      <c r="H431" s="35">
        <f t="shared" si="61"/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0</v>
      </c>
      <c r="Q431" s="35">
        <f t="shared" si="58"/>
        <v>0</v>
      </c>
      <c r="R431" s="35">
        <f t="shared" si="59"/>
        <v>0</v>
      </c>
      <c r="S431" s="36">
        <v>0</v>
      </c>
      <c r="T431" s="37" t="s">
        <v>48</v>
      </c>
    </row>
    <row r="432" spans="1:20" s="13" customFormat="1" ht="25.5" x14ac:dyDescent="0.25">
      <c r="A432" s="32" t="s">
        <v>32</v>
      </c>
      <c r="B432" s="39" t="s">
        <v>265</v>
      </c>
      <c r="C432" s="40" t="s">
        <v>50</v>
      </c>
      <c r="D432" s="35">
        <v>0</v>
      </c>
      <c r="E432" s="35">
        <v>0</v>
      </c>
      <c r="F432" s="35">
        <f t="shared" si="60"/>
        <v>0</v>
      </c>
      <c r="G432" s="35">
        <f t="shared" si="62"/>
        <v>0</v>
      </c>
      <c r="H432" s="35">
        <f t="shared" si="61"/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f t="shared" si="58"/>
        <v>0</v>
      </c>
      <c r="R432" s="35">
        <f t="shared" si="59"/>
        <v>0</v>
      </c>
      <c r="S432" s="36">
        <v>0</v>
      </c>
      <c r="T432" s="37" t="s">
        <v>48</v>
      </c>
    </row>
    <row r="433" spans="1:20" s="13" customFormat="1" ht="25.5" x14ac:dyDescent="0.25">
      <c r="A433" s="32" t="s">
        <v>33</v>
      </c>
      <c r="B433" s="39" t="s">
        <v>266</v>
      </c>
      <c r="C433" s="40" t="s">
        <v>50</v>
      </c>
      <c r="D433" s="35">
        <v>0</v>
      </c>
      <c r="E433" s="35">
        <v>0</v>
      </c>
      <c r="F433" s="35">
        <f t="shared" si="60"/>
        <v>0</v>
      </c>
      <c r="G433" s="35">
        <f t="shared" si="62"/>
        <v>0</v>
      </c>
      <c r="H433" s="35">
        <f t="shared" si="61"/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f t="shared" si="58"/>
        <v>0</v>
      </c>
      <c r="R433" s="35">
        <f t="shared" si="59"/>
        <v>0</v>
      </c>
      <c r="S433" s="36">
        <v>0</v>
      </c>
      <c r="T433" s="37" t="s">
        <v>48</v>
      </c>
    </row>
    <row r="434" spans="1:20" s="13" customFormat="1" ht="25.5" x14ac:dyDescent="0.25">
      <c r="A434" s="32" t="s">
        <v>34</v>
      </c>
      <c r="B434" s="39" t="s">
        <v>267</v>
      </c>
      <c r="C434" s="40" t="s">
        <v>50</v>
      </c>
      <c r="D434" s="35">
        <v>0</v>
      </c>
      <c r="E434" s="35">
        <v>0</v>
      </c>
      <c r="F434" s="35">
        <f t="shared" si="60"/>
        <v>0</v>
      </c>
      <c r="G434" s="35">
        <f t="shared" si="62"/>
        <v>0</v>
      </c>
      <c r="H434" s="35">
        <f t="shared" si="61"/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v>0</v>
      </c>
      <c r="Q434" s="35">
        <f t="shared" si="58"/>
        <v>0</v>
      </c>
      <c r="R434" s="35">
        <f t="shared" si="59"/>
        <v>0</v>
      </c>
      <c r="S434" s="36">
        <v>0</v>
      </c>
      <c r="T434" s="37" t="s">
        <v>48</v>
      </c>
    </row>
    <row r="435" spans="1:20" s="13" customFormat="1" ht="25.5" x14ac:dyDescent="0.25">
      <c r="A435" s="32" t="s">
        <v>268</v>
      </c>
      <c r="B435" s="39" t="s">
        <v>269</v>
      </c>
      <c r="C435" s="40" t="s">
        <v>50</v>
      </c>
      <c r="D435" s="35">
        <v>0</v>
      </c>
      <c r="E435" s="35">
        <v>0</v>
      </c>
      <c r="F435" s="35">
        <f t="shared" si="60"/>
        <v>0</v>
      </c>
      <c r="G435" s="35">
        <f t="shared" si="62"/>
        <v>0</v>
      </c>
      <c r="H435" s="35">
        <f t="shared" si="61"/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5">
        <v>0</v>
      </c>
      <c r="Q435" s="35">
        <f t="shared" si="58"/>
        <v>0</v>
      </c>
      <c r="R435" s="35">
        <f t="shared" si="59"/>
        <v>0</v>
      </c>
      <c r="S435" s="36">
        <v>0</v>
      </c>
      <c r="T435" s="37" t="s">
        <v>48</v>
      </c>
    </row>
    <row r="436" spans="1:20" s="13" customFormat="1" ht="25.5" x14ac:dyDescent="0.25">
      <c r="A436" s="32" t="s">
        <v>270</v>
      </c>
      <c r="B436" s="39" t="s">
        <v>271</v>
      </c>
      <c r="C436" s="40" t="s">
        <v>50</v>
      </c>
      <c r="D436" s="35">
        <v>11.762909687999999</v>
      </c>
      <c r="E436" s="35">
        <f>E437+E438</f>
        <v>0</v>
      </c>
      <c r="F436" s="35">
        <f t="shared" si="60"/>
        <v>11.762909687999999</v>
      </c>
      <c r="G436" s="35">
        <f t="shared" si="62"/>
        <v>11.762909687999999</v>
      </c>
      <c r="H436" s="35">
        <f t="shared" si="61"/>
        <v>10.447922447999998</v>
      </c>
      <c r="I436" s="35">
        <f>I437+I438</f>
        <v>0.6991178039999999</v>
      </c>
      <c r="J436" s="35">
        <f t="shared" ref="J436:O436" si="63">J437+J438</f>
        <v>0</v>
      </c>
      <c r="K436" s="35">
        <f t="shared" si="63"/>
        <v>11.063791883999999</v>
      </c>
      <c r="L436" s="35">
        <f t="shared" si="63"/>
        <v>2.0588399999999996E-2</v>
      </c>
      <c r="M436" s="35">
        <f t="shared" si="63"/>
        <v>0</v>
      </c>
      <c r="N436" s="35">
        <f t="shared" si="63"/>
        <v>0.1750188</v>
      </c>
      <c r="O436" s="35">
        <f t="shared" si="63"/>
        <v>0</v>
      </c>
      <c r="P436" s="35">
        <f>P438</f>
        <v>10.252315247999999</v>
      </c>
      <c r="Q436" s="35">
        <f t="shared" si="58"/>
        <v>1.3149872400000007</v>
      </c>
      <c r="R436" s="35">
        <f t="shared" si="59"/>
        <v>-1.3149872400000007</v>
      </c>
      <c r="S436" s="36">
        <f t="shared" ref="S436:S459" si="64">(J436+L436+N436+P436)/(I436+K436+M436+O436)*100-100</f>
        <v>-11.179098325829131</v>
      </c>
      <c r="T436" s="37" t="s">
        <v>48</v>
      </c>
    </row>
    <row r="437" spans="1:20" s="13" customFormat="1" x14ac:dyDescent="0.25">
      <c r="A437" s="32" t="s">
        <v>272</v>
      </c>
      <c r="B437" s="39" t="s">
        <v>273</v>
      </c>
      <c r="C437" s="40" t="s">
        <v>50</v>
      </c>
      <c r="D437" s="35">
        <v>0</v>
      </c>
      <c r="E437" s="35">
        <v>0</v>
      </c>
      <c r="F437" s="35">
        <f t="shared" si="60"/>
        <v>0</v>
      </c>
      <c r="G437" s="35">
        <f t="shared" si="62"/>
        <v>0</v>
      </c>
      <c r="H437" s="35">
        <f t="shared" si="61"/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5">
        <v>0</v>
      </c>
      <c r="Q437" s="35">
        <f t="shared" si="58"/>
        <v>0</v>
      </c>
      <c r="R437" s="35">
        <f t="shared" si="59"/>
        <v>0</v>
      </c>
      <c r="S437" s="36">
        <v>0</v>
      </c>
      <c r="T437" s="37" t="s">
        <v>48</v>
      </c>
    </row>
    <row r="438" spans="1:20" s="13" customFormat="1" ht="25.5" x14ac:dyDescent="0.25">
      <c r="A438" s="32" t="s">
        <v>274</v>
      </c>
      <c r="B438" s="39" t="s">
        <v>275</v>
      </c>
      <c r="C438" s="40" t="s">
        <v>50</v>
      </c>
      <c r="D438" s="35">
        <v>11.762909687999999</v>
      </c>
      <c r="E438" s="35">
        <f>E439+E440+E441</f>
        <v>0</v>
      </c>
      <c r="F438" s="35">
        <f t="shared" si="60"/>
        <v>11.762909687999999</v>
      </c>
      <c r="G438" s="35">
        <f t="shared" si="62"/>
        <v>11.762909687999999</v>
      </c>
      <c r="H438" s="35">
        <f t="shared" si="61"/>
        <v>10.447922447999998</v>
      </c>
      <c r="I438" s="35">
        <f>I439+I440+I441</f>
        <v>0.6991178039999999</v>
      </c>
      <c r="J438" s="35">
        <f t="shared" ref="J438:N438" si="65">J439+J440+J441</f>
        <v>0</v>
      </c>
      <c r="K438" s="35">
        <f t="shared" si="65"/>
        <v>11.063791883999999</v>
      </c>
      <c r="L438" s="35">
        <f t="shared" si="65"/>
        <v>2.0588399999999996E-2</v>
      </c>
      <c r="M438" s="35">
        <f t="shared" si="65"/>
        <v>0</v>
      </c>
      <c r="N438" s="35">
        <f t="shared" si="65"/>
        <v>0.1750188</v>
      </c>
      <c r="O438" s="35">
        <v>0</v>
      </c>
      <c r="P438" s="35">
        <f>SUM(P439:P441)</f>
        <v>10.252315247999999</v>
      </c>
      <c r="Q438" s="35">
        <f t="shared" si="58"/>
        <v>1.3149872400000007</v>
      </c>
      <c r="R438" s="35">
        <f t="shared" si="59"/>
        <v>-1.3149872400000007</v>
      </c>
      <c r="S438" s="36">
        <f t="shared" si="64"/>
        <v>-11.179098325829131</v>
      </c>
      <c r="T438" s="37" t="s">
        <v>48</v>
      </c>
    </row>
    <row r="439" spans="1:20" s="14" customFormat="1" x14ac:dyDescent="0.25">
      <c r="A439" s="60" t="s">
        <v>274</v>
      </c>
      <c r="B439" s="73" t="s">
        <v>276</v>
      </c>
      <c r="C439" s="74" t="s">
        <v>277</v>
      </c>
      <c r="D439" s="47">
        <v>11.063791883999999</v>
      </c>
      <c r="E439" s="47">
        <v>0</v>
      </c>
      <c r="F439" s="47">
        <f t="shared" si="60"/>
        <v>11.063791883999999</v>
      </c>
      <c r="G439" s="47">
        <f t="shared" si="62"/>
        <v>11.063791883999999</v>
      </c>
      <c r="H439" s="47">
        <f t="shared" si="61"/>
        <v>10.406755247999998</v>
      </c>
      <c r="I439" s="47">
        <v>0</v>
      </c>
      <c r="J439" s="47">
        <v>0</v>
      </c>
      <c r="K439" s="47">
        <v>11.063791883999999</v>
      </c>
      <c r="L439" s="47">
        <v>0</v>
      </c>
      <c r="M439" s="47">
        <v>0</v>
      </c>
      <c r="N439" s="47">
        <v>0.156</v>
      </c>
      <c r="O439" s="47">
        <v>0</v>
      </c>
      <c r="P439" s="47">
        <v>10.250755247999997</v>
      </c>
      <c r="Q439" s="47">
        <f t="shared" si="58"/>
        <v>0.65703663600000084</v>
      </c>
      <c r="R439" s="47">
        <f t="shared" si="59"/>
        <v>-0.65703663600000084</v>
      </c>
      <c r="S439" s="48">
        <f t="shared" si="64"/>
        <v>-5.9386207087841285</v>
      </c>
      <c r="T439" s="76" t="s">
        <v>48</v>
      </c>
    </row>
    <row r="440" spans="1:20" s="14" customFormat="1" ht="38.25" x14ac:dyDescent="0.25">
      <c r="A440" s="60" t="s">
        <v>274</v>
      </c>
      <c r="B440" s="73" t="s">
        <v>278</v>
      </c>
      <c r="C440" s="74" t="s">
        <v>279</v>
      </c>
      <c r="D440" s="47">
        <v>0.29399999999999998</v>
      </c>
      <c r="E440" s="47">
        <v>0</v>
      </c>
      <c r="F440" s="47">
        <f t="shared" si="60"/>
        <v>0.29399999999999998</v>
      </c>
      <c r="G440" s="47">
        <f t="shared" si="62"/>
        <v>0.29399999999999998</v>
      </c>
      <c r="H440" s="47">
        <f t="shared" si="61"/>
        <v>2.1128399999999995E-2</v>
      </c>
      <c r="I440" s="47">
        <v>0.29399999999999998</v>
      </c>
      <c r="J440" s="47">
        <v>0</v>
      </c>
      <c r="K440" s="47">
        <v>0</v>
      </c>
      <c r="L440" s="47">
        <v>2.0588399999999996E-2</v>
      </c>
      <c r="M440" s="47">
        <v>0</v>
      </c>
      <c r="N440" s="47">
        <v>0</v>
      </c>
      <c r="O440" s="47">
        <v>0</v>
      </c>
      <c r="P440" s="47">
        <v>5.4000000000000001E-4</v>
      </c>
      <c r="Q440" s="47">
        <f t="shared" si="58"/>
        <v>0.27287159999999999</v>
      </c>
      <c r="R440" s="47">
        <f t="shared" si="59"/>
        <v>-0.27287159999999999</v>
      </c>
      <c r="S440" s="48">
        <f t="shared" si="64"/>
        <v>-92.813469387755106</v>
      </c>
      <c r="T440" s="76" t="s">
        <v>992</v>
      </c>
    </row>
    <row r="441" spans="1:20" s="14" customFormat="1" ht="38.25" x14ac:dyDescent="0.25">
      <c r="A441" s="60" t="s">
        <v>274</v>
      </c>
      <c r="B441" s="73" t="s">
        <v>280</v>
      </c>
      <c r="C441" s="74" t="s">
        <v>281</v>
      </c>
      <c r="D441" s="47">
        <v>0.40511780399999997</v>
      </c>
      <c r="E441" s="47">
        <v>0</v>
      </c>
      <c r="F441" s="47">
        <f t="shared" si="60"/>
        <v>0.40511780399999997</v>
      </c>
      <c r="G441" s="47">
        <f t="shared" si="62"/>
        <v>0.40511780399999997</v>
      </c>
      <c r="H441" s="47">
        <f t="shared" si="61"/>
        <v>2.0038799999999999E-2</v>
      </c>
      <c r="I441" s="47">
        <v>0.40511780399999997</v>
      </c>
      <c r="J441" s="47">
        <v>0</v>
      </c>
      <c r="K441" s="47">
        <v>0</v>
      </c>
      <c r="L441" s="47">
        <v>0</v>
      </c>
      <c r="M441" s="47">
        <v>0</v>
      </c>
      <c r="N441" s="47">
        <v>1.9018799999999999E-2</v>
      </c>
      <c r="O441" s="47">
        <v>0</v>
      </c>
      <c r="P441" s="47">
        <v>1.0200000000000001E-3</v>
      </c>
      <c r="Q441" s="47">
        <f t="shared" si="58"/>
        <v>0.38507900399999995</v>
      </c>
      <c r="R441" s="47">
        <f t="shared" si="59"/>
        <v>-0.38507900399999995</v>
      </c>
      <c r="S441" s="48">
        <f t="shared" si="64"/>
        <v>-95.053586931469439</v>
      </c>
      <c r="T441" s="76" t="s">
        <v>992</v>
      </c>
    </row>
    <row r="442" spans="1:20" s="13" customFormat="1" ht="25.5" x14ac:dyDescent="0.25">
      <c r="A442" s="32" t="s">
        <v>35</v>
      </c>
      <c r="B442" s="39" t="s">
        <v>282</v>
      </c>
      <c r="C442" s="40" t="s">
        <v>50</v>
      </c>
      <c r="D442" s="35">
        <v>0</v>
      </c>
      <c r="E442" s="35">
        <v>0</v>
      </c>
      <c r="F442" s="35">
        <f t="shared" si="60"/>
        <v>0</v>
      </c>
      <c r="G442" s="35">
        <v>0</v>
      </c>
      <c r="H442" s="35">
        <f t="shared" si="61"/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0</v>
      </c>
      <c r="P442" s="35">
        <v>0</v>
      </c>
      <c r="Q442" s="35">
        <f t="shared" si="58"/>
        <v>0</v>
      </c>
      <c r="R442" s="35">
        <f t="shared" si="59"/>
        <v>0</v>
      </c>
      <c r="S442" s="36">
        <v>0</v>
      </c>
      <c r="T442" s="37" t="s">
        <v>48</v>
      </c>
    </row>
    <row r="443" spans="1:20" s="13" customFormat="1" ht="25.5" x14ac:dyDescent="0.25">
      <c r="A443" s="32" t="s">
        <v>283</v>
      </c>
      <c r="B443" s="39" t="s">
        <v>284</v>
      </c>
      <c r="C443" s="40" t="s">
        <v>50</v>
      </c>
      <c r="D443" s="35">
        <v>0</v>
      </c>
      <c r="E443" s="35">
        <v>0</v>
      </c>
      <c r="F443" s="35">
        <f t="shared" si="60"/>
        <v>0</v>
      </c>
      <c r="G443" s="35">
        <v>0</v>
      </c>
      <c r="H443" s="35">
        <f t="shared" si="61"/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f t="shared" si="58"/>
        <v>0</v>
      </c>
      <c r="R443" s="35">
        <f t="shared" si="59"/>
        <v>0</v>
      </c>
      <c r="S443" s="36">
        <v>0</v>
      </c>
      <c r="T443" s="37" t="s">
        <v>48</v>
      </c>
    </row>
    <row r="444" spans="1:20" s="13" customFormat="1" ht="25.5" x14ac:dyDescent="0.25">
      <c r="A444" s="32" t="s">
        <v>285</v>
      </c>
      <c r="B444" s="39" t="s">
        <v>286</v>
      </c>
      <c r="C444" s="40" t="s">
        <v>50</v>
      </c>
      <c r="D444" s="35">
        <v>0</v>
      </c>
      <c r="E444" s="35">
        <v>0</v>
      </c>
      <c r="F444" s="35">
        <f t="shared" si="60"/>
        <v>0</v>
      </c>
      <c r="G444" s="35">
        <v>0</v>
      </c>
      <c r="H444" s="35">
        <f t="shared" si="61"/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f t="shared" si="58"/>
        <v>0</v>
      </c>
      <c r="R444" s="35">
        <f t="shared" si="59"/>
        <v>0</v>
      </c>
      <c r="S444" s="36">
        <v>0</v>
      </c>
      <c r="T444" s="37" t="s">
        <v>48</v>
      </c>
    </row>
    <row r="445" spans="1:20" s="13" customFormat="1" ht="25.5" x14ac:dyDescent="0.25">
      <c r="A445" s="32" t="s">
        <v>36</v>
      </c>
      <c r="B445" s="39" t="s">
        <v>287</v>
      </c>
      <c r="C445" s="40" t="s">
        <v>50</v>
      </c>
      <c r="D445" s="35">
        <v>29.063289575453307</v>
      </c>
      <c r="E445" s="35">
        <f>SUM(E446:E490)</f>
        <v>1.1462098439999999</v>
      </c>
      <c r="F445" s="35">
        <f t="shared" si="60"/>
        <v>27.917079731453306</v>
      </c>
      <c r="G445" s="35">
        <f>SUM(G446:G470)</f>
        <v>29.063289575453307</v>
      </c>
      <c r="H445" s="35">
        <f t="shared" si="61"/>
        <v>51.819581147999997</v>
      </c>
      <c r="I445" s="35">
        <f>SUM(I446:I490)</f>
        <v>1.6949523569491527</v>
      </c>
      <c r="J445" s="35">
        <f>SUM(J446:J490)</f>
        <v>1.3588357440000003</v>
      </c>
      <c r="K445" s="35">
        <f>SUM(K446:K470)</f>
        <v>5.2157398433898301</v>
      </c>
      <c r="L445" s="35">
        <f>SUM(L446:L496)</f>
        <v>3.5467055880000005</v>
      </c>
      <c r="M445" s="35">
        <f>SUM(M446:M470)</f>
        <v>18.025945955389833</v>
      </c>
      <c r="N445" s="35">
        <f>SUM(N446:N496)</f>
        <v>2.9937307679999998</v>
      </c>
      <c r="O445" s="35">
        <f>SUM(O446:O470)</f>
        <v>4.1266514197244906</v>
      </c>
      <c r="P445" s="35">
        <f>SUM(P446:P496)</f>
        <v>43.920309048</v>
      </c>
      <c r="Q445" s="35">
        <f t="shared" si="58"/>
        <v>-23.902501416546691</v>
      </c>
      <c r="R445" s="35">
        <f t="shared" si="59"/>
        <v>22.756291572546694</v>
      </c>
      <c r="S445" s="36">
        <f t="shared" si="64"/>
        <v>78.299091069740882</v>
      </c>
      <c r="T445" s="37" t="s">
        <v>48</v>
      </c>
    </row>
    <row r="446" spans="1:20" s="14" customFormat="1" x14ac:dyDescent="0.25">
      <c r="A446" s="44" t="s">
        <v>36</v>
      </c>
      <c r="B446" s="55" t="s">
        <v>439</v>
      </c>
      <c r="C446" s="46" t="s">
        <v>440</v>
      </c>
      <c r="D446" s="47">
        <v>0</v>
      </c>
      <c r="E446" s="47">
        <f>15117*1.2/1000000</f>
        <v>1.8140399999999997E-2</v>
      </c>
      <c r="F446" s="47">
        <f t="shared" si="60"/>
        <v>-1.8140399999999997E-2</v>
      </c>
      <c r="G446" s="47">
        <v>0</v>
      </c>
      <c r="H446" s="47">
        <f t="shared" si="61"/>
        <v>0</v>
      </c>
      <c r="I446" s="47">
        <v>0</v>
      </c>
      <c r="J446" s="47">
        <v>0</v>
      </c>
      <c r="K446" s="47">
        <v>0</v>
      </c>
      <c r="L446" s="47">
        <v>0</v>
      </c>
      <c r="M446" s="47">
        <v>0</v>
      </c>
      <c r="N446" s="47">
        <v>0</v>
      </c>
      <c r="O446" s="47">
        <v>0</v>
      </c>
      <c r="P446" s="47">
        <v>0</v>
      </c>
      <c r="Q446" s="47">
        <f t="shared" si="58"/>
        <v>-1.8140399999999997E-2</v>
      </c>
      <c r="R446" s="47">
        <f t="shared" si="59"/>
        <v>0</v>
      </c>
      <c r="S446" s="48">
        <v>0</v>
      </c>
      <c r="T446" s="58" t="s">
        <v>48</v>
      </c>
    </row>
    <row r="447" spans="1:20" s="14" customFormat="1" ht="25.5" x14ac:dyDescent="0.25">
      <c r="A447" s="44" t="s">
        <v>36</v>
      </c>
      <c r="B447" s="55" t="s">
        <v>441</v>
      </c>
      <c r="C447" s="46" t="s">
        <v>442</v>
      </c>
      <c r="D447" s="47">
        <v>0</v>
      </c>
      <c r="E447" s="47">
        <f>299495.2*1.2/1000000</f>
        <v>0.35939423999999998</v>
      </c>
      <c r="F447" s="47">
        <f t="shared" si="60"/>
        <v>-0.35939423999999998</v>
      </c>
      <c r="G447" s="47">
        <v>0</v>
      </c>
      <c r="H447" s="47">
        <f t="shared" si="61"/>
        <v>0</v>
      </c>
      <c r="I447" s="47">
        <v>0</v>
      </c>
      <c r="J447" s="47">
        <v>0</v>
      </c>
      <c r="K447" s="47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7">
        <f t="shared" si="58"/>
        <v>-0.35939423999999998</v>
      </c>
      <c r="R447" s="47">
        <f t="shared" si="59"/>
        <v>0</v>
      </c>
      <c r="S447" s="48">
        <v>0</v>
      </c>
      <c r="T447" s="58" t="s">
        <v>48</v>
      </c>
    </row>
    <row r="448" spans="1:20" s="14" customFormat="1" ht="25.5" x14ac:dyDescent="0.25">
      <c r="A448" s="44" t="s">
        <v>36</v>
      </c>
      <c r="B448" s="55" t="s">
        <v>461</v>
      </c>
      <c r="C448" s="46" t="s">
        <v>462</v>
      </c>
      <c r="D448" s="47">
        <v>0</v>
      </c>
      <c r="E448" s="47">
        <f>15577*1.2/1000000</f>
        <v>1.8692399999999998E-2</v>
      </c>
      <c r="F448" s="47">
        <f t="shared" si="60"/>
        <v>-1.8692399999999998E-2</v>
      </c>
      <c r="G448" s="47">
        <v>0</v>
      </c>
      <c r="H448" s="47">
        <f t="shared" si="61"/>
        <v>0</v>
      </c>
      <c r="I448" s="47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f t="shared" si="58"/>
        <v>-1.8692399999999998E-2</v>
      </c>
      <c r="R448" s="47">
        <f t="shared" si="59"/>
        <v>0</v>
      </c>
      <c r="S448" s="48">
        <v>0</v>
      </c>
      <c r="T448" s="58" t="s">
        <v>48</v>
      </c>
    </row>
    <row r="449" spans="1:20" s="14" customFormat="1" x14ac:dyDescent="0.25">
      <c r="A449" s="44" t="s">
        <v>36</v>
      </c>
      <c r="B449" s="55" t="s">
        <v>463</v>
      </c>
      <c r="C449" s="46" t="s">
        <v>464</v>
      </c>
      <c r="D449" s="47">
        <v>0</v>
      </c>
      <c r="E449" s="47">
        <f>45913.89*1.2/1000000</f>
        <v>5.5096667999999994E-2</v>
      </c>
      <c r="F449" s="47">
        <f t="shared" si="60"/>
        <v>-5.5096667999999994E-2</v>
      </c>
      <c r="G449" s="47">
        <v>0</v>
      </c>
      <c r="H449" s="47">
        <f t="shared" si="61"/>
        <v>0</v>
      </c>
      <c r="I449" s="47">
        <v>0</v>
      </c>
      <c r="J449" s="47">
        <v>0</v>
      </c>
      <c r="K449" s="47">
        <v>0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f t="shared" si="58"/>
        <v>-5.5096667999999994E-2</v>
      </c>
      <c r="R449" s="47">
        <f t="shared" si="59"/>
        <v>0</v>
      </c>
      <c r="S449" s="48">
        <v>0</v>
      </c>
      <c r="T449" s="58" t="s">
        <v>48</v>
      </c>
    </row>
    <row r="450" spans="1:20" s="14" customFormat="1" x14ac:dyDescent="0.25">
      <c r="A450" s="44" t="s">
        <v>36</v>
      </c>
      <c r="B450" s="55" t="s">
        <v>465</v>
      </c>
      <c r="C450" s="46" t="s">
        <v>466</v>
      </c>
      <c r="D450" s="47">
        <v>0</v>
      </c>
      <c r="E450" s="47">
        <f>11023*1.2/1000000</f>
        <v>1.3227600000000001E-2</v>
      </c>
      <c r="F450" s="47">
        <f t="shared" si="60"/>
        <v>-1.3227600000000001E-2</v>
      </c>
      <c r="G450" s="47">
        <v>0</v>
      </c>
      <c r="H450" s="47">
        <f t="shared" si="61"/>
        <v>0</v>
      </c>
      <c r="I450" s="47">
        <v>0</v>
      </c>
      <c r="J450" s="47">
        <v>0</v>
      </c>
      <c r="K450" s="47">
        <v>0</v>
      </c>
      <c r="L450" s="47">
        <v>0</v>
      </c>
      <c r="M450" s="47">
        <v>0</v>
      </c>
      <c r="N450" s="47">
        <v>0</v>
      </c>
      <c r="O450" s="47">
        <v>0</v>
      </c>
      <c r="P450" s="47">
        <v>0</v>
      </c>
      <c r="Q450" s="47">
        <f t="shared" si="58"/>
        <v>-1.3227600000000001E-2</v>
      </c>
      <c r="R450" s="47">
        <f t="shared" si="59"/>
        <v>0</v>
      </c>
      <c r="S450" s="48">
        <v>0</v>
      </c>
      <c r="T450" s="58" t="s">
        <v>48</v>
      </c>
    </row>
    <row r="451" spans="1:20" s="14" customFormat="1" x14ac:dyDescent="0.25">
      <c r="A451" s="44" t="s">
        <v>36</v>
      </c>
      <c r="B451" s="55" t="s">
        <v>467</v>
      </c>
      <c r="C451" s="46" t="s">
        <v>468</v>
      </c>
      <c r="D451" s="47">
        <v>0</v>
      </c>
      <c r="E451" s="47">
        <f>47925.03*1.2/1000000</f>
        <v>5.7510036E-2</v>
      </c>
      <c r="F451" s="47">
        <f t="shared" si="60"/>
        <v>-5.7510036E-2</v>
      </c>
      <c r="G451" s="47">
        <v>0</v>
      </c>
      <c r="H451" s="47">
        <f t="shared" si="61"/>
        <v>0</v>
      </c>
      <c r="I451" s="47">
        <v>0</v>
      </c>
      <c r="J451" s="47">
        <v>0</v>
      </c>
      <c r="K451" s="47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7">
        <f t="shared" si="58"/>
        <v>-5.7510036E-2</v>
      </c>
      <c r="R451" s="47">
        <f t="shared" si="59"/>
        <v>0</v>
      </c>
      <c r="S451" s="48">
        <v>0</v>
      </c>
      <c r="T451" s="58" t="s">
        <v>48</v>
      </c>
    </row>
    <row r="452" spans="1:20" s="14" customFormat="1" x14ac:dyDescent="0.25">
      <c r="A452" s="44" t="s">
        <v>36</v>
      </c>
      <c r="B452" s="55" t="s">
        <v>471</v>
      </c>
      <c r="C452" s="46" t="s">
        <v>472</v>
      </c>
      <c r="D452" s="47">
        <v>0</v>
      </c>
      <c r="E452" s="47">
        <f>295043.83*1.2/1000000</f>
        <v>0.354052596</v>
      </c>
      <c r="F452" s="47">
        <f t="shared" si="60"/>
        <v>-0.354052596</v>
      </c>
      <c r="G452" s="47">
        <v>0</v>
      </c>
      <c r="H452" s="47">
        <f t="shared" si="61"/>
        <v>0</v>
      </c>
      <c r="I452" s="47">
        <v>0</v>
      </c>
      <c r="J452" s="47">
        <v>0</v>
      </c>
      <c r="K452" s="47">
        <v>0</v>
      </c>
      <c r="L452" s="47">
        <v>0</v>
      </c>
      <c r="M452" s="47">
        <v>0</v>
      </c>
      <c r="N452" s="47">
        <v>0</v>
      </c>
      <c r="O452" s="47">
        <v>0</v>
      </c>
      <c r="P452" s="47">
        <v>0</v>
      </c>
      <c r="Q452" s="47">
        <f t="shared" si="58"/>
        <v>-0.354052596</v>
      </c>
      <c r="R452" s="47">
        <f t="shared" si="59"/>
        <v>0</v>
      </c>
      <c r="S452" s="48">
        <v>0</v>
      </c>
      <c r="T452" s="58" t="s">
        <v>48</v>
      </c>
    </row>
    <row r="453" spans="1:20" s="14" customFormat="1" ht="38.25" x14ac:dyDescent="0.25">
      <c r="A453" s="60" t="s">
        <v>36</v>
      </c>
      <c r="B453" s="73" t="s">
        <v>288</v>
      </c>
      <c r="C453" s="74" t="s">
        <v>289</v>
      </c>
      <c r="D453" s="47">
        <v>2.9265037932203386</v>
      </c>
      <c r="E453" s="47">
        <f>17872*1.2/1000000</f>
        <v>2.1446399999999997E-2</v>
      </c>
      <c r="F453" s="47">
        <f t="shared" si="60"/>
        <v>2.9050573932203387</v>
      </c>
      <c r="G453" s="47">
        <f t="shared" ref="G453:G463" si="66">I453+K453+M453+O453</f>
        <v>2.9265037932203386</v>
      </c>
      <c r="H453" s="47">
        <f t="shared" si="61"/>
        <v>1.9272475079999998</v>
      </c>
      <c r="I453" s="47">
        <v>0.20714561694915257</v>
      </c>
      <c r="J453" s="47">
        <v>0</v>
      </c>
      <c r="K453" s="47">
        <v>0</v>
      </c>
      <c r="L453" s="47">
        <v>0</v>
      </c>
      <c r="M453" s="47">
        <v>2.7193581762711863</v>
      </c>
      <c r="N453" s="47">
        <v>1.1381256000000001E-2</v>
      </c>
      <c r="O453" s="47">
        <v>0</v>
      </c>
      <c r="P453" s="47">
        <v>1.9158662519999998</v>
      </c>
      <c r="Q453" s="47">
        <f t="shared" si="58"/>
        <v>0.97780988522033896</v>
      </c>
      <c r="R453" s="47">
        <f t="shared" si="59"/>
        <v>-0.99925628522033882</v>
      </c>
      <c r="S453" s="48">
        <f t="shared" si="64"/>
        <v>-34.145053477643117</v>
      </c>
      <c r="T453" s="76" t="s">
        <v>987</v>
      </c>
    </row>
    <row r="454" spans="1:20" s="14" customFormat="1" ht="25.5" x14ac:dyDescent="0.25">
      <c r="A454" s="60" t="s">
        <v>36</v>
      </c>
      <c r="B454" s="73" t="s">
        <v>290</v>
      </c>
      <c r="C454" s="74" t="s">
        <v>291</v>
      </c>
      <c r="D454" s="47">
        <v>2.5826660999999995</v>
      </c>
      <c r="E454" s="47">
        <f>16862*1.2/1000000</f>
        <v>2.0234399999999996E-2</v>
      </c>
      <c r="F454" s="47">
        <f t="shared" si="60"/>
        <v>2.5624316999999994</v>
      </c>
      <c r="G454" s="47">
        <f t="shared" si="66"/>
        <v>2.5826660999999995</v>
      </c>
      <c r="H454" s="47">
        <f t="shared" si="61"/>
        <v>1.546795404</v>
      </c>
      <c r="I454" s="47">
        <v>0.17059926</v>
      </c>
      <c r="J454" s="47">
        <v>0</v>
      </c>
      <c r="K454" s="47">
        <v>2.4120668399999996</v>
      </c>
      <c r="L454" s="47">
        <v>0</v>
      </c>
      <c r="M454" s="47">
        <v>0</v>
      </c>
      <c r="N454" s="47">
        <v>3.1557120000000001E-2</v>
      </c>
      <c r="O454" s="47">
        <v>0</v>
      </c>
      <c r="P454" s="47">
        <v>1.515238284</v>
      </c>
      <c r="Q454" s="47">
        <f t="shared" si="58"/>
        <v>1.0156362959999994</v>
      </c>
      <c r="R454" s="47">
        <f t="shared" si="59"/>
        <v>-1.0358706959999995</v>
      </c>
      <c r="S454" s="48">
        <f t="shared" si="64"/>
        <v>-40.108579889595475</v>
      </c>
      <c r="T454" s="76" t="s">
        <v>987</v>
      </c>
    </row>
    <row r="455" spans="1:20" s="14" customFormat="1" ht="25.5" x14ac:dyDescent="0.25">
      <c r="A455" s="60" t="s">
        <v>36</v>
      </c>
      <c r="B455" s="73" t="s">
        <v>292</v>
      </c>
      <c r="C455" s="74" t="s">
        <v>293</v>
      </c>
      <c r="D455" s="47">
        <v>3.3359542559999995</v>
      </c>
      <c r="E455" s="47">
        <f>19947*1.2/1000000</f>
        <v>2.3936399999999997E-2</v>
      </c>
      <c r="F455" s="47">
        <f t="shared" si="60"/>
        <v>3.3120178559999993</v>
      </c>
      <c r="G455" s="47">
        <f t="shared" si="66"/>
        <v>3.3359542559999995</v>
      </c>
      <c r="H455" s="47">
        <f t="shared" si="61"/>
        <v>1.6955237639999998</v>
      </c>
      <c r="I455" s="47">
        <v>0.295893456</v>
      </c>
      <c r="J455" s="47">
        <v>0</v>
      </c>
      <c r="K455" s="47">
        <v>0</v>
      </c>
      <c r="L455" s="47">
        <v>0</v>
      </c>
      <c r="M455" s="47">
        <v>3.0400607999999996</v>
      </c>
      <c r="N455" s="47">
        <v>8.9999999999999993E-3</v>
      </c>
      <c r="O455" s="47">
        <v>0</v>
      </c>
      <c r="P455" s="47">
        <v>1.6865237639999999</v>
      </c>
      <c r="Q455" s="47">
        <f t="shared" si="58"/>
        <v>1.6164940919999995</v>
      </c>
      <c r="R455" s="47">
        <f t="shared" si="59"/>
        <v>-1.6404304919999997</v>
      </c>
      <c r="S455" s="48">
        <f t="shared" si="64"/>
        <v>-49.174250187919846</v>
      </c>
      <c r="T455" s="76" t="s">
        <v>987</v>
      </c>
    </row>
    <row r="456" spans="1:20" s="14" customFormat="1" ht="25.5" x14ac:dyDescent="0.25">
      <c r="A456" s="60" t="s">
        <v>36</v>
      </c>
      <c r="B456" s="73" t="s">
        <v>294</v>
      </c>
      <c r="C456" s="74" t="s">
        <v>295</v>
      </c>
      <c r="D456" s="47">
        <v>1.6634761313898305</v>
      </c>
      <c r="E456" s="47">
        <f>15096*1.2/1000000</f>
        <v>1.8115200000000001E-2</v>
      </c>
      <c r="F456" s="47">
        <f t="shared" si="60"/>
        <v>1.6453609313898305</v>
      </c>
      <c r="G456" s="47">
        <f t="shared" si="66"/>
        <v>1.6634761313898305</v>
      </c>
      <c r="H456" s="47">
        <f t="shared" si="61"/>
        <v>1.3744051800000001</v>
      </c>
      <c r="I456" s="47">
        <v>4.5255527999999996E-2</v>
      </c>
      <c r="J456" s="47">
        <v>2.9212319999999997E-3</v>
      </c>
      <c r="K456" s="47">
        <v>1.6182206033898305</v>
      </c>
      <c r="L456" s="47">
        <v>0</v>
      </c>
      <c r="M456" s="47">
        <v>0</v>
      </c>
      <c r="N456" s="47">
        <v>0</v>
      </c>
      <c r="O456" s="47">
        <v>0</v>
      </c>
      <c r="P456" s="47">
        <v>1.3714839480000001</v>
      </c>
      <c r="Q456" s="47">
        <f t="shared" si="58"/>
        <v>0.27095575138983041</v>
      </c>
      <c r="R456" s="47">
        <f t="shared" si="59"/>
        <v>-0.28907095138983041</v>
      </c>
      <c r="S456" s="48">
        <f t="shared" si="64"/>
        <v>-17.377523243950151</v>
      </c>
      <c r="T456" s="76" t="s">
        <v>987</v>
      </c>
    </row>
    <row r="457" spans="1:20" s="14" customFormat="1" ht="25.5" x14ac:dyDescent="0.25">
      <c r="A457" s="60" t="s">
        <v>36</v>
      </c>
      <c r="B457" s="73" t="s">
        <v>296</v>
      </c>
      <c r="C457" s="74" t="s">
        <v>297</v>
      </c>
      <c r="D457" s="47">
        <v>2.0733524635932241</v>
      </c>
      <c r="E457" s="47">
        <f>16777.46*1.2/1000000</f>
        <v>2.0132951999999999E-2</v>
      </c>
      <c r="F457" s="47">
        <f t="shared" si="60"/>
        <v>2.0532195115932241</v>
      </c>
      <c r="G457" s="47">
        <f t="shared" si="66"/>
        <v>2.0733524635932241</v>
      </c>
      <c r="H457" s="47">
        <f t="shared" si="61"/>
        <v>3.06019482</v>
      </c>
      <c r="I457" s="47">
        <v>4.5255527999999996E-2</v>
      </c>
      <c r="J457" s="47">
        <v>5.4000000000000001E-4</v>
      </c>
      <c r="K457" s="47">
        <v>0</v>
      </c>
      <c r="L457" s="47">
        <v>0</v>
      </c>
      <c r="M457" s="47">
        <v>2.0280969355932239</v>
      </c>
      <c r="N457" s="47">
        <v>0</v>
      </c>
      <c r="O457" s="47">
        <v>0</v>
      </c>
      <c r="P457" s="47">
        <v>3.05965482</v>
      </c>
      <c r="Q457" s="47">
        <f t="shared" si="58"/>
        <v>-1.0069753084067758</v>
      </c>
      <c r="R457" s="47">
        <f t="shared" si="59"/>
        <v>0.98684235640677587</v>
      </c>
      <c r="S457" s="48">
        <f t="shared" si="64"/>
        <v>47.596459055327642</v>
      </c>
      <c r="T457" s="76" t="s">
        <v>987</v>
      </c>
    </row>
    <row r="458" spans="1:20" s="14" customFormat="1" ht="25.5" x14ac:dyDescent="0.25">
      <c r="A458" s="60" t="s">
        <v>36</v>
      </c>
      <c r="B458" s="73" t="s">
        <v>298</v>
      </c>
      <c r="C458" s="74" t="s">
        <v>299</v>
      </c>
      <c r="D458" s="47">
        <v>1.6023574873220339</v>
      </c>
      <c r="E458" s="47">
        <f>14822*1.2/1000000</f>
        <v>1.7786399999999997E-2</v>
      </c>
      <c r="F458" s="47">
        <f t="shared" si="60"/>
        <v>1.5845710873220338</v>
      </c>
      <c r="G458" s="47">
        <f t="shared" si="66"/>
        <v>1.6023574873220339</v>
      </c>
      <c r="H458" s="47">
        <f t="shared" si="61"/>
        <v>0.85014876000000006</v>
      </c>
      <c r="I458" s="47">
        <v>4.5255527999999996E-2</v>
      </c>
      <c r="J458" s="47">
        <v>0</v>
      </c>
      <c r="K458" s="47">
        <v>0</v>
      </c>
      <c r="L458" s="47">
        <v>0</v>
      </c>
      <c r="M458" s="47">
        <v>1.5571019593220339</v>
      </c>
      <c r="N458" s="47">
        <v>0</v>
      </c>
      <c r="O458" s="47">
        <v>0</v>
      </c>
      <c r="P458" s="47">
        <v>0.85014876000000006</v>
      </c>
      <c r="Q458" s="47">
        <f t="shared" si="58"/>
        <v>0.73442232732203372</v>
      </c>
      <c r="R458" s="47">
        <f t="shared" si="59"/>
        <v>-0.75220872732203381</v>
      </c>
      <c r="S458" s="48">
        <f t="shared" si="64"/>
        <v>-46.943876960888112</v>
      </c>
      <c r="T458" s="76" t="s">
        <v>987</v>
      </c>
    </row>
    <row r="459" spans="1:20" s="14" customFormat="1" x14ac:dyDescent="0.25">
      <c r="A459" s="60" t="s">
        <v>36</v>
      </c>
      <c r="B459" s="73" t="s">
        <v>300</v>
      </c>
      <c r="C459" s="74" t="s">
        <v>301</v>
      </c>
      <c r="D459" s="47">
        <v>3.8180500080000002</v>
      </c>
      <c r="E459" s="47">
        <f>15223*1.2/1000000</f>
        <v>1.8267599999999998E-2</v>
      </c>
      <c r="F459" s="47">
        <f t="shared" si="60"/>
        <v>3.799782408</v>
      </c>
      <c r="G459" s="47">
        <f t="shared" si="66"/>
        <v>3.8180500080000002</v>
      </c>
      <c r="H459" s="47">
        <f t="shared" si="61"/>
        <v>3.9240959519999996</v>
      </c>
      <c r="I459" s="47">
        <v>0.14427105600000001</v>
      </c>
      <c r="J459" s="47">
        <v>0</v>
      </c>
      <c r="K459" s="47">
        <v>0</v>
      </c>
      <c r="L459" s="47">
        <v>2.9212319999999997E-3</v>
      </c>
      <c r="M459" s="47">
        <v>3.6737789520000002</v>
      </c>
      <c r="N459" s="47">
        <v>0</v>
      </c>
      <c r="O459" s="47">
        <v>0</v>
      </c>
      <c r="P459" s="47">
        <v>3.9211747199999998</v>
      </c>
      <c r="Q459" s="47">
        <f t="shared" si="58"/>
        <v>-0.12431354399999961</v>
      </c>
      <c r="R459" s="47">
        <f t="shared" si="59"/>
        <v>0.10604594399999945</v>
      </c>
      <c r="S459" s="48">
        <f t="shared" si="64"/>
        <v>2.7774896551328681</v>
      </c>
      <c r="T459" s="76" t="s">
        <v>48</v>
      </c>
    </row>
    <row r="460" spans="1:20" s="14" customFormat="1" ht="25.5" x14ac:dyDescent="0.25">
      <c r="A460" s="60" t="s">
        <v>36</v>
      </c>
      <c r="B460" s="73" t="s">
        <v>302</v>
      </c>
      <c r="C460" s="74" t="s">
        <v>303</v>
      </c>
      <c r="D460" s="47">
        <v>0.89285377830508494</v>
      </c>
      <c r="E460" s="47">
        <v>0</v>
      </c>
      <c r="F460" s="47">
        <f t="shared" si="60"/>
        <v>0.89285377830508494</v>
      </c>
      <c r="G460" s="47">
        <f t="shared" si="66"/>
        <v>0.89285377830508494</v>
      </c>
      <c r="H460" s="47">
        <f t="shared" si="61"/>
        <v>0.99556582800000004</v>
      </c>
      <c r="I460" s="47">
        <v>4.2855480000000008E-2</v>
      </c>
      <c r="J460" s="47">
        <v>0</v>
      </c>
      <c r="K460" s="47">
        <v>0</v>
      </c>
      <c r="L460" s="47">
        <v>0.22670129999999999</v>
      </c>
      <c r="M460" s="47">
        <v>0.84999829830508489</v>
      </c>
      <c r="N460" s="47">
        <v>0</v>
      </c>
      <c r="O460" s="47">
        <v>0</v>
      </c>
      <c r="P460" s="47">
        <v>0.76886452800000005</v>
      </c>
      <c r="Q460" s="47">
        <f t="shared" ref="Q460:Q503" si="67">F460-H460</f>
        <v>-0.1027120496949151</v>
      </c>
      <c r="R460" s="47">
        <f t="shared" ref="R460:R503" si="68">(J460+L460+N460+P460)-(I460+K460+M460+O460)</f>
        <v>0.1027120496949151</v>
      </c>
      <c r="S460" s="48">
        <f t="shared" ref="S460:S501" si="69">(J460+L460+N460+P460)/(I460+K460+M460+O460)*100-100</f>
        <v>11.503792915553831</v>
      </c>
      <c r="T460" s="76" t="s">
        <v>735</v>
      </c>
    </row>
    <row r="461" spans="1:20" s="14" customFormat="1" ht="25.5" x14ac:dyDescent="0.25">
      <c r="A461" s="60" t="s">
        <v>36</v>
      </c>
      <c r="B461" s="73" t="s">
        <v>304</v>
      </c>
      <c r="C461" s="74" t="s">
        <v>305</v>
      </c>
      <c r="D461" s="47">
        <v>0.89285377830508494</v>
      </c>
      <c r="E461" s="47">
        <f>15223*1.2/1000000</f>
        <v>1.8267599999999998E-2</v>
      </c>
      <c r="F461" s="47">
        <f t="shared" si="60"/>
        <v>0.87458617830508489</v>
      </c>
      <c r="G461" s="47">
        <f t="shared" si="66"/>
        <v>0.89285377830508494</v>
      </c>
      <c r="H461" s="47">
        <f t="shared" si="61"/>
        <v>0.68615907600000003</v>
      </c>
      <c r="I461" s="47">
        <v>4.2855480000000008E-2</v>
      </c>
      <c r="J461" s="47">
        <v>2.3812319999999996E-3</v>
      </c>
      <c r="K461" s="47">
        <v>0</v>
      </c>
      <c r="L461" s="47">
        <v>0</v>
      </c>
      <c r="M461" s="47">
        <v>0.84999829830508489</v>
      </c>
      <c r="N461" s="47">
        <v>0.68377784400000008</v>
      </c>
      <c r="O461" s="47">
        <v>0</v>
      </c>
      <c r="P461" s="47">
        <v>0</v>
      </c>
      <c r="Q461" s="47">
        <f t="shared" si="67"/>
        <v>0.18842710230508486</v>
      </c>
      <c r="R461" s="47">
        <f t="shared" si="68"/>
        <v>-0.20669470230508491</v>
      </c>
      <c r="S461" s="48">
        <f t="shared" si="69"/>
        <v>-23.149893893875429</v>
      </c>
      <c r="T461" s="76" t="s">
        <v>987</v>
      </c>
    </row>
    <row r="462" spans="1:20" s="14" customFormat="1" ht="25.5" x14ac:dyDescent="0.25">
      <c r="A462" s="60" t="s">
        <v>36</v>
      </c>
      <c r="B462" s="73" t="s">
        <v>306</v>
      </c>
      <c r="C462" s="74" t="s">
        <v>307</v>
      </c>
      <c r="D462" s="47">
        <v>0.89285377830508494</v>
      </c>
      <c r="E462" s="47">
        <f>15055*1.2/1000000</f>
        <v>1.8065999999999999E-2</v>
      </c>
      <c r="F462" s="47">
        <f t="shared" ref="F462:F503" si="70">D462-E462</f>
        <v>0.87478777830508492</v>
      </c>
      <c r="G462" s="47">
        <f t="shared" si="66"/>
        <v>0.89285377830508494</v>
      </c>
      <c r="H462" s="47">
        <f t="shared" si="61"/>
        <v>1.1039264039999999</v>
      </c>
      <c r="I462" s="47">
        <v>4.2855480000000008E-2</v>
      </c>
      <c r="J462" s="47">
        <v>0</v>
      </c>
      <c r="K462" s="47">
        <v>0</v>
      </c>
      <c r="L462" s="47">
        <v>0</v>
      </c>
      <c r="M462" s="47">
        <v>0.84999829830508489</v>
      </c>
      <c r="N462" s="47">
        <v>1.1039264039999999</v>
      </c>
      <c r="O462" s="47">
        <v>0</v>
      </c>
      <c r="P462" s="47">
        <v>0</v>
      </c>
      <c r="Q462" s="47">
        <f t="shared" si="67"/>
        <v>-0.22913862569491494</v>
      </c>
      <c r="R462" s="47">
        <f t="shared" si="68"/>
        <v>0.21107262569491492</v>
      </c>
      <c r="S462" s="48">
        <f t="shared" si="69"/>
        <v>23.640223161243341</v>
      </c>
      <c r="T462" s="76" t="s">
        <v>987</v>
      </c>
    </row>
    <row r="463" spans="1:20" s="14" customFormat="1" ht="25.5" x14ac:dyDescent="0.25">
      <c r="A463" s="60" t="s">
        <v>36</v>
      </c>
      <c r="B463" s="73" t="s">
        <v>308</v>
      </c>
      <c r="C463" s="74" t="s">
        <v>309</v>
      </c>
      <c r="D463" s="47">
        <v>1.1087001579661018</v>
      </c>
      <c r="E463" s="47">
        <f>15202*1.2/1000000</f>
        <v>1.8242399999999999E-2</v>
      </c>
      <c r="F463" s="47">
        <f t="shared" si="70"/>
        <v>1.0904577579661017</v>
      </c>
      <c r="G463" s="47">
        <f t="shared" si="66"/>
        <v>1.1087001579661018</v>
      </c>
      <c r="H463" s="47">
        <f t="shared" si="61"/>
        <v>0.84399303599999997</v>
      </c>
      <c r="I463" s="47">
        <v>4.2855480000000008E-2</v>
      </c>
      <c r="J463" s="47">
        <v>3.4012320000000001E-3</v>
      </c>
      <c r="K463" s="47">
        <v>0</v>
      </c>
      <c r="L463" s="47">
        <v>0</v>
      </c>
      <c r="M463" s="47">
        <v>1.0658446779661017</v>
      </c>
      <c r="N463" s="47">
        <v>0.840591804</v>
      </c>
      <c r="O463" s="47">
        <v>0</v>
      </c>
      <c r="P463" s="47">
        <v>0</v>
      </c>
      <c r="Q463" s="47">
        <f t="shared" si="67"/>
        <v>0.2464647219661017</v>
      </c>
      <c r="R463" s="47">
        <f t="shared" si="68"/>
        <v>-0.2647071219661018</v>
      </c>
      <c r="S463" s="48">
        <f t="shared" si="69"/>
        <v>-23.875447303236982</v>
      </c>
      <c r="T463" s="76" t="s">
        <v>987</v>
      </c>
    </row>
    <row r="464" spans="1:20" s="14" customFormat="1" ht="25.5" x14ac:dyDescent="0.25">
      <c r="A464" s="60" t="s">
        <v>36</v>
      </c>
      <c r="B464" s="73" t="s">
        <v>672</v>
      </c>
      <c r="C464" s="74" t="s">
        <v>310</v>
      </c>
      <c r="D464" s="47">
        <v>0</v>
      </c>
      <c r="E464" s="47">
        <v>2.1498E-2</v>
      </c>
      <c r="F464" s="47">
        <f t="shared" si="70"/>
        <v>-2.1498E-2</v>
      </c>
      <c r="G464" s="47">
        <v>0</v>
      </c>
      <c r="H464" s="47">
        <f t="shared" si="61"/>
        <v>0</v>
      </c>
      <c r="I464" s="47">
        <v>0</v>
      </c>
      <c r="J464" s="47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f t="shared" si="67"/>
        <v>-2.1498E-2</v>
      </c>
      <c r="R464" s="47">
        <f t="shared" si="68"/>
        <v>0</v>
      </c>
      <c r="S464" s="48">
        <v>0</v>
      </c>
      <c r="T464" s="76" t="s">
        <v>48</v>
      </c>
    </row>
    <row r="465" spans="1:20" s="14" customFormat="1" ht="25.5" x14ac:dyDescent="0.25">
      <c r="A465" s="60" t="s">
        <v>36</v>
      </c>
      <c r="B465" s="73" t="s">
        <v>311</v>
      </c>
      <c r="C465" s="74" t="s">
        <v>312</v>
      </c>
      <c r="D465" s="47">
        <v>1.4369650873220339</v>
      </c>
      <c r="E465" s="47">
        <f>15055*1.2/1000000</f>
        <v>1.8065999999999999E-2</v>
      </c>
      <c r="F465" s="47">
        <f t="shared" si="70"/>
        <v>1.418899087322034</v>
      </c>
      <c r="G465" s="47">
        <f t="shared" ref="G465:H480" si="71">I465+K465+M465+O465</f>
        <v>1.4369650873220339</v>
      </c>
      <c r="H465" s="47">
        <f t="shared" si="61"/>
        <v>1.0839489599999999</v>
      </c>
      <c r="I465" s="47">
        <v>4.5255527999999996E-2</v>
      </c>
      <c r="J465" s="47">
        <v>0</v>
      </c>
      <c r="K465" s="47">
        <v>0</v>
      </c>
      <c r="L465" s="47">
        <v>0</v>
      </c>
      <c r="M465" s="47">
        <v>1.3917095593220339</v>
      </c>
      <c r="N465" s="47">
        <v>0</v>
      </c>
      <c r="O465" s="47">
        <v>0</v>
      </c>
      <c r="P465" s="47">
        <f>903.2908*1.2/1000</f>
        <v>1.0839489599999999</v>
      </c>
      <c r="Q465" s="47">
        <f t="shared" si="67"/>
        <v>0.33495012732203411</v>
      </c>
      <c r="R465" s="47">
        <f t="shared" si="68"/>
        <v>-0.35301612732203402</v>
      </c>
      <c r="S465" s="48">
        <f t="shared" si="69"/>
        <v>-24.566785264068187</v>
      </c>
      <c r="T465" s="76" t="s">
        <v>736</v>
      </c>
    </row>
    <row r="466" spans="1:20" s="14" customFormat="1" ht="25.5" x14ac:dyDescent="0.25">
      <c r="A466" s="60" t="s">
        <v>36</v>
      </c>
      <c r="B466" s="73" t="s">
        <v>313</v>
      </c>
      <c r="C466" s="74" t="s">
        <v>291</v>
      </c>
      <c r="D466" s="47">
        <v>1.327445676</v>
      </c>
      <c r="E466" s="47">
        <f>30030.46*1.2/1000000</f>
        <v>3.6036551999999999E-2</v>
      </c>
      <c r="F466" s="47">
        <f t="shared" si="70"/>
        <v>1.2914091239999999</v>
      </c>
      <c r="G466" s="47">
        <f t="shared" si="71"/>
        <v>1.327445676</v>
      </c>
      <c r="H466" s="47">
        <f t="shared" si="71"/>
        <v>0.64278327600000007</v>
      </c>
      <c r="I466" s="47">
        <v>0.141993276</v>
      </c>
      <c r="J466" s="47">
        <v>0</v>
      </c>
      <c r="K466" s="47">
        <v>1.1854524</v>
      </c>
      <c r="L466" s="47">
        <v>0.64278327600000007</v>
      </c>
      <c r="M466" s="47">
        <v>0</v>
      </c>
      <c r="N466" s="47">
        <v>0</v>
      </c>
      <c r="O466" s="47">
        <v>0</v>
      </c>
      <c r="P466" s="47">
        <v>0</v>
      </c>
      <c r="Q466" s="47">
        <f t="shared" si="67"/>
        <v>0.64862584799999978</v>
      </c>
      <c r="R466" s="47">
        <f t="shared" si="68"/>
        <v>-0.68466239999999989</v>
      </c>
      <c r="S466" s="48">
        <f t="shared" si="69"/>
        <v>-51.57743268734712</v>
      </c>
      <c r="T466" s="76" t="s">
        <v>987</v>
      </c>
    </row>
    <row r="467" spans="1:20" s="14" customFormat="1" ht="51" x14ac:dyDescent="0.25">
      <c r="A467" s="60" t="s">
        <v>36</v>
      </c>
      <c r="B467" s="73" t="s">
        <v>314</v>
      </c>
      <c r="C467" s="74" t="s">
        <v>293</v>
      </c>
      <c r="D467" s="47">
        <v>4.5092570797244909</v>
      </c>
      <c r="E467" s="47">
        <v>0</v>
      </c>
      <c r="F467" s="47">
        <f t="shared" si="70"/>
        <v>4.5092570797244909</v>
      </c>
      <c r="G467" s="47">
        <f t="shared" si="71"/>
        <v>4.5092570797244909</v>
      </c>
      <c r="H467" s="47">
        <f t="shared" si="71"/>
        <v>0</v>
      </c>
      <c r="I467" s="47">
        <v>0.38260565999999996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4.1266514197244906</v>
      </c>
      <c r="P467" s="47">
        <v>0</v>
      </c>
      <c r="Q467" s="47">
        <f t="shared" si="67"/>
        <v>4.5092570797244909</v>
      </c>
      <c r="R467" s="47">
        <f t="shared" si="68"/>
        <v>-4.5092570797244909</v>
      </c>
      <c r="S467" s="48">
        <f t="shared" si="69"/>
        <v>-100</v>
      </c>
      <c r="T467" s="76" t="s">
        <v>737</v>
      </c>
    </row>
    <row r="468" spans="1:20" s="14" customFormat="1" ht="25.5" x14ac:dyDescent="0.25">
      <c r="A468" s="60" t="s">
        <v>36</v>
      </c>
      <c r="B468" s="61" t="s">
        <v>407</v>
      </c>
      <c r="C468" s="74" t="s">
        <v>942</v>
      </c>
      <c r="D468" s="47">
        <v>0</v>
      </c>
      <c r="E468" s="47">
        <v>0</v>
      </c>
      <c r="F468" s="47">
        <f t="shared" si="70"/>
        <v>0</v>
      </c>
      <c r="G468" s="47">
        <f t="shared" si="71"/>
        <v>0</v>
      </c>
      <c r="H468" s="47">
        <f t="shared" si="71"/>
        <v>4.2646860000000002E-2</v>
      </c>
      <c r="I468" s="47">
        <v>0</v>
      </c>
      <c r="J468" s="47">
        <v>4.2646860000000002E-2</v>
      </c>
      <c r="K468" s="47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7">
        <f t="shared" si="67"/>
        <v>-4.2646860000000002E-2</v>
      </c>
      <c r="R468" s="47">
        <f t="shared" si="68"/>
        <v>4.2646860000000002E-2</v>
      </c>
      <c r="S468" s="48">
        <v>100</v>
      </c>
      <c r="T468" s="58" t="s">
        <v>738</v>
      </c>
    </row>
    <row r="469" spans="1:20" s="14" customFormat="1" ht="60" customHeight="1" x14ac:dyDescent="0.25">
      <c r="A469" s="60" t="s">
        <v>36</v>
      </c>
      <c r="B469" s="61" t="s">
        <v>408</v>
      </c>
      <c r="C469" s="74" t="s">
        <v>943</v>
      </c>
      <c r="D469" s="47">
        <v>0</v>
      </c>
      <c r="E469" s="47">
        <v>0</v>
      </c>
      <c r="F469" s="47">
        <f t="shared" si="70"/>
        <v>0</v>
      </c>
      <c r="G469" s="47">
        <f t="shared" si="71"/>
        <v>0</v>
      </c>
      <c r="H469" s="47">
        <f t="shared" si="71"/>
        <v>0.15825282000000002</v>
      </c>
      <c r="I469" s="47">
        <v>0</v>
      </c>
      <c r="J469" s="47">
        <v>0.15825282000000002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f t="shared" si="67"/>
        <v>-0.15825282000000002</v>
      </c>
      <c r="R469" s="47">
        <f t="shared" si="68"/>
        <v>0.15825282000000002</v>
      </c>
      <c r="S469" s="48">
        <v>100</v>
      </c>
      <c r="T469" s="86" t="s">
        <v>991</v>
      </c>
    </row>
    <row r="470" spans="1:20" s="14" customFormat="1" ht="26.25" x14ac:dyDescent="0.25">
      <c r="A470" s="60" t="s">
        <v>36</v>
      </c>
      <c r="B470" s="61" t="s">
        <v>409</v>
      </c>
      <c r="C470" s="74" t="s">
        <v>944</v>
      </c>
      <c r="D470" s="47">
        <v>0</v>
      </c>
      <c r="E470" s="47">
        <v>0</v>
      </c>
      <c r="F470" s="47">
        <f t="shared" si="70"/>
        <v>0</v>
      </c>
      <c r="G470" s="47">
        <f t="shared" si="71"/>
        <v>0</v>
      </c>
      <c r="H470" s="47">
        <f t="shared" si="71"/>
        <v>0.81072693600000001</v>
      </c>
      <c r="I470" s="47">
        <v>0</v>
      </c>
      <c r="J470" s="47">
        <v>0.72747483600000007</v>
      </c>
      <c r="K470" s="47">
        <v>0</v>
      </c>
      <c r="L470" s="47">
        <v>8.3252099999999996E-2</v>
      </c>
      <c r="M470" s="47">
        <v>0</v>
      </c>
      <c r="N470" s="47">
        <v>0</v>
      </c>
      <c r="O470" s="47">
        <v>0</v>
      </c>
      <c r="P470" s="47">
        <v>0</v>
      </c>
      <c r="Q470" s="47">
        <f t="shared" si="67"/>
        <v>-0.81072693600000001</v>
      </c>
      <c r="R470" s="47">
        <f t="shared" si="68"/>
        <v>0.81072693600000001</v>
      </c>
      <c r="S470" s="48">
        <v>100</v>
      </c>
      <c r="T470" s="87"/>
    </row>
    <row r="471" spans="1:20" s="14" customFormat="1" x14ac:dyDescent="0.25">
      <c r="A471" s="60" t="s">
        <v>36</v>
      </c>
      <c r="B471" s="61" t="s">
        <v>949</v>
      </c>
      <c r="C471" s="74" t="s">
        <v>945</v>
      </c>
      <c r="D471" s="47">
        <v>0</v>
      </c>
      <c r="E471" s="47"/>
      <c r="F471" s="47">
        <f t="shared" si="70"/>
        <v>0</v>
      </c>
      <c r="G471" s="47">
        <v>0</v>
      </c>
      <c r="H471" s="47">
        <f t="shared" si="71"/>
        <v>4.7627999999999997E-2</v>
      </c>
      <c r="I471" s="47"/>
      <c r="J471" s="47">
        <v>2.3645999999999997E-2</v>
      </c>
      <c r="K471" s="47"/>
      <c r="L471" s="47"/>
      <c r="M471" s="47"/>
      <c r="N471" s="47"/>
      <c r="O471" s="47">
        <v>0</v>
      </c>
      <c r="P471" s="47">
        <v>2.3982E-2</v>
      </c>
      <c r="Q471" s="47">
        <f t="shared" si="67"/>
        <v>-4.7627999999999997E-2</v>
      </c>
      <c r="R471" s="47">
        <f t="shared" si="68"/>
        <v>4.7627999999999997E-2</v>
      </c>
      <c r="S471" s="48">
        <v>0</v>
      </c>
      <c r="T471" s="87"/>
    </row>
    <row r="472" spans="1:20" s="14" customFormat="1" x14ac:dyDescent="0.25">
      <c r="A472" s="60" t="s">
        <v>36</v>
      </c>
      <c r="B472" s="61" t="s">
        <v>329</v>
      </c>
      <c r="C472" s="74" t="s">
        <v>946</v>
      </c>
      <c r="D472" s="47">
        <v>0</v>
      </c>
      <c r="E472" s="47">
        <v>0</v>
      </c>
      <c r="F472" s="47">
        <f t="shared" si="70"/>
        <v>0</v>
      </c>
      <c r="G472" s="47">
        <v>0</v>
      </c>
      <c r="H472" s="47">
        <f t="shared" si="71"/>
        <v>0.11237787600000002</v>
      </c>
      <c r="I472" s="47">
        <v>0</v>
      </c>
      <c r="J472" s="47">
        <v>0.10787787600000001</v>
      </c>
      <c r="K472" s="47">
        <v>0</v>
      </c>
      <c r="L472" s="47">
        <v>0</v>
      </c>
      <c r="M472" s="47">
        <v>0</v>
      </c>
      <c r="N472" s="47">
        <v>4.4999999999999997E-3</v>
      </c>
      <c r="O472" s="47">
        <v>0</v>
      </c>
      <c r="P472" s="47">
        <v>0</v>
      </c>
      <c r="Q472" s="47">
        <f t="shared" si="67"/>
        <v>-0.11237787600000002</v>
      </c>
      <c r="R472" s="47">
        <f t="shared" si="68"/>
        <v>0.11237787600000002</v>
      </c>
      <c r="S472" s="48">
        <v>100</v>
      </c>
      <c r="T472" s="87"/>
    </row>
    <row r="473" spans="1:20" s="14" customFormat="1" x14ac:dyDescent="0.25">
      <c r="A473" s="60" t="s">
        <v>36</v>
      </c>
      <c r="B473" s="61" t="s">
        <v>330</v>
      </c>
      <c r="C473" s="74" t="s">
        <v>947</v>
      </c>
      <c r="D473" s="47">
        <v>0</v>
      </c>
      <c r="E473" s="47"/>
      <c r="F473" s="47">
        <f t="shared" si="70"/>
        <v>0</v>
      </c>
      <c r="G473" s="47">
        <v>0</v>
      </c>
      <c r="H473" s="47">
        <f t="shared" si="71"/>
        <v>5.6492472000000002E-2</v>
      </c>
      <c r="I473" s="47"/>
      <c r="J473" s="47">
        <v>5.6492472000000002E-2</v>
      </c>
      <c r="K473" s="47"/>
      <c r="L473" s="47"/>
      <c r="M473" s="47"/>
      <c r="N473" s="47"/>
      <c r="O473" s="47">
        <v>0</v>
      </c>
      <c r="P473" s="47">
        <v>0</v>
      </c>
      <c r="Q473" s="47">
        <f t="shared" si="67"/>
        <v>-5.6492472000000002E-2</v>
      </c>
      <c r="R473" s="47">
        <f t="shared" si="68"/>
        <v>5.6492472000000002E-2</v>
      </c>
      <c r="S473" s="48">
        <v>0</v>
      </c>
      <c r="T473" s="87"/>
    </row>
    <row r="474" spans="1:20" s="14" customFormat="1" x14ac:dyDescent="0.25">
      <c r="A474" s="60" t="s">
        <v>36</v>
      </c>
      <c r="B474" s="61" t="s">
        <v>331</v>
      </c>
      <c r="C474" s="74" t="s">
        <v>948</v>
      </c>
      <c r="D474" s="47">
        <v>0</v>
      </c>
      <c r="E474" s="47">
        <v>0</v>
      </c>
      <c r="F474" s="47">
        <f t="shared" si="70"/>
        <v>0</v>
      </c>
      <c r="G474" s="47">
        <v>0</v>
      </c>
      <c r="H474" s="47">
        <f t="shared" si="71"/>
        <v>6.1186871999999989E-2</v>
      </c>
      <c r="I474" s="47">
        <v>0</v>
      </c>
      <c r="J474" s="47">
        <v>5.1785639999999994E-2</v>
      </c>
      <c r="K474" s="47">
        <v>0</v>
      </c>
      <c r="L474" s="47">
        <v>3.4012319999999997E-3</v>
      </c>
      <c r="M474" s="47">
        <v>0</v>
      </c>
      <c r="N474" s="47">
        <v>0</v>
      </c>
      <c r="O474" s="47">
        <v>0</v>
      </c>
      <c r="P474" s="47">
        <v>6.0000000000000001E-3</v>
      </c>
      <c r="Q474" s="47">
        <f t="shared" si="67"/>
        <v>-6.1186871999999989E-2</v>
      </c>
      <c r="R474" s="47">
        <f t="shared" si="68"/>
        <v>6.1186871999999989E-2</v>
      </c>
      <c r="S474" s="48">
        <v>100</v>
      </c>
      <c r="T474" s="87"/>
    </row>
    <row r="475" spans="1:20" s="14" customFormat="1" ht="26.25" x14ac:dyDescent="0.25">
      <c r="A475" s="60" t="s">
        <v>36</v>
      </c>
      <c r="B475" s="61" t="s">
        <v>710</v>
      </c>
      <c r="C475" s="74" t="s">
        <v>950</v>
      </c>
      <c r="D475" s="47">
        <v>0</v>
      </c>
      <c r="E475" s="47">
        <v>0</v>
      </c>
      <c r="F475" s="47">
        <f t="shared" si="70"/>
        <v>0</v>
      </c>
      <c r="G475" s="47">
        <v>0</v>
      </c>
      <c r="H475" s="47">
        <f t="shared" si="71"/>
        <v>0.14518731599999998</v>
      </c>
      <c r="I475" s="47">
        <v>0</v>
      </c>
      <c r="J475" s="47">
        <v>2.9212319999999997E-3</v>
      </c>
      <c r="K475" s="47">
        <v>0</v>
      </c>
      <c r="L475" s="47">
        <v>0</v>
      </c>
      <c r="M475" s="47">
        <v>0</v>
      </c>
      <c r="N475" s="47">
        <v>0.14226608399999999</v>
      </c>
      <c r="O475" s="47">
        <v>0</v>
      </c>
      <c r="P475" s="47">
        <v>0</v>
      </c>
      <c r="Q475" s="47">
        <f t="shared" si="67"/>
        <v>-0.14518731599999998</v>
      </c>
      <c r="R475" s="47">
        <f t="shared" si="68"/>
        <v>0.14518731599999998</v>
      </c>
      <c r="S475" s="48">
        <v>100</v>
      </c>
      <c r="T475" s="87"/>
    </row>
    <row r="476" spans="1:20" s="14" customFormat="1" ht="26.25" x14ac:dyDescent="0.25">
      <c r="A476" s="60" t="s">
        <v>36</v>
      </c>
      <c r="B476" s="61" t="s">
        <v>711</v>
      </c>
      <c r="C476" s="74" t="s">
        <v>951</v>
      </c>
      <c r="D476" s="47">
        <v>0</v>
      </c>
      <c r="E476" s="47">
        <v>0</v>
      </c>
      <c r="F476" s="47">
        <f t="shared" si="70"/>
        <v>0</v>
      </c>
      <c r="G476" s="47">
        <v>0</v>
      </c>
      <c r="H476" s="47">
        <f t="shared" si="71"/>
        <v>8.1973752000000011E-2</v>
      </c>
      <c r="I476" s="47">
        <v>0</v>
      </c>
      <c r="J476" s="47">
        <v>0</v>
      </c>
      <c r="K476" s="47">
        <v>0</v>
      </c>
      <c r="L476" s="47">
        <v>4.6382316E-2</v>
      </c>
      <c r="M476" s="47">
        <v>0</v>
      </c>
      <c r="N476" s="47">
        <v>3.5591436000000004E-2</v>
      </c>
      <c r="O476" s="47">
        <v>0</v>
      </c>
      <c r="P476" s="47">
        <v>0</v>
      </c>
      <c r="Q476" s="47">
        <f t="shared" si="67"/>
        <v>-8.1973752000000011E-2</v>
      </c>
      <c r="R476" s="47">
        <f t="shared" si="68"/>
        <v>8.1973752000000011E-2</v>
      </c>
      <c r="S476" s="48">
        <v>100</v>
      </c>
      <c r="T476" s="87"/>
    </row>
    <row r="477" spans="1:20" s="14" customFormat="1" ht="26.25" x14ac:dyDescent="0.25">
      <c r="A477" s="60" t="s">
        <v>36</v>
      </c>
      <c r="B477" s="61" t="s">
        <v>618</v>
      </c>
      <c r="C477" s="74" t="s">
        <v>952</v>
      </c>
      <c r="D477" s="47">
        <v>0</v>
      </c>
      <c r="E477" s="47">
        <v>0</v>
      </c>
      <c r="F477" s="47">
        <f t="shared" si="70"/>
        <v>0</v>
      </c>
      <c r="G477" s="47">
        <v>0</v>
      </c>
      <c r="H477" s="47">
        <f t="shared" si="71"/>
        <v>5.3022827999999994E-2</v>
      </c>
      <c r="I477" s="47">
        <v>0</v>
      </c>
      <c r="J477" s="47">
        <v>0</v>
      </c>
      <c r="K477" s="47">
        <v>0</v>
      </c>
      <c r="L477" s="47">
        <v>5.3022827999999994E-2</v>
      </c>
      <c r="M477" s="47">
        <v>0</v>
      </c>
      <c r="N477" s="47">
        <v>0</v>
      </c>
      <c r="O477" s="47">
        <v>0</v>
      </c>
      <c r="P477" s="47">
        <v>0</v>
      </c>
      <c r="Q477" s="47">
        <f t="shared" si="67"/>
        <v>-5.3022827999999994E-2</v>
      </c>
      <c r="R477" s="47">
        <f t="shared" si="68"/>
        <v>5.3022827999999994E-2</v>
      </c>
      <c r="S477" s="48">
        <v>100</v>
      </c>
      <c r="T477" s="87"/>
    </row>
    <row r="478" spans="1:20" s="14" customFormat="1" ht="26.25" x14ac:dyDescent="0.25">
      <c r="A478" s="60" t="s">
        <v>36</v>
      </c>
      <c r="B478" s="61" t="s">
        <v>619</v>
      </c>
      <c r="C478" s="74" t="s">
        <v>953</v>
      </c>
      <c r="D478" s="47">
        <v>0</v>
      </c>
      <c r="E478" s="47">
        <v>0</v>
      </c>
      <c r="F478" s="47">
        <f t="shared" si="70"/>
        <v>0</v>
      </c>
      <c r="G478" s="47">
        <v>0</v>
      </c>
      <c r="H478" s="47">
        <f t="shared" si="71"/>
        <v>0.1693326</v>
      </c>
      <c r="I478" s="47">
        <v>0</v>
      </c>
      <c r="J478" s="47">
        <v>0</v>
      </c>
      <c r="K478" s="47">
        <v>0</v>
      </c>
      <c r="L478" s="47">
        <v>0.1693326</v>
      </c>
      <c r="M478" s="47">
        <v>0</v>
      </c>
      <c r="N478" s="47">
        <v>0</v>
      </c>
      <c r="O478" s="47">
        <v>0</v>
      </c>
      <c r="P478" s="47">
        <v>0</v>
      </c>
      <c r="Q478" s="47">
        <f t="shared" si="67"/>
        <v>-0.1693326</v>
      </c>
      <c r="R478" s="47">
        <f t="shared" si="68"/>
        <v>0.1693326</v>
      </c>
      <c r="S478" s="48">
        <v>100</v>
      </c>
      <c r="T478" s="87"/>
    </row>
    <row r="479" spans="1:20" s="14" customFormat="1" ht="26.25" x14ac:dyDescent="0.25">
      <c r="A479" s="53" t="s">
        <v>36</v>
      </c>
      <c r="B479" s="61" t="s">
        <v>620</v>
      </c>
      <c r="C479" s="74" t="s">
        <v>954</v>
      </c>
      <c r="D479" s="47">
        <v>0</v>
      </c>
      <c r="E479" s="47">
        <v>0</v>
      </c>
      <c r="F479" s="47">
        <f t="shared" si="70"/>
        <v>0</v>
      </c>
      <c r="G479" s="47">
        <v>0</v>
      </c>
      <c r="H479" s="47">
        <f t="shared" si="71"/>
        <v>6.4918751999999996E-2</v>
      </c>
      <c r="I479" s="47">
        <v>0</v>
      </c>
      <c r="J479" s="47">
        <v>0</v>
      </c>
      <c r="K479" s="47">
        <v>0</v>
      </c>
      <c r="L479" s="47">
        <v>6.4918751999999996E-2</v>
      </c>
      <c r="M479" s="47">
        <v>0</v>
      </c>
      <c r="N479" s="47">
        <v>0</v>
      </c>
      <c r="O479" s="47">
        <v>0</v>
      </c>
      <c r="P479" s="47">
        <v>0</v>
      </c>
      <c r="Q479" s="47">
        <f t="shared" si="67"/>
        <v>-6.4918751999999996E-2</v>
      </c>
      <c r="R479" s="47">
        <f t="shared" si="68"/>
        <v>6.4918751999999996E-2</v>
      </c>
      <c r="S479" s="48">
        <v>100</v>
      </c>
      <c r="T479" s="88"/>
    </row>
    <row r="480" spans="1:20" s="14" customFormat="1" ht="26.25" x14ac:dyDescent="0.25">
      <c r="A480" s="53" t="s">
        <v>36</v>
      </c>
      <c r="B480" s="61" t="s">
        <v>621</v>
      </c>
      <c r="C480" s="74" t="s">
        <v>955</v>
      </c>
      <c r="D480" s="47">
        <v>0</v>
      </c>
      <c r="E480" s="47">
        <v>0</v>
      </c>
      <c r="F480" s="47">
        <f t="shared" si="70"/>
        <v>0</v>
      </c>
      <c r="G480" s="47">
        <v>0</v>
      </c>
      <c r="H480" s="47">
        <f t="shared" si="71"/>
        <v>0.108826692</v>
      </c>
      <c r="I480" s="47">
        <v>0</v>
      </c>
      <c r="J480" s="47">
        <v>0</v>
      </c>
      <c r="K480" s="47">
        <v>0</v>
      </c>
      <c r="L480" s="47">
        <v>0.108826692</v>
      </c>
      <c r="M480" s="47">
        <v>0</v>
      </c>
      <c r="N480" s="47">
        <v>0</v>
      </c>
      <c r="O480" s="47">
        <v>0</v>
      </c>
      <c r="P480" s="47">
        <v>0</v>
      </c>
      <c r="Q480" s="47">
        <f t="shared" si="67"/>
        <v>-0.108826692</v>
      </c>
      <c r="R480" s="47">
        <f t="shared" si="68"/>
        <v>0.108826692</v>
      </c>
      <c r="S480" s="48">
        <v>100</v>
      </c>
      <c r="T480" s="58" t="s">
        <v>730</v>
      </c>
    </row>
    <row r="481" spans="1:20" s="14" customFormat="1" ht="26.25" x14ac:dyDescent="0.25">
      <c r="A481" s="53" t="s">
        <v>36</v>
      </c>
      <c r="B481" s="61" t="s">
        <v>622</v>
      </c>
      <c r="C481" s="74" t="s">
        <v>956</v>
      </c>
      <c r="D481" s="47">
        <v>0</v>
      </c>
      <c r="E481" s="47">
        <v>0</v>
      </c>
      <c r="F481" s="47">
        <f t="shared" si="70"/>
        <v>0</v>
      </c>
      <c r="G481" s="47">
        <v>0</v>
      </c>
      <c r="H481" s="47">
        <f t="shared" ref="H481:H503" si="72">J481+L481+N481+P481</f>
        <v>9.1762884000000003E-2</v>
      </c>
      <c r="I481" s="47">
        <v>0</v>
      </c>
      <c r="J481" s="47">
        <v>0</v>
      </c>
      <c r="K481" s="47">
        <v>0</v>
      </c>
      <c r="L481" s="47">
        <v>9.1762884000000003E-2</v>
      </c>
      <c r="M481" s="47">
        <v>0</v>
      </c>
      <c r="N481" s="47">
        <v>0</v>
      </c>
      <c r="O481" s="47">
        <v>0</v>
      </c>
      <c r="P481" s="47">
        <v>0</v>
      </c>
      <c r="Q481" s="47">
        <f t="shared" si="67"/>
        <v>-9.1762884000000003E-2</v>
      </c>
      <c r="R481" s="47">
        <f t="shared" si="68"/>
        <v>9.1762884000000003E-2</v>
      </c>
      <c r="S481" s="48">
        <v>100</v>
      </c>
      <c r="T481" s="58" t="s">
        <v>739</v>
      </c>
    </row>
    <row r="482" spans="1:20" s="14" customFormat="1" ht="38.25" x14ac:dyDescent="0.25">
      <c r="A482" s="53" t="s">
        <v>36</v>
      </c>
      <c r="B482" s="61" t="s">
        <v>623</v>
      </c>
      <c r="C482" s="74" t="s">
        <v>957</v>
      </c>
      <c r="D482" s="47">
        <v>0</v>
      </c>
      <c r="E482" s="47">
        <v>0</v>
      </c>
      <c r="F482" s="47">
        <f t="shared" si="70"/>
        <v>0</v>
      </c>
      <c r="G482" s="47">
        <v>0</v>
      </c>
      <c r="H482" s="47">
        <f t="shared" si="72"/>
        <v>0.332899632</v>
      </c>
      <c r="I482" s="47">
        <v>0</v>
      </c>
      <c r="J482" s="47">
        <f>48.745/1000*1.2</f>
        <v>5.849399999999999E-2</v>
      </c>
      <c r="K482" s="47">
        <v>0</v>
      </c>
      <c r="L482" s="47">
        <v>0.27440563200000001</v>
      </c>
      <c r="M482" s="47">
        <v>0</v>
      </c>
      <c r="N482" s="47">
        <v>0</v>
      </c>
      <c r="O482" s="47">
        <v>0</v>
      </c>
      <c r="P482" s="47">
        <v>0</v>
      </c>
      <c r="Q482" s="47">
        <f t="shared" si="67"/>
        <v>-0.332899632</v>
      </c>
      <c r="R482" s="47">
        <f t="shared" si="68"/>
        <v>0.332899632</v>
      </c>
      <c r="S482" s="48">
        <v>100</v>
      </c>
      <c r="T482" s="58" t="s">
        <v>417</v>
      </c>
    </row>
    <row r="483" spans="1:20" s="14" customFormat="1" ht="38.25" x14ac:dyDescent="0.25">
      <c r="A483" s="53" t="s">
        <v>36</v>
      </c>
      <c r="B483" s="61" t="s">
        <v>624</v>
      </c>
      <c r="C483" s="74" t="s">
        <v>958</v>
      </c>
      <c r="D483" s="47">
        <v>0</v>
      </c>
      <c r="E483" s="47">
        <v>0</v>
      </c>
      <c r="F483" s="47">
        <f t="shared" si="70"/>
        <v>0</v>
      </c>
      <c r="G483" s="47">
        <v>0</v>
      </c>
      <c r="H483" s="47">
        <f t="shared" si="72"/>
        <v>0.10906936799999997</v>
      </c>
      <c r="I483" s="47">
        <v>0</v>
      </c>
      <c r="J483" s="47">
        <f>18.195/1000*1.2</f>
        <v>2.1833999999999999E-2</v>
      </c>
      <c r="K483" s="47">
        <v>0</v>
      </c>
      <c r="L483" s="47">
        <v>8.723536799999998E-2</v>
      </c>
      <c r="M483" s="47">
        <v>0</v>
      </c>
      <c r="N483" s="47">
        <v>0</v>
      </c>
      <c r="O483" s="47">
        <v>0</v>
      </c>
      <c r="P483" s="47">
        <v>0</v>
      </c>
      <c r="Q483" s="47">
        <f t="shared" si="67"/>
        <v>-0.10906936799999997</v>
      </c>
      <c r="R483" s="47">
        <f t="shared" si="68"/>
        <v>0.10906936799999997</v>
      </c>
      <c r="S483" s="48">
        <v>100</v>
      </c>
      <c r="T483" s="58" t="s">
        <v>417</v>
      </c>
    </row>
    <row r="484" spans="1:20" s="14" customFormat="1" ht="38.25" x14ac:dyDescent="0.25">
      <c r="A484" s="53" t="s">
        <v>36</v>
      </c>
      <c r="B484" s="61" t="s">
        <v>625</v>
      </c>
      <c r="C484" s="74" t="s">
        <v>959</v>
      </c>
      <c r="D484" s="47">
        <v>0</v>
      </c>
      <c r="E484" s="47">
        <v>0</v>
      </c>
      <c r="F484" s="47">
        <f t="shared" si="70"/>
        <v>0</v>
      </c>
      <c r="G484" s="47">
        <v>0</v>
      </c>
      <c r="H484" s="47">
        <f t="shared" si="72"/>
        <v>0.18424992000000001</v>
      </c>
      <c r="I484" s="47">
        <v>0</v>
      </c>
      <c r="J484" s="47">
        <f>23.477/1000*1.2</f>
        <v>2.81724E-2</v>
      </c>
      <c r="K484" s="47">
        <v>0</v>
      </c>
      <c r="L484" s="47">
        <v>0.15607752</v>
      </c>
      <c r="M484" s="47">
        <v>0</v>
      </c>
      <c r="N484" s="47">
        <v>0</v>
      </c>
      <c r="O484" s="47">
        <v>0</v>
      </c>
      <c r="P484" s="47">
        <v>0</v>
      </c>
      <c r="Q484" s="47">
        <f t="shared" si="67"/>
        <v>-0.18424992000000001</v>
      </c>
      <c r="R484" s="47">
        <f t="shared" si="68"/>
        <v>0.18424992000000001</v>
      </c>
      <c r="S484" s="48">
        <v>100</v>
      </c>
      <c r="T484" s="58" t="s">
        <v>417</v>
      </c>
    </row>
    <row r="485" spans="1:20" s="14" customFormat="1" ht="38.25" x14ac:dyDescent="0.25">
      <c r="A485" s="53" t="s">
        <v>36</v>
      </c>
      <c r="B485" s="61" t="s">
        <v>626</v>
      </c>
      <c r="C485" s="74" t="s">
        <v>960</v>
      </c>
      <c r="D485" s="47">
        <v>0</v>
      </c>
      <c r="E485" s="47">
        <v>0</v>
      </c>
      <c r="F485" s="47">
        <f t="shared" si="70"/>
        <v>0</v>
      </c>
      <c r="G485" s="47">
        <v>0</v>
      </c>
      <c r="H485" s="47">
        <f t="shared" si="72"/>
        <v>0.18424992000000001</v>
      </c>
      <c r="I485" s="47">
        <v>0</v>
      </c>
      <c r="J485" s="47">
        <f>23.477/1000*1.2</f>
        <v>2.81724E-2</v>
      </c>
      <c r="K485" s="47">
        <v>0</v>
      </c>
      <c r="L485" s="47">
        <v>0.15607752</v>
      </c>
      <c r="M485" s="47">
        <v>0</v>
      </c>
      <c r="N485" s="47">
        <v>0</v>
      </c>
      <c r="O485" s="47">
        <v>0</v>
      </c>
      <c r="P485" s="47">
        <v>0</v>
      </c>
      <c r="Q485" s="47">
        <f t="shared" si="67"/>
        <v>-0.18424992000000001</v>
      </c>
      <c r="R485" s="47">
        <f t="shared" si="68"/>
        <v>0.18424992000000001</v>
      </c>
      <c r="S485" s="48">
        <v>100</v>
      </c>
      <c r="T485" s="58" t="s">
        <v>417</v>
      </c>
    </row>
    <row r="486" spans="1:20" s="14" customFormat="1" ht="38.25" x14ac:dyDescent="0.25">
      <c r="A486" s="53" t="s">
        <v>36</v>
      </c>
      <c r="B486" s="61" t="s">
        <v>627</v>
      </c>
      <c r="C486" s="74" t="s">
        <v>961</v>
      </c>
      <c r="D486" s="47">
        <v>0</v>
      </c>
      <c r="E486" s="47">
        <v>0</v>
      </c>
      <c r="F486" s="47">
        <f t="shared" si="70"/>
        <v>0</v>
      </c>
      <c r="G486" s="47">
        <v>0</v>
      </c>
      <c r="H486" s="47">
        <f t="shared" si="72"/>
        <v>0.14074355999999999</v>
      </c>
      <c r="I486" s="47">
        <v>0</v>
      </c>
      <c r="J486" s="47">
        <f>20.543/1000*1.2</f>
        <v>2.4651599999999999E-2</v>
      </c>
      <c r="K486" s="47">
        <v>0</v>
      </c>
      <c r="L486" s="47">
        <v>0.11609195999999999</v>
      </c>
      <c r="M486" s="47">
        <v>0</v>
      </c>
      <c r="N486" s="47">
        <v>0</v>
      </c>
      <c r="O486" s="47">
        <v>0</v>
      </c>
      <c r="P486" s="47">
        <v>0</v>
      </c>
      <c r="Q486" s="47">
        <f t="shared" si="67"/>
        <v>-0.14074355999999999</v>
      </c>
      <c r="R486" s="47">
        <f t="shared" si="68"/>
        <v>0.14074355999999999</v>
      </c>
      <c r="S486" s="48">
        <v>100</v>
      </c>
      <c r="T486" s="58" t="s">
        <v>417</v>
      </c>
    </row>
    <row r="487" spans="1:20" s="14" customFormat="1" ht="38.25" x14ac:dyDescent="0.25">
      <c r="A487" s="53" t="s">
        <v>36</v>
      </c>
      <c r="B487" s="61" t="s">
        <v>628</v>
      </c>
      <c r="C487" s="74" t="s">
        <v>962</v>
      </c>
      <c r="D487" s="47">
        <v>0</v>
      </c>
      <c r="E487" s="47">
        <v>0</v>
      </c>
      <c r="F487" s="47">
        <f t="shared" si="70"/>
        <v>0</v>
      </c>
      <c r="G487" s="47">
        <v>0</v>
      </c>
      <c r="H487" s="47">
        <f t="shared" si="72"/>
        <v>0.17324743200000001</v>
      </c>
      <c r="I487" s="47">
        <v>0</v>
      </c>
      <c r="J487" s="47">
        <f>14.30826/1000*1.2</f>
        <v>1.7169912000000002E-2</v>
      </c>
      <c r="K487" s="47">
        <v>0</v>
      </c>
      <c r="L487" s="47">
        <v>0.15607752</v>
      </c>
      <c r="M487" s="47">
        <v>0</v>
      </c>
      <c r="N487" s="47">
        <v>0</v>
      </c>
      <c r="O487" s="47">
        <v>0</v>
      </c>
      <c r="P487" s="47">
        <v>0</v>
      </c>
      <c r="Q487" s="47">
        <f t="shared" si="67"/>
        <v>-0.17324743200000001</v>
      </c>
      <c r="R487" s="47">
        <f t="shared" si="68"/>
        <v>0.17324743200000001</v>
      </c>
      <c r="S487" s="48">
        <v>100</v>
      </c>
      <c r="T487" s="58" t="s">
        <v>417</v>
      </c>
    </row>
    <row r="488" spans="1:20" s="14" customFormat="1" ht="38.25" x14ac:dyDescent="0.25">
      <c r="A488" s="53" t="s">
        <v>36</v>
      </c>
      <c r="B488" s="61" t="s">
        <v>630</v>
      </c>
      <c r="C488" s="74" t="s">
        <v>963</v>
      </c>
      <c r="D488" s="47">
        <v>0</v>
      </c>
      <c r="E488" s="47">
        <v>0</v>
      </c>
      <c r="F488" s="47">
        <f t="shared" si="70"/>
        <v>0</v>
      </c>
      <c r="G488" s="47">
        <v>0</v>
      </c>
      <c r="H488" s="47">
        <f t="shared" si="72"/>
        <v>0.46653532799999997</v>
      </c>
      <c r="I488" s="47">
        <v>0</v>
      </c>
      <c r="J488" s="47">
        <v>0</v>
      </c>
      <c r="K488" s="47">
        <v>0</v>
      </c>
      <c r="L488" s="47">
        <v>0.46653532799999997</v>
      </c>
      <c r="M488" s="47">
        <v>0</v>
      </c>
      <c r="N488" s="47">
        <v>0</v>
      </c>
      <c r="O488" s="47">
        <v>0</v>
      </c>
      <c r="P488" s="47">
        <v>0</v>
      </c>
      <c r="Q488" s="47">
        <f t="shared" si="67"/>
        <v>-0.46653532799999997</v>
      </c>
      <c r="R488" s="47">
        <f t="shared" si="68"/>
        <v>0.46653532799999997</v>
      </c>
      <c r="S488" s="48">
        <v>100</v>
      </c>
      <c r="T488" s="58" t="s">
        <v>417</v>
      </c>
    </row>
    <row r="489" spans="1:20" s="14" customFormat="1" ht="38.25" x14ac:dyDescent="0.25">
      <c r="A489" s="53" t="s">
        <v>36</v>
      </c>
      <c r="B489" s="61" t="s">
        <v>631</v>
      </c>
      <c r="C489" s="74" t="s">
        <v>964</v>
      </c>
      <c r="D489" s="47">
        <v>0</v>
      </c>
      <c r="E489" s="47">
        <v>0</v>
      </c>
      <c r="F489" s="47">
        <f t="shared" si="70"/>
        <v>0</v>
      </c>
      <c r="G489" s="47">
        <v>0</v>
      </c>
      <c r="H489" s="47">
        <f t="shared" si="72"/>
        <v>0.17568068399999998</v>
      </c>
      <c r="I489" s="47">
        <v>0</v>
      </c>
      <c r="J489" s="47">
        <v>0</v>
      </c>
      <c r="K489" s="47">
        <v>0</v>
      </c>
      <c r="L489" s="47">
        <v>0.17568068399999998</v>
      </c>
      <c r="M489" s="47">
        <v>0</v>
      </c>
      <c r="N489" s="47">
        <v>0</v>
      </c>
      <c r="O489" s="47">
        <v>0</v>
      </c>
      <c r="P489" s="47">
        <v>0</v>
      </c>
      <c r="Q489" s="47">
        <f t="shared" si="67"/>
        <v>-0.17568068399999998</v>
      </c>
      <c r="R489" s="47">
        <f t="shared" si="68"/>
        <v>0.17568068399999998</v>
      </c>
      <c r="S489" s="48">
        <v>100</v>
      </c>
      <c r="T489" s="58" t="s">
        <v>417</v>
      </c>
    </row>
    <row r="490" spans="1:20" s="14" customFormat="1" ht="39" x14ac:dyDescent="0.25">
      <c r="A490" s="53" t="s">
        <v>36</v>
      </c>
      <c r="B490" s="61" t="s">
        <v>632</v>
      </c>
      <c r="C490" s="74" t="s">
        <v>979</v>
      </c>
      <c r="D490" s="47">
        <v>0</v>
      </c>
      <c r="E490" s="47">
        <v>0</v>
      </c>
      <c r="F490" s="47">
        <f t="shared" si="70"/>
        <v>0</v>
      </c>
      <c r="G490" s="47">
        <v>0</v>
      </c>
      <c r="H490" s="47">
        <f t="shared" si="72"/>
        <v>1.063128348</v>
      </c>
      <c r="I490" s="47">
        <v>0</v>
      </c>
      <c r="J490" s="47">
        <v>0</v>
      </c>
      <c r="K490" s="47">
        <v>0</v>
      </c>
      <c r="L490" s="47">
        <v>2.3812320000000001E-3</v>
      </c>
      <c r="M490" s="47">
        <v>0</v>
      </c>
      <c r="N490" s="47">
        <v>1.0199999999999999E-3</v>
      </c>
      <c r="O490" s="47">
        <v>0</v>
      </c>
      <c r="P490" s="47">
        <v>1.0597271159999999</v>
      </c>
      <c r="Q490" s="47">
        <f t="shared" si="67"/>
        <v>-1.063128348</v>
      </c>
      <c r="R490" s="47">
        <f t="shared" si="68"/>
        <v>1.063128348</v>
      </c>
      <c r="S490" s="48">
        <v>100</v>
      </c>
      <c r="T490" s="58" t="s">
        <v>415</v>
      </c>
    </row>
    <row r="491" spans="1:20" s="14" customFormat="1" ht="60" customHeight="1" x14ac:dyDescent="0.25">
      <c r="A491" s="53" t="s">
        <v>36</v>
      </c>
      <c r="B491" s="61" t="s">
        <v>712</v>
      </c>
      <c r="C491" s="74" t="s">
        <v>965</v>
      </c>
      <c r="D491" s="47">
        <v>0</v>
      </c>
      <c r="E491" s="47">
        <v>0</v>
      </c>
      <c r="F491" s="47">
        <f t="shared" si="70"/>
        <v>0</v>
      </c>
      <c r="G491" s="47">
        <v>0</v>
      </c>
      <c r="H491" s="47">
        <f t="shared" si="72"/>
        <v>8.9999999999999993E-3</v>
      </c>
      <c r="I491" s="47">
        <v>0</v>
      </c>
      <c r="J491" s="47">
        <v>0</v>
      </c>
      <c r="K491" s="47">
        <v>0</v>
      </c>
      <c r="L491" s="47">
        <v>0</v>
      </c>
      <c r="M491" s="47">
        <v>0</v>
      </c>
      <c r="N491" s="47">
        <v>8.9999999999999993E-3</v>
      </c>
      <c r="O491" s="47">
        <v>0</v>
      </c>
      <c r="P491" s="47">
        <v>0</v>
      </c>
      <c r="Q491" s="47">
        <f t="shared" si="67"/>
        <v>-8.9999999999999993E-3</v>
      </c>
      <c r="R491" s="47">
        <f t="shared" si="68"/>
        <v>8.9999999999999993E-3</v>
      </c>
      <c r="S491" s="48">
        <v>100</v>
      </c>
      <c r="T491" s="86" t="s">
        <v>737</v>
      </c>
    </row>
    <row r="492" spans="1:20" s="14" customFormat="1" x14ac:dyDescent="0.25">
      <c r="A492" s="53" t="s">
        <v>36</v>
      </c>
      <c r="B492" s="61" t="s">
        <v>713</v>
      </c>
      <c r="C492" s="74" t="s">
        <v>966</v>
      </c>
      <c r="D492" s="47">
        <v>0</v>
      </c>
      <c r="E492" s="47">
        <v>0</v>
      </c>
      <c r="F492" s="47">
        <f t="shared" si="70"/>
        <v>0</v>
      </c>
      <c r="G492" s="47">
        <v>0</v>
      </c>
      <c r="H492" s="47">
        <f t="shared" si="72"/>
        <v>4.7727852000000001E-2</v>
      </c>
      <c r="I492" s="47">
        <v>0</v>
      </c>
      <c r="J492" s="47">
        <v>0</v>
      </c>
      <c r="K492" s="47">
        <v>0</v>
      </c>
      <c r="L492" s="47">
        <v>0</v>
      </c>
      <c r="M492" s="47">
        <v>0</v>
      </c>
      <c r="N492" s="47">
        <v>2.9130252000000002E-2</v>
      </c>
      <c r="O492" s="47">
        <v>0</v>
      </c>
      <c r="P492" s="47">
        <v>1.8597599999999999E-2</v>
      </c>
      <c r="Q492" s="47">
        <f t="shared" si="67"/>
        <v>-4.7727852000000001E-2</v>
      </c>
      <c r="R492" s="47">
        <f t="shared" si="68"/>
        <v>4.7727852000000001E-2</v>
      </c>
      <c r="S492" s="48">
        <v>100</v>
      </c>
      <c r="T492" s="88"/>
    </row>
    <row r="493" spans="1:20" s="14" customFormat="1" ht="38.25" x14ac:dyDescent="0.25">
      <c r="A493" s="53" t="s">
        <v>36</v>
      </c>
      <c r="B493" s="61" t="s">
        <v>967</v>
      </c>
      <c r="C493" s="74" t="s">
        <v>968</v>
      </c>
      <c r="D493" s="47">
        <v>0</v>
      </c>
      <c r="E493" s="47">
        <v>0</v>
      </c>
      <c r="F493" s="47">
        <f t="shared" si="70"/>
        <v>0</v>
      </c>
      <c r="G493" s="47">
        <v>0</v>
      </c>
      <c r="H493" s="47">
        <f t="shared" si="72"/>
        <v>3.5098296000000001E-2</v>
      </c>
      <c r="I493" s="47">
        <v>0</v>
      </c>
      <c r="J493" s="47">
        <v>0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3.5098296000000001E-2</v>
      </c>
      <c r="Q493" s="47">
        <f t="shared" si="67"/>
        <v>-3.5098296000000001E-2</v>
      </c>
      <c r="R493" s="47">
        <f t="shared" si="68"/>
        <v>3.5098296000000001E-2</v>
      </c>
      <c r="S493" s="48">
        <v>100</v>
      </c>
      <c r="T493" s="59" t="s">
        <v>733</v>
      </c>
    </row>
    <row r="494" spans="1:20" s="14" customFormat="1" ht="25.5" x14ac:dyDescent="0.25">
      <c r="A494" s="81" t="s">
        <v>36</v>
      </c>
      <c r="B494" s="82" t="s">
        <v>595</v>
      </c>
      <c r="C494" s="83" t="s">
        <v>969</v>
      </c>
      <c r="D494" s="47">
        <v>0</v>
      </c>
      <c r="E494" s="47">
        <v>0</v>
      </c>
      <c r="F494" s="47">
        <f t="shared" si="70"/>
        <v>0</v>
      </c>
      <c r="G494" s="47">
        <v>0</v>
      </c>
      <c r="H494" s="47">
        <f t="shared" si="72"/>
        <v>0.53208497999999993</v>
      </c>
      <c r="I494" s="47">
        <v>0</v>
      </c>
      <c r="J494" s="47">
        <v>0</v>
      </c>
      <c r="K494" s="47">
        <v>0</v>
      </c>
      <c r="L494" s="47">
        <v>0.46283761199999995</v>
      </c>
      <c r="M494" s="47">
        <v>0</v>
      </c>
      <c r="N494" s="47">
        <v>6.9247368000000004E-2</v>
      </c>
      <c r="O494" s="47">
        <v>0</v>
      </c>
      <c r="P494" s="47">
        <v>0</v>
      </c>
      <c r="Q494" s="47">
        <f t="shared" si="67"/>
        <v>-0.53208497999999993</v>
      </c>
      <c r="R494" s="47">
        <f t="shared" si="68"/>
        <v>0.53208497999999993</v>
      </c>
      <c r="S494" s="48">
        <v>100</v>
      </c>
      <c r="T494" s="59" t="s">
        <v>739</v>
      </c>
    </row>
    <row r="495" spans="1:20" s="14" customFormat="1" x14ac:dyDescent="0.25">
      <c r="A495" s="53" t="s">
        <v>36</v>
      </c>
      <c r="B495" s="61" t="s">
        <v>970</v>
      </c>
      <c r="C495" s="74" t="s">
        <v>971</v>
      </c>
      <c r="D495" s="47">
        <v>0</v>
      </c>
      <c r="E495" s="47">
        <v>0</v>
      </c>
      <c r="F495" s="47">
        <f t="shared" si="70"/>
        <v>0</v>
      </c>
      <c r="G495" s="47">
        <v>0</v>
      </c>
      <c r="H495" s="47">
        <f t="shared" si="72"/>
        <v>26.603999999999999</v>
      </c>
      <c r="I495" s="47">
        <v>0</v>
      </c>
      <c r="J495" s="47">
        <v>0</v>
      </c>
      <c r="K495" s="47">
        <v>0</v>
      </c>
      <c r="L495" s="47">
        <v>0</v>
      </c>
      <c r="M495" s="47">
        <v>0</v>
      </c>
      <c r="N495" s="47">
        <v>0</v>
      </c>
      <c r="O495" s="47">
        <v>0</v>
      </c>
      <c r="P495" s="47">
        <v>26.603999999999999</v>
      </c>
      <c r="Q495" s="47">
        <f t="shared" si="67"/>
        <v>-26.603999999999999</v>
      </c>
      <c r="R495" s="47">
        <f t="shared" si="68"/>
        <v>26.603999999999999</v>
      </c>
      <c r="S495" s="48">
        <v>100</v>
      </c>
      <c r="T495" s="63" t="s">
        <v>48</v>
      </c>
    </row>
    <row r="496" spans="1:20" s="14" customFormat="1" ht="26.25" x14ac:dyDescent="0.25">
      <c r="A496" s="53" t="s">
        <v>36</v>
      </c>
      <c r="B496" s="61" t="s">
        <v>441</v>
      </c>
      <c r="C496" s="74" t="s">
        <v>442</v>
      </c>
      <c r="D496" s="47">
        <v>0</v>
      </c>
      <c r="E496" s="47">
        <v>0</v>
      </c>
      <c r="F496" s="47">
        <f t="shared" si="70"/>
        <v>0</v>
      </c>
      <c r="G496" s="47">
        <v>0</v>
      </c>
      <c r="H496" s="47">
        <f t="shared" si="72"/>
        <v>2.27412E-2</v>
      </c>
      <c r="I496" s="47">
        <v>0</v>
      </c>
      <c r="J496" s="47">
        <v>0</v>
      </c>
      <c r="K496" s="47">
        <v>0</v>
      </c>
      <c r="L496" s="47">
        <v>0</v>
      </c>
      <c r="M496" s="47">
        <v>0</v>
      </c>
      <c r="N496" s="47">
        <v>2.27412E-2</v>
      </c>
      <c r="O496" s="47">
        <v>0</v>
      </c>
      <c r="P496" s="47">
        <v>0</v>
      </c>
      <c r="Q496" s="47">
        <f t="shared" si="67"/>
        <v>-2.27412E-2</v>
      </c>
      <c r="R496" s="47">
        <f t="shared" si="68"/>
        <v>2.27412E-2</v>
      </c>
      <c r="S496" s="48">
        <v>100</v>
      </c>
      <c r="T496" s="58" t="s">
        <v>414</v>
      </c>
    </row>
    <row r="497" spans="1:20" s="13" customFormat="1" ht="25.5" x14ac:dyDescent="0.25">
      <c r="A497" s="32" t="s">
        <v>37</v>
      </c>
      <c r="B497" s="39" t="s">
        <v>315</v>
      </c>
      <c r="C497" s="40" t="s">
        <v>50</v>
      </c>
      <c r="D497" s="35">
        <v>0</v>
      </c>
      <c r="E497" s="35">
        <v>0</v>
      </c>
      <c r="F497" s="35">
        <f t="shared" si="70"/>
        <v>0</v>
      </c>
      <c r="G497" s="35">
        <f>I497+K497+M497+O497</f>
        <v>0</v>
      </c>
      <c r="H497" s="35">
        <f t="shared" si="72"/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35">
        <v>0</v>
      </c>
      <c r="P497" s="35">
        <v>0</v>
      </c>
      <c r="Q497" s="35">
        <f t="shared" si="67"/>
        <v>0</v>
      </c>
      <c r="R497" s="35">
        <f t="shared" si="68"/>
        <v>0</v>
      </c>
      <c r="S497" s="36">
        <v>0</v>
      </c>
      <c r="T497" s="37" t="s">
        <v>48</v>
      </c>
    </row>
    <row r="498" spans="1:20" s="13" customFormat="1" x14ac:dyDescent="0.25">
      <c r="A498" s="32" t="s">
        <v>38</v>
      </c>
      <c r="B498" s="39" t="s">
        <v>316</v>
      </c>
      <c r="C498" s="40" t="s">
        <v>50</v>
      </c>
      <c r="D498" s="35">
        <v>53.930136000000005</v>
      </c>
      <c r="E498" s="35">
        <f>SUM(E499:E503)</f>
        <v>0.77694914399999992</v>
      </c>
      <c r="F498" s="35">
        <f t="shared" si="70"/>
        <v>53.153186856000005</v>
      </c>
      <c r="G498" s="35">
        <f>G499+G500+G501</f>
        <v>53.930136000000005</v>
      </c>
      <c r="H498" s="35">
        <f t="shared" si="72"/>
        <v>37.322009375999997</v>
      </c>
      <c r="I498" s="35">
        <f t="shared" ref="I498:O498" si="73">I499+I500+I501</f>
        <v>0</v>
      </c>
      <c r="J498" s="35">
        <f t="shared" si="73"/>
        <v>9.727050492</v>
      </c>
      <c r="K498" s="35">
        <f t="shared" si="73"/>
        <v>22.667628000000001</v>
      </c>
      <c r="L498" s="35">
        <f>L499+L500+L501+L502+L503</f>
        <v>-0.16718473200000003</v>
      </c>
      <c r="M498" s="35">
        <f t="shared" si="73"/>
        <v>8.49</v>
      </c>
      <c r="N498" s="35">
        <f>N499+N500+N501+N502+N503</f>
        <v>0</v>
      </c>
      <c r="O498" s="35">
        <f t="shared" si="73"/>
        <v>22.772507999999998</v>
      </c>
      <c r="P498" s="35">
        <f>SUM(P499:P503)</f>
        <v>27.762143615999996</v>
      </c>
      <c r="Q498" s="35">
        <f t="shared" si="67"/>
        <v>15.831177480000008</v>
      </c>
      <c r="R498" s="35">
        <f t="shared" si="68"/>
        <v>-16.608126624000008</v>
      </c>
      <c r="S498" s="36">
        <f t="shared" si="69"/>
        <v>-30.795632749748691</v>
      </c>
      <c r="T498" s="37" t="s">
        <v>48</v>
      </c>
    </row>
    <row r="499" spans="1:20" s="14" customFormat="1" ht="127.5" x14ac:dyDescent="0.25">
      <c r="A499" s="84" t="s">
        <v>38</v>
      </c>
      <c r="B499" s="73" t="s">
        <v>411</v>
      </c>
      <c r="C499" s="74" t="s">
        <v>412</v>
      </c>
      <c r="D499" s="47">
        <v>0</v>
      </c>
      <c r="E499" s="47">
        <v>0</v>
      </c>
      <c r="F499" s="47">
        <f t="shared" si="70"/>
        <v>0</v>
      </c>
      <c r="G499" s="47">
        <f>I499+K499+M499+O499</f>
        <v>0</v>
      </c>
      <c r="H499" s="47">
        <f t="shared" si="72"/>
        <v>9.1698867600000007</v>
      </c>
      <c r="I499" s="47">
        <v>0</v>
      </c>
      <c r="J499" s="47">
        <v>9.4019715000000001</v>
      </c>
      <c r="K499" s="47">
        <v>0</v>
      </c>
      <c r="L499" s="47">
        <v>-0.31508474400000003</v>
      </c>
      <c r="M499" s="47">
        <v>0</v>
      </c>
      <c r="N499" s="47">
        <v>0</v>
      </c>
      <c r="O499" s="47">
        <v>0</v>
      </c>
      <c r="P499" s="47">
        <v>8.3000003999999988E-2</v>
      </c>
      <c r="Q499" s="47">
        <f t="shared" si="67"/>
        <v>-9.1698867600000007</v>
      </c>
      <c r="R499" s="47">
        <f t="shared" si="68"/>
        <v>9.1698867600000007</v>
      </c>
      <c r="S499" s="48">
        <v>0</v>
      </c>
      <c r="T499" s="58" t="s">
        <v>416</v>
      </c>
    </row>
    <row r="500" spans="1:20" s="14" customFormat="1" ht="77.25" x14ac:dyDescent="0.25">
      <c r="A500" s="54" t="s">
        <v>38</v>
      </c>
      <c r="B500" s="61" t="s">
        <v>671</v>
      </c>
      <c r="C500" s="51" t="s">
        <v>317</v>
      </c>
      <c r="D500" s="47">
        <v>6.7556279999999997</v>
      </c>
      <c r="E500" s="47">
        <v>0</v>
      </c>
      <c r="F500" s="47">
        <f t="shared" si="70"/>
        <v>6.7556279999999997</v>
      </c>
      <c r="G500" s="47">
        <f>I500+K500+M500+O500</f>
        <v>6.7556279999999997</v>
      </c>
      <c r="H500" s="47">
        <f t="shared" si="72"/>
        <v>5.8400492999999987</v>
      </c>
      <c r="I500" s="47">
        <v>0</v>
      </c>
      <c r="J500" s="47">
        <v>0.32507899199999996</v>
      </c>
      <c r="K500" s="47">
        <f>5549.69/1000*1.2</f>
        <v>6.6596279999999997</v>
      </c>
      <c r="L500" s="47">
        <v>0</v>
      </c>
      <c r="M500" s="47">
        <f>80/1000*1.2</f>
        <v>9.6000000000000002E-2</v>
      </c>
      <c r="N500" s="47">
        <v>0</v>
      </c>
      <c r="O500" s="47">
        <v>0</v>
      </c>
      <c r="P500" s="47">
        <v>5.5149703079999988</v>
      </c>
      <c r="Q500" s="47">
        <f t="shared" si="67"/>
        <v>0.91557870000000108</v>
      </c>
      <c r="R500" s="47">
        <f t="shared" si="68"/>
        <v>-0.91557870000000108</v>
      </c>
      <c r="S500" s="48">
        <f t="shared" si="69"/>
        <v>-13.552828841374946</v>
      </c>
      <c r="T500" s="76" t="s">
        <v>654</v>
      </c>
    </row>
    <row r="501" spans="1:20" s="14" customFormat="1" ht="102.75" x14ac:dyDescent="0.25">
      <c r="A501" s="54" t="s">
        <v>38</v>
      </c>
      <c r="B501" s="65" t="s">
        <v>670</v>
      </c>
      <c r="C501" s="51" t="s">
        <v>318</v>
      </c>
      <c r="D501" s="47">
        <v>47.174508000000003</v>
      </c>
      <c r="E501" s="47">
        <v>0</v>
      </c>
      <c r="F501" s="47">
        <f t="shared" si="70"/>
        <v>47.174508000000003</v>
      </c>
      <c r="G501" s="47">
        <f>I501+K501+M501+O501</f>
        <v>47.174508000000003</v>
      </c>
      <c r="H501" s="47">
        <f t="shared" si="72"/>
        <v>22.164173303999998</v>
      </c>
      <c r="I501" s="47">
        <v>0</v>
      </c>
      <c r="J501" s="47">
        <v>0</v>
      </c>
      <c r="K501" s="47">
        <f>13340/1000*1.2</f>
        <v>16.007999999999999</v>
      </c>
      <c r="L501" s="47">
        <v>0</v>
      </c>
      <c r="M501" s="47">
        <f>6995/1000*1.2</f>
        <v>8.3940000000000001</v>
      </c>
      <c r="N501" s="47">
        <v>0</v>
      </c>
      <c r="O501" s="47">
        <f>18977.09/1000*1.2</f>
        <v>22.772507999999998</v>
      </c>
      <c r="P501" s="47">
        <v>22.164173303999998</v>
      </c>
      <c r="Q501" s="47">
        <f t="shared" si="67"/>
        <v>25.010334696000005</v>
      </c>
      <c r="R501" s="47">
        <f t="shared" si="68"/>
        <v>-25.010334696000005</v>
      </c>
      <c r="S501" s="48">
        <f t="shared" si="69"/>
        <v>-53.016630710806787</v>
      </c>
      <c r="T501" s="76" t="s">
        <v>655</v>
      </c>
    </row>
    <row r="502" spans="1:20" s="14" customFormat="1" x14ac:dyDescent="0.25">
      <c r="A502" s="84" t="s">
        <v>38</v>
      </c>
      <c r="B502" s="61" t="s">
        <v>413</v>
      </c>
      <c r="C502" s="74" t="s">
        <v>634</v>
      </c>
      <c r="D502" s="47">
        <v>0</v>
      </c>
      <c r="E502" s="47">
        <f>647457.62*1.2/1000000</f>
        <v>0.77694914399999992</v>
      </c>
      <c r="F502" s="47">
        <f t="shared" si="70"/>
        <v>-0.77694914399999992</v>
      </c>
      <c r="G502" s="47">
        <f>I502+K502+M502+O502</f>
        <v>0</v>
      </c>
      <c r="H502" s="47">
        <f t="shared" si="72"/>
        <v>0</v>
      </c>
      <c r="I502" s="47">
        <v>0</v>
      </c>
      <c r="J502" s="47">
        <v>0</v>
      </c>
      <c r="K502" s="47">
        <v>0</v>
      </c>
      <c r="L502" s="47">
        <v>0</v>
      </c>
      <c r="M502" s="85">
        <v>0</v>
      </c>
      <c r="N502" s="47">
        <v>0</v>
      </c>
      <c r="O502" s="85">
        <v>0</v>
      </c>
      <c r="P502" s="47">
        <v>0</v>
      </c>
      <c r="Q502" s="47">
        <f t="shared" si="67"/>
        <v>-0.77694914399999992</v>
      </c>
      <c r="R502" s="47">
        <f t="shared" si="68"/>
        <v>0</v>
      </c>
      <c r="S502" s="48">
        <v>0</v>
      </c>
      <c r="T502" s="79" t="s">
        <v>740</v>
      </c>
    </row>
    <row r="503" spans="1:20" s="14" customFormat="1" ht="25.5" x14ac:dyDescent="0.25">
      <c r="A503" s="60" t="s">
        <v>38</v>
      </c>
      <c r="B503" s="61" t="s">
        <v>633</v>
      </c>
      <c r="C503" s="74" t="s">
        <v>410</v>
      </c>
      <c r="D503" s="47">
        <v>0</v>
      </c>
      <c r="E503" s="47">
        <v>0</v>
      </c>
      <c r="F503" s="47">
        <f t="shared" si="70"/>
        <v>0</v>
      </c>
      <c r="G503" s="47">
        <v>0</v>
      </c>
      <c r="H503" s="47">
        <f t="shared" si="72"/>
        <v>0.147900012</v>
      </c>
      <c r="I503" s="47">
        <v>0</v>
      </c>
      <c r="J503" s="47">
        <v>0</v>
      </c>
      <c r="K503" s="47">
        <v>0</v>
      </c>
      <c r="L503" s="47">
        <v>0.147900012</v>
      </c>
      <c r="M503" s="85">
        <v>0</v>
      </c>
      <c r="N503" s="47">
        <v>0</v>
      </c>
      <c r="O503" s="85">
        <v>0</v>
      </c>
      <c r="P503" s="47">
        <v>0</v>
      </c>
      <c r="Q503" s="47">
        <f t="shared" si="67"/>
        <v>-0.147900012</v>
      </c>
      <c r="R503" s="47">
        <f t="shared" si="68"/>
        <v>0.147900012</v>
      </c>
      <c r="S503" s="48">
        <v>100</v>
      </c>
      <c r="T503" s="58" t="s">
        <v>741</v>
      </c>
    </row>
  </sheetData>
  <mergeCells count="41">
    <mergeCell ref="A11:T11"/>
    <mergeCell ref="A12:T12"/>
    <mergeCell ref="T491:T492"/>
    <mergeCell ref="S329:S331"/>
    <mergeCell ref="T329:T331"/>
    <mergeCell ref="N329:N331"/>
    <mergeCell ref="L329:L331"/>
    <mergeCell ref="K16:L16"/>
    <mergeCell ref="I16:J16"/>
    <mergeCell ref="G16:H16"/>
    <mergeCell ref="T215:T218"/>
    <mergeCell ref="T15:T17"/>
    <mergeCell ref="M16:N16"/>
    <mergeCell ref="O16:P16"/>
    <mergeCell ref="R16:R17"/>
    <mergeCell ref="T27:T122"/>
    <mergeCell ref="A4:T4"/>
    <mergeCell ref="A5:T5"/>
    <mergeCell ref="A7:T7"/>
    <mergeCell ref="A8:T8"/>
    <mergeCell ref="A10:T10"/>
    <mergeCell ref="A14:T14"/>
    <mergeCell ref="A15:A17"/>
    <mergeCell ref="B15:B17"/>
    <mergeCell ref="C15:C17"/>
    <mergeCell ref="D15:D17"/>
    <mergeCell ref="E15:E17"/>
    <mergeCell ref="G15:P15"/>
    <mergeCell ref="Q15:Q17"/>
    <mergeCell ref="R15:S15"/>
    <mergeCell ref="S16:S17"/>
    <mergeCell ref="T469:T479"/>
    <mergeCell ref="H329:H331"/>
    <mergeCell ref="Q329:Q331"/>
    <mergeCell ref="R329:R331"/>
    <mergeCell ref="F15:F17"/>
    <mergeCell ref="T137:T142"/>
    <mergeCell ref="T144:T154"/>
    <mergeCell ref="T228:T252"/>
    <mergeCell ref="T255:T294"/>
    <mergeCell ref="T295:T30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1"/>
  <headerFooter alignWithMargins="0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 </vt:lpstr>
      <vt:lpstr>'10квФ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2020-03-31T13:21:49Z</dcterms:modified>
</cp:coreProperties>
</file>