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05" yWindow="120" windowWidth="13095" windowHeight="14340" tabRatio="796"/>
  </bookViews>
  <sheets>
    <sheet name="12квОсв " sheetId="14" r:id="rId1"/>
  </sheets>
  <definedNames>
    <definedName name="_xlnm._FilterDatabase" localSheetId="0" hidden="1">'12квОсв '!$A$17:$BP$387</definedName>
    <definedName name="Z_500C2F4F_1743_499A_A051_20565DBF52B2_.wvu.PrintArea" localSheetId="0" hidden="1">'12квОсв '!$A$1:$V$17</definedName>
    <definedName name="_xlnm.Print_Area" localSheetId="0">'12квОсв '!$A$1:$V$17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L382" i="14" l="1"/>
  <c r="H361" i="14" l="1"/>
  <c r="N333" i="14" l="1"/>
  <c r="H333" i="14" s="1"/>
  <c r="H25" i="14"/>
  <c r="H28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4" i="14"/>
  <c r="H335" i="14"/>
  <c r="H336" i="14"/>
  <c r="H337" i="14"/>
  <c r="H338" i="14"/>
  <c r="H339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3" i="14"/>
  <c r="H384" i="14"/>
  <c r="H385" i="14"/>
  <c r="H386" i="14"/>
  <c r="H387" i="14"/>
  <c r="P382" i="14"/>
  <c r="P24" i="14" s="1"/>
  <c r="P111" i="14"/>
  <c r="P110" i="14" s="1"/>
  <c r="P29" i="14"/>
  <c r="N127" i="14"/>
  <c r="N24" i="14"/>
  <c r="N23" i="14"/>
  <c r="N21" i="14"/>
  <c r="N111" i="14"/>
  <c r="N110" i="14" s="1"/>
  <c r="N29" i="14"/>
  <c r="L23" i="14"/>
  <c r="L21" i="14"/>
  <c r="L24" i="14"/>
  <c r="P340" i="14"/>
  <c r="N340" i="14"/>
  <c r="N22" i="14" s="1"/>
  <c r="L340" i="14"/>
  <c r="L22" i="14" s="1"/>
  <c r="P239" i="14"/>
  <c r="P238" i="14" s="1"/>
  <c r="N239" i="14"/>
  <c r="N238" i="14" s="1"/>
  <c r="L239" i="14"/>
  <c r="L238" i="14" s="1"/>
  <c r="P140" i="14"/>
  <c r="N140" i="14"/>
  <c r="N126" i="14" s="1"/>
  <c r="L140" i="14"/>
  <c r="P127" i="14"/>
  <c r="L127" i="14"/>
  <c r="L111" i="14"/>
  <c r="L110" i="14" s="1"/>
  <c r="L29" i="14"/>
  <c r="J127" i="14"/>
  <c r="J24" i="14"/>
  <c r="J23" i="14"/>
  <c r="J21" i="14"/>
  <c r="J340" i="14"/>
  <c r="J239" i="14"/>
  <c r="J238" i="14" s="1"/>
  <c r="J140" i="14"/>
  <c r="J111" i="14"/>
  <c r="J110" i="14" s="1"/>
  <c r="J29" i="14"/>
  <c r="H24" i="14" l="1"/>
  <c r="H110" i="14"/>
  <c r="H238" i="14"/>
  <c r="H21" i="14"/>
  <c r="H23" i="14"/>
  <c r="H29" i="14"/>
  <c r="J126" i="14"/>
  <c r="P126" i="14"/>
  <c r="P125" i="14" s="1"/>
  <c r="H340" i="14"/>
  <c r="H140" i="14"/>
  <c r="J125" i="14"/>
  <c r="H382" i="14"/>
  <c r="H239" i="14"/>
  <c r="H127" i="14"/>
  <c r="H111" i="14"/>
  <c r="J22" i="14"/>
  <c r="H22" i="14" s="1"/>
  <c r="L126" i="14"/>
  <c r="L125" i="14" s="1"/>
  <c r="L20" i="14" s="1"/>
  <c r="N125" i="14"/>
  <c r="N20" i="14" s="1"/>
  <c r="O60" i="14"/>
  <c r="H126" i="14" l="1"/>
  <c r="J20" i="14"/>
  <c r="H125" i="14"/>
  <c r="M387" i="14"/>
  <c r="K386" i="14"/>
  <c r="E386" i="14"/>
  <c r="E382" i="14" s="1"/>
  <c r="E24" i="14" s="1"/>
  <c r="U385" i="14"/>
  <c r="T385" i="14"/>
  <c r="I385" i="14"/>
  <c r="K384" i="14"/>
  <c r="I384" i="14" s="1"/>
  <c r="M383" i="14"/>
  <c r="T383" i="14" s="1"/>
  <c r="O382" i="14"/>
  <c r="O24" i="14" s="1"/>
  <c r="T381" i="14"/>
  <c r="I381" i="14"/>
  <c r="T380" i="14"/>
  <c r="I380" i="14"/>
  <c r="S380" i="14" s="1"/>
  <c r="T379" i="14"/>
  <c r="I379" i="14"/>
  <c r="S379" i="14" s="1"/>
  <c r="T378" i="14"/>
  <c r="I378" i="14"/>
  <c r="S378" i="14" s="1"/>
  <c r="T377" i="14"/>
  <c r="I377" i="14"/>
  <c r="S377" i="14" s="1"/>
  <c r="T376" i="14"/>
  <c r="I376" i="14"/>
  <c r="S376" i="14" s="1"/>
  <c r="T375" i="14"/>
  <c r="I375" i="14"/>
  <c r="S375" i="14" s="1"/>
  <c r="T374" i="14"/>
  <c r="I374" i="14"/>
  <c r="S374" i="14" s="1"/>
  <c r="T373" i="14"/>
  <c r="I373" i="14"/>
  <c r="S373" i="14" s="1"/>
  <c r="T372" i="14"/>
  <c r="I372" i="14"/>
  <c r="S372" i="14" s="1"/>
  <c r="T371" i="14"/>
  <c r="I371" i="14"/>
  <c r="S371" i="14" s="1"/>
  <c r="T370" i="14"/>
  <c r="I370" i="14"/>
  <c r="S370" i="14" s="1"/>
  <c r="T369" i="14"/>
  <c r="I369" i="14"/>
  <c r="S369" i="14" s="1"/>
  <c r="T368" i="14"/>
  <c r="I368" i="14"/>
  <c r="S368" i="14" s="1"/>
  <c r="T367" i="14"/>
  <c r="I367" i="14"/>
  <c r="S367" i="14" s="1"/>
  <c r="T366" i="14"/>
  <c r="I366" i="14"/>
  <c r="S366" i="14" s="1"/>
  <c r="K365" i="14"/>
  <c r="K364" i="14"/>
  <c r="T364" i="14" s="1"/>
  <c r="K363" i="14"/>
  <c r="U362" i="14"/>
  <c r="T362" i="14"/>
  <c r="I362" i="14"/>
  <c r="U361" i="14"/>
  <c r="T361" i="14"/>
  <c r="I361" i="14"/>
  <c r="E361" i="14"/>
  <c r="U360" i="14"/>
  <c r="T360" i="14"/>
  <c r="I360" i="14"/>
  <c r="E360" i="14"/>
  <c r="T359" i="14"/>
  <c r="I359" i="14"/>
  <c r="E359" i="14"/>
  <c r="U358" i="14"/>
  <c r="T358" i="14"/>
  <c r="I358" i="14"/>
  <c r="E358" i="14"/>
  <c r="U357" i="14"/>
  <c r="T357" i="14"/>
  <c r="I357" i="14"/>
  <c r="E357" i="14"/>
  <c r="U356" i="14"/>
  <c r="T356" i="14"/>
  <c r="I356" i="14"/>
  <c r="E356" i="14"/>
  <c r="U355" i="14"/>
  <c r="T355" i="14"/>
  <c r="I355" i="14"/>
  <c r="U354" i="14"/>
  <c r="T354" i="14"/>
  <c r="I354" i="14"/>
  <c r="E354" i="14"/>
  <c r="U353" i="14"/>
  <c r="T353" i="14"/>
  <c r="I353" i="14"/>
  <c r="E353" i="14"/>
  <c r="U352" i="14"/>
  <c r="T352" i="14"/>
  <c r="I352" i="14"/>
  <c r="E352" i="14"/>
  <c r="U351" i="14"/>
  <c r="T351" i="14"/>
  <c r="I351" i="14"/>
  <c r="E351" i="14"/>
  <c r="U350" i="14"/>
  <c r="T350" i="14"/>
  <c r="I350" i="14"/>
  <c r="E350" i="14"/>
  <c r="U349" i="14"/>
  <c r="T349" i="14"/>
  <c r="I349" i="14"/>
  <c r="E349" i="14"/>
  <c r="U348" i="14"/>
  <c r="T348" i="14"/>
  <c r="I348" i="14"/>
  <c r="E348" i="14"/>
  <c r="T347" i="14"/>
  <c r="I347" i="14"/>
  <c r="S347" i="14" s="1"/>
  <c r="E347" i="14"/>
  <c r="T346" i="14"/>
  <c r="I346" i="14"/>
  <c r="S346" i="14" s="1"/>
  <c r="E346" i="14"/>
  <c r="T345" i="14"/>
  <c r="I345" i="14"/>
  <c r="S345" i="14" s="1"/>
  <c r="E345" i="14"/>
  <c r="T344" i="14"/>
  <c r="I344" i="14"/>
  <c r="S344" i="14" s="1"/>
  <c r="E344" i="14"/>
  <c r="T343" i="14"/>
  <c r="I343" i="14"/>
  <c r="S343" i="14" s="1"/>
  <c r="E343" i="14"/>
  <c r="T342" i="14"/>
  <c r="I342" i="14"/>
  <c r="S342" i="14" s="1"/>
  <c r="E342" i="14"/>
  <c r="T341" i="14"/>
  <c r="I341" i="14"/>
  <c r="S341" i="14" s="1"/>
  <c r="E341" i="14"/>
  <c r="O340" i="14"/>
  <c r="O22" i="14" s="1"/>
  <c r="M340" i="14"/>
  <c r="M22" i="14" s="1"/>
  <c r="T339" i="14"/>
  <c r="I339" i="14"/>
  <c r="T338" i="14"/>
  <c r="I338" i="14"/>
  <c r="T337" i="14"/>
  <c r="I337" i="14"/>
  <c r="U336" i="14"/>
  <c r="T336" i="14"/>
  <c r="I336" i="14"/>
  <c r="U335" i="14"/>
  <c r="T335" i="14"/>
  <c r="I335" i="14"/>
  <c r="U334" i="14"/>
  <c r="T334" i="14"/>
  <c r="I334" i="14"/>
  <c r="O333" i="14"/>
  <c r="M333" i="14"/>
  <c r="K333" i="14"/>
  <c r="E333" i="14"/>
  <c r="T332" i="14"/>
  <c r="I332" i="14"/>
  <c r="U331" i="14"/>
  <c r="T331" i="14"/>
  <c r="I331" i="14"/>
  <c r="T330" i="14"/>
  <c r="I330" i="14"/>
  <c r="T329" i="14"/>
  <c r="I329" i="14"/>
  <c r="T328" i="14"/>
  <c r="I328" i="14"/>
  <c r="T327" i="14"/>
  <c r="I327" i="14"/>
  <c r="T326" i="14"/>
  <c r="I326" i="14"/>
  <c r="T325" i="14"/>
  <c r="I325" i="14"/>
  <c r="T324" i="14"/>
  <c r="I324" i="14"/>
  <c r="T323" i="14"/>
  <c r="I323" i="14"/>
  <c r="T322" i="14"/>
  <c r="I322" i="14"/>
  <c r="T321" i="14"/>
  <c r="I321" i="14"/>
  <c r="T320" i="14"/>
  <c r="I320" i="14"/>
  <c r="S320" i="14" s="1"/>
  <c r="T319" i="14"/>
  <c r="I319" i="14"/>
  <c r="S319" i="14" s="1"/>
  <c r="T318" i="14"/>
  <c r="I318" i="14"/>
  <c r="S318" i="14" s="1"/>
  <c r="M317" i="14"/>
  <c r="M316" i="14"/>
  <c r="M315" i="14"/>
  <c r="M314" i="14"/>
  <c r="M313" i="14"/>
  <c r="M312" i="14"/>
  <c r="T311" i="14"/>
  <c r="I311" i="14"/>
  <c r="S311" i="14" s="1"/>
  <c r="M310" i="14"/>
  <c r="I310" i="14" s="1"/>
  <c r="S310" i="14" s="1"/>
  <c r="M309" i="14"/>
  <c r="T309" i="14" s="1"/>
  <c r="M308" i="14"/>
  <c r="I308" i="14" s="1"/>
  <c r="S308" i="14" s="1"/>
  <c r="M307" i="14"/>
  <c r="K307" i="14"/>
  <c r="E307" i="14"/>
  <c r="M306" i="14"/>
  <c r="K306" i="14"/>
  <c r="E306" i="14"/>
  <c r="M305" i="14"/>
  <c r="T305" i="14" s="1"/>
  <c r="K304" i="14"/>
  <c r="K303" i="14"/>
  <c r="I303" i="14" s="1"/>
  <c r="U302" i="14"/>
  <c r="T302" i="14"/>
  <c r="I302" i="14"/>
  <c r="E302" i="14"/>
  <c r="M301" i="14"/>
  <c r="T301" i="14" s="1"/>
  <c r="E301" i="14"/>
  <c r="M300" i="14"/>
  <c r="E300" i="14"/>
  <c r="U299" i="14"/>
  <c r="T299" i="14"/>
  <c r="I299" i="14"/>
  <c r="U298" i="14"/>
  <c r="T298" i="14"/>
  <c r="I298" i="14"/>
  <c r="U297" i="14"/>
  <c r="T297" i="14"/>
  <c r="I297" i="14"/>
  <c r="U296" i="14"/>
  <c r="T296" i="14"/>
  <c r="I296" i="14"/>
  <c r="U295" i="14"/>
  <c r="T295" i="14"/>
  <c r="I295" i="14"/>
  <c r="U294" i="14"/>
  <c r="T294" i="14"/>
  <c r="I294" i="14"/>
  <c r="U293" i="14"/>
  <c r="T293" i="14"/>
  <c r="I293" i="14"/>
  <c r="E293" i="14"/>
  <c r="U292" i="14"/>
  <c r="T292" i="14"/>
  <c r="I292" i="14"/>
  <c r="E292" i="14"/>
  <c r="U291" i="14"/>
  <c r="T291" i="14"/>
  <c r="I291" i="14"/>
  <c r="E291" i="14"/>
  <c r="U290" i="14"/>
  <c r="T290" i="14"/>
  <c r="I290" i="14"/>
  <c r="U289" i="14"/>
  <c r="T289" i="14"/>
  <c r="I289" i="14"/>
  <c r="U288" i="14"/>
  <c r="T288" i="14"/>
  <c r="I288" i="14"/>
  <c r="U287" i="14"/>
  <c r="T287" i="14"/>
  <c r="I287" i="14"/>
  <c r="U286" i="14"/>
  <c r="T286" i="14"/>
  <c r="I286" i="14"/>
  <c r="U285" i="14"/>
  <c r="T285" i="14"/>
  <c r="I285" i="14"/>
  <c r="U284" i="14"/>
  <c r="T284" i="14"/>
  <c r="I284" i="14"/>
  <c r="E284" i="14"/>
  <c r="U283" i="14"/>
  <c r="T283" i="14"/>
  <c r="I283" i="14"/>
  <c r="E283" i="14"/>
  <c r="U282" i="14"/>
  <c r="T282" i="14"/>
  <c r="I282" i="14"/>
  <c r="E282" i="14"/>
  <c r="T281" i="14"/>
  <c r="I281" i="14"/>
  <c r="S281" i="14" s="1"/>
  <c r="T280" i="14"/>
  <c r="I280" i="14"/>
  <c r="S280" i="14" s="1"/>
  <c r="T279" i="14"/>
  <c r="I279" i="14"/>
  <c r="S279" i="14" s="1"/>
  <c r="M278" i="14"/>
  <c r="I278" i="14" s="1"/>
  <c r="S278" i="14" s="1"/>
  <c r="M277" i="14"/>
  <c r="M276" i="14"/>
  <c r="I276" i="14" s="1"/>
  <c r="S276" i="14" s="1"/>
  <c r="M275" i="14"/>
  <c r="M274" i="14"/>
  <c r="I274" i="14" s="1"/>
  <c r="S274" i="14" s="1"/>
  <c r="M273" i="14"/>
  <c r="I273" i="14" s="1"/>
  <c r="S273" i="14" s="1"/>
  <c r="M272" i="14"/>
  <c r="I272" i="14" s="1"/>
  <c r="S272" i="14" s="1"/>
  <c r="M271" i="14"/>
  <c r="I271" i="14" s="1"/>
  <c r="S271" i="14" s="1"/>
  <c r="M270" i="14"/>
  <c r="I270" i="14" s="1"/>
  <c r="S270" i="14" s="1"/>
  <c r="M269" i="14"/>
  <c r="I269" i="14" s="1"/>
  <c r="S269" i="14" s="1"/>
  <c r="M268" i="14"/>
  <c r="I268" i="14" s="1"/>
  <c r="S268" i="14" s="1"/>
  <c r="M267" i="14"/>
  <c r="T267" i="14" s="1"/>
  <c r="K266" i="14"/>
  <c r="K265" i="14"/>
  <c r="I265" i="14" s="1"/>
  <c r="E265" i="14"/>
  <c r="M264" i="14"/>
  <c r="T264" i="14" s="1"/>
  <c r="E264" i="14"/>
  <c r="M263" i="14"/>
  <c r="U263" i="14" s="1"/>
  <c r="E263" i="14"/>
  <c r="M262" i="14"/>
  <c r="I262" i="14" s="1"/>
  <c r="M261" i="14"/>
  <c r="U260" i="14"/>
  <c r="U259" i="14"/>
  <c r="M258" i="14"/>
  <c r="T258" i="14" s="1"/>
  <c r="E258" i="14"/>
  <c r="M257" i="14"/>
  <c r="I257" i="14" s="1"/>
  <c r="E257" i="14"/>
  <c r="U256" i="14"/>
  <c r="T256" i="14"/>
  <c r="I256" i="14"/>
  <c r="E256" i="14"/>
  <c r="U255" i="14"/>
  <c r="T255" i="14"/>
  <c r="I255" i="14"/>
  <c r="E255" i="14"/>
  <c r="M254" i="14"/>
  <c r="U254" i="14" s="1"/>
  <c r="E254" i="14"/>
  <c r="U253" i="14"/>
  <c r="T253" i="14"/>
  <c r="I253" i="14"/>
  <c r="E253" i="14"/>
  <c r="M252" i="14"/>
  <c r="E252" i="14"/>
  <c r="K251" i="14"/>
  <c r="T251" i="14" s="1"/>
  <c r="M250" i="14"/>
  <c r="K250" i="14"/>
  <c r="K249" i="14"/>
  <c r="I249" i="14" s="1"/>
  <c r="T248" i="14"/>
  <c r="I248" i="14"/>
  <c r="S248" i="14" s="1"/>
  <c r="E248" i="14"/>
  <c r="T247" i="14"/>
  <c r="I247" i="14"/>
  <c r="S247" i="14" s="1"/>
  <c r="E247" i="14"/>
  <c r="T246" i="14"/>
  <c r="I246" i="14"/>
  <c r="S246" i="14" s="1"/>
  <c r="E246" i="14"/>
  <c r="T245" i="14"/>
  <c r="I245" i="14"/>
  <c r="S245" i="14" s="1"/>
  <c r="E245" i="14"/>
  <c r="T244" i="14"/>
  <c r="I244" i="14"/>
  <c r="S244" i="14" s="1"/>
  <c r="E244" i="14"/>
  <c r="T243" i="14"/>
  <c r="I243" i="14"/>
  <c r="S243" i="14" s="1"/>
  <c r="E243" i="14"/>
  <c r="T242" i="14"/>
  <c r="I242" i="14"/>
  <c r="S242" i="14" s="1"/>
  <c r="E242" i="14"/>
  <c r="T241" i="14"/>
  <c r="I241" i="14"/>
  <c r="S241" i="14" s="1"/>
  <c r="E241" i="14"/>
  <c r="T240" i="14"/>
  <c r="I240" i="14"/>
  <c r="S240" i="14" s="1"/>
  <c r="E240" i="14"/>
  <c r="O239" i="14"/>
  <c r="O238" i="14" s="1"/>
  <c r="T237" i="14"/>
  <c r="I237" i="14"/>
  <c r="S237" i="14" s="1"/>
  <c r="T236" i="14"/>
  <c r="I236" i="14"/>
  <c r="S236" i="14" s="1"/>
  <c r="T235" i="14"/>
  <c r="I235" i="14"/>
  <c r="S235" i="14" s="1"/>
  <c r="T234" i="14"/>
  <c r="I234" i="14"/>
  <c r="S234" i="14" s="1"/>
  <c r="K233" i="14"/>
  <c r="T233" i="14" s="1"/>
  <c r="T232" i="14"/>
  <c r="I232" i="14"/>
  <c r="T231" i="14"/>
  <c r="I231" i="14"/>
  <c r="T230" i="14"/>
  <c r="I230" i="14"/>
  <c r="T229" i="14"/>
  <c r="I229" i="14"/>
  <c r="S229" i="14" s="1"/>
  <c r="T228" i="14"/>
  <c r="I228" i="14"/>
  <c r="S228" i="14" s="1"/>
  <c r="T227" i="14"/>
  <c r="I227" i="14"/>
  <c r="S227" i="14" s="1"/>
  <c r="M226" i="14"/>
  <c r="T226" i="14" s="1"/>
  <c r="M225" i="14"/>
  <c r="T225" i="14" s="1"/>
  <c r="M224" i="14"/>
  <c r="T224" i="14" s="1"/>
  <c r="M223" i="14"/>
  <c r="T223" i="14" s="1"/>
  <c r="M222" i="14"/>
  <c r="T222" i="14" s="1"/>
  <c r="T221" i="14"/>
  <c r="I221" i="14"/>
  <c r="S221" i="14" s="1"/>
  <c r="T220" i="14"/>
  <c r="I220" i="14"/>
  <c r="K219" i="14"/>
  <c r="T219" i="14" s="1"/>
  <c r="T218" i="14"/>
  <c r="I218" i="14"/>
  <c r="T217" i="14"/>
  <c r="I217" i="14"/>
  <c r="T216" i="14"/>
  <c r="I216" i="14"/>
  <c r="T215" i="14"/>
  <c r="I215" i="14"/>
  <c r="T214" i="14"/>
  <c r="I214" i="14"/>
  <c r="T213" i="14"/>
  <c r="I213" i="14"/>
  <c r="T212" i="14"/>
  <c r="I212" i="14"/>
  <c r="T211" i="14"/>
  <c r="I211" i="14"/>
  <c r="S211" i="14" s="1"/>
  <c r="T210" i="14"/>
  <c r="I210" i="14"/>
  <c r="S210" i="14" s="1"/>
  <c r="T209" i="14"/>
  <c r="I209" i="14"/>
  <c r="S209" i="14" s="1"/>
  <c r="M208" i="14"/>
  <c r="I208" i="14" s="1"/>
  <c r="S208" i="14" s="1"/>
  <c r="M207" i="14"/>
  <c r="I207" i="14" s="1"/>
  <c r="S207" i="14" s="1"/>
  <c r="U206" i="14"/>
  <c r="T206" i="14"/>
  <c r="I206" i="14"/>
  <c r="T205" i="14"/>
  <c r="I205" i="14"/>
  <c r="S205" i="14" s="1"/>
  <c r="T204" i="14"/>
  <c r="I204" i="14"/>
  <c r="S204" i="14" s="1"/>
  <c r="T203" i="14"/>
  <c r="I203" i="14"/>
  <c r="S203" i="14" s="1"/>
  <c r="T202" i="14"/>
  <c r="I202" i="14"/>
  <c r="S202" i="14" s="1"/>
  <c r="M201" i="14"/>
  <c r="T201" i="14" s="1"/>
  <c r="M200" i="14"/>
  <c r="T200" i="14" s="1"/>
  <c r="M199" i="14"/>
  <c r="T199" i="14" s="1"/>
  <c r="M198" i="14"/>
  <c r="T198" i="14" s="1"/>
  <c r="M197" i="14"/>
  <c r="T197" i="14" s="1"/>
  <c r="M196" i="14"/>
  <c r="K195" i="14"/>
  <c r="T195" i="14" s="1"/>
  <c r="U194" i="14"/>
  <c r="T194" i="14"/>
  <c r="I194" i="14"/>
  <c r="U193" i="14"/>
  <c r="T193" i="14"/>
  <c r="I193" i="14"/>
  <c r="U192" i="14"/>
  <c r="T192" i="14"/>
  <c r="I192" i="14"/>
  <c r="U191" i="14"/>
  <c r="T191" i="14"/>
  <c r="I191" i="14"/>
  <c r="U190" i="14"/>
  <c r="T190" i="14"/>
  <c r="I190" i="14"/>
  <c r="S190" i="14" s="1"/>
  <c r="U189" i="14"/>
  <c r="T189" i="14"/>
  <c r="I189" i="14"/>
  <c r="U188" i="14"/>
  <c r="T188" i="14"/>
  <c r="I188" i="14"/>
  <c r="U187" i="14"/>
  <c r="T187" i="14"/>
  <c r="I187" i="14"/>
  <c r="U186" i="14"/>
  <c r="T186" i="14"/>
  <c r="I186" i="14"/>
  <c r="M185" i="14"/>
  <c r="T185" i="14" s="1"/>
  <c r="T184" i="14"/>
  <c r="I184" i="14"/>
  <c r="T183" i="14"/>
  <c r="I183" i="14"/>
  <c r="T182" i="14"/>
  <c r="I182" i="14"/>
  <c r="T181" i="14"/>
  <c r="I181" i="14"/>
  <c r="U180" i="14"/>
  <c r="T180" i="14"/>
  <c r="I180" i="14"/>
  <c r="U179" i="14"/>
  <c r="T179" i="14"/>
  <c r="I179" i="14"/>
  <c r="U178" i="14"/>
  <c r="T178" i="14"/>
  <c r="I178" i="14"/>
  <c r="U177" i="14"/>
  <c r="T177" i="14"/>
  <c r="I177" i="14"/>
  <c r="U176" i="14"/>
  <c r="T176" i="14"/>
  <c r="I176" i="14"/>
  <c r="U175" i="14"/>
  <c r="T175" i="14"/>
  <c r="I175" i="14"/>
  <c r="U174" i="14"/>
  <c r="T174" i="14"/>
  <c r="I174" i="14"/>
  <c r="U173" i="14"/>
  <c r="T173" i="14"/>
  <c r="I173" i="14"/>
  <c r="U172" i="14"/>
  <c r="T172" i="14"/>
  <c r="I172" i="14"/>
  <c r="U171" i="14"/>
  <c r="T171" i="14"/>
  <c r="I171" i="14"/>
  <c r="U170" i="14"/>
  <c r="T170" i="14"/>
  <c r="I170" i="14"/>
  <c r="U169" i="14"/>
  <c r="T169" i="14"/>
  <c r="I169" i="14"/>
  <c r="U168" i="14"/>
  <c r="T168" i="14"/>
  <c r="I168" i="14"/>
  <c r="U167" i="14"/>
  <c r="T167" i="14"/>
  <c r="I167" i="14"/>
  <c r="U166" i="14"/>
  <c r="T166" i="14"/>
  <c r="I166" i="14"/>
  <c r="U165" i="14"/>
  <c r="T165" i="14"/>
  <c r="I165" i="14"/>
  <c r="U164" i="14"/>
  <c r="T164" i="14"/>
  <c r="I164" i="14"/>
  <c r="U163" i="14"/>
  <c r="T163" i="14"/>
  <c r="I163" i="14"/>
  <c r="U162" i="14"/>
  <c r="T162" i="14"/>
  <c r="I162" i="14"/>
  <c r="U161" i="14"/>
  <c r="T161" i="14"/>
  <c r="I161" i="14"/>
  <c r="M160" i="14"/>
  <c r="T160" i="14" s="1"/>
  <c r="M159" i="14"/>
  <c r="T159" i="14" s="1"/>
  <c r="M158" i="14"/>
  <c r="T158" i="14" s="1"/>
  <c r="M157" i="14"/>
  <c r="T157" i="14" s="1"/>
  <c r="M156" i="14"/>
  <c r="T156" i="14" s="1"/>
  <c r="M155" i="14"/>
  <c r="T154" i="14"/>
  <c r="I154" i="14"/>
  <c r="T153" i="14"/>
  <c r="I153" i="14"/>
  <c r="T152" i="14"/>
  <c r="I152" i="14"/>
  <c r="T151" i="14"/>
  <c r="I151" i="14"/>
  <c r="T150" i="14"/>
  <c r="I150" i="14"/>
  <c r="T149" i="14"/>
  <c r="I149" i="14"/>
  <c r="M148" i="14"/>
  <c r="T148" i="14" s="1"/>
  <c r="T147" i="14"/>
  <c r="I147" i="14"/>
  <c r="T146" i="14"/>
  <c r="I146" i="14"/>
  <c r="T145" i="14"/>
  <c r="I145" i="14"/>
  <c r="U144" i="14"/>
  <c r="T144" i="14"/>
  <c r="I144" i="14"/>
  <c r="U143" i="14"/>
  <c r="T143" i="14"/>
  <c r="I143" i="14"/>
  <c r="K142" i="14"/>
  <c r="E142" i="14"/>
  <c r="T141" i="14"/>
  <c r="I141" i="14"/>
  <c r="S141" i="14" s="1"/>
  <c r="E141" i="14"/>
  <c r="O140" i="14"/>
  <c r="T139" i="14"/>
  <c r="I139" i="14"/>
  <c r="S139" i="14" s="1"/>
  <c r="K138" i="14"/>
  <c r="U137" i="14"/>
  <c r="T137" i="14"/>
  <c r="I137" i="14"/>
  <c r="K136" i="14"/>
  <c r="I136" i="14" s="1"/>
  <c r="U135" i="14"/>
  <c r="T135" i="14"/>
  <c r="I135" i="14"/>
  <c r="U134" i="14"/>
  <c r="T134" i="14"/>
  <c r="I134" i="14"/>
  <c r="U133" i="14"/>
  <c r="T133" i="14"/>
  <c r="I133" i="14"/>
  <c r="U132" i="14"/>
  <c r="T132" i="14"/>
  <c r="I132" i="14"/>
  <c r="U131" i="14"/>
  <c r="T131" i="14"/>
  <c r="I131" i="14"/>
  <c r="U130" i="14"/>
  <c r="T130" i="14"/>
  <c r="I130" i="14"/>
  <c r="M129" i="14"/>
  <c r="M128" i="14"/>
  <c r="T128" i="14" s="1"/>
  <c r="O127" i="14"/>
  <c r="E127" i="14"/>
  <c r="T124" i="14"/>
  <c r="I124" i="14"/>
  <c r="S124" i="14" s="1"/>
  <c r="T123" i="14"/>
  <c r="I123" i="14"/>
  <c r="S123" i="14" s="1"/>
  <c r="T122" i="14"/>
  <c r="I122" i="14"/>
  <c r="S122" i="14" s="1"/>
  <c r="M121" i="14"/>
  <c r="T121" i="14" s="1"/>
  <c r="M120" i="14"/>
  <c r="T120" i="14" s="1"/>
  <c r="M119" i="14"/>
  <c r="I119" i="14" s="1"/>
  <c r="S119" i="14" s="1"/>
  <c r="T118" i="14"/>
  <c r="I118" i="14"/>
  <c r="E118" i="14"/>
  <c r="E111" i="14" s="1"/>
  <c r="E110" i="14" s="1"/>
  <c r="T117" i="14"/>
  <c r="I117" i="14"/>
  <c r="K116" i="14"/>
  <c r="I116" i="14" s="1"/>
  <c r="K115" i="14"/>
  <c r="K114" i="14"/>
  <c r="T114" i="14" s="1"/>
  <c r="K113" i="14"/>
  <c r="U112" i="14"/>
  <c r="T112" i="14"/>
  <c r="I112" i="14"/>
  <c r="O111" i="14"/>
  <c r="O110" i="14" s="1"/>
  <c r="T109" i="14"/>
  <c r="I109" i="14"/>
  <c r="T108" i="14"/>
  <c r="I108" i="14"/>
  <c r="T107" i="14"/>
  <c r="I107" i="14"/>
  <c r="I105" i="14"/>
  <c r="T104" i="14"/>
  <c r="I104" i="14"/>
  <c r="T103" i="14"/>
  <c r="I103" i="14"/>
  <c r="T102" i="14"/>
  <c r="I102" i="14"/>
  <c r="T101" i="14"/>
  <c r="I101" i="14"/>
  <c r="T100" i="14"/>
  <c r="I100" i="14"/>
  <c r="T99" i="14"/>
  <c r="I99" i="14"/>
  <c r="T98" i="14"/>
  <c r="I98" i="14"/>
  <c r="T97" i="14"/>
  <c r="I97" i="14"/>
  <c r="T93" i="14"/>
  <c r="I93" i="14"/>
  <c r="T92" i="14"/>
  <c r="I92" i="14"/>
  <c r="T91" i="14"/>
  <c r="I91" i="14"/>
  <c r="T90" i="14"/>
  <c r="I90" i="14"/>
  <c r="T89" i="14"/>
  <c r="I89" i="14"/>
  <c r="T88" i="14"/>
  <c r="I88" i="14"/>
  <c r="T87" i="14"/>
  <c r="I87" i="14"/>
  <c r="T86" i="14"/>
  <c r="I86" i="14"/>
  <c r="T85" i="14"/>
  <c r="I85" i="14"/>
  <c r="T84" i="14"/>
  <c r="I84" i="14"/>
  <c r="T83" i="14"/>
  <c r="I83" i="14"/>
  <c r="T82" i="14"/>
  <c r="I82" i="14"/>
  <c r="T81" i="14"/>
  <c r="I81" i="14"/>
  <c r="S81" i="14" s="1"/>
  <c r="K80" i="14"/>
  <c r="T80" i="14" s="1"/>
  <c r="K79" i="14"/>
  <c r="T79" i="14" s="1"/>
  <c r="T78" i="14"/>
  <c r="I78" i="14"/>
  <c r="S78" i="14" s="1"/>
  <c r="T77" i="14"/>
  <c r="I77" i="14"/>
  <c r="S77" i="14" s="1"/>
  <c r="T76" i="14"/>
  <c r="I76" i="14"/>
  <c r="S76" i="14" s="1"/>
  <c r="T75" i="14"/>
  <c r="I75" i="14"/>
  <c r="S75" i="14" s="1"/>
  <c r="E75" i="14"/>
  <c r="T74" i="14"/>
  <c r="I74" i="14"/>
  <c r="S74" i="14" s="1"/>
  <c r="E74" i="14"/>
  <c r="T73" i="14"/>
  <c r="I73" i="14"/>
  <c r="S73" i="14" s="1"/>
  <c r="E73" i="14"/>
  <c r="T72" i="14"/>
  <c r="I72" i="14"/>
  <c r="S72" i="14" s="1"/>
  <c r="E72" i="14"/>
  <c r="T71" i="14"/>
  <c r="I71" i="14"/>
  <c r="S71" i="14" s="1"/>
  <c r="E71" i="14"/>
  <c r="T70" i="14"/>
  <c r="I70" i="14"/>
  <c r="S70" i="14" s="1"/>
  <c r="E70" i="14"/>
  <c r="T69" i="14"/>
  <c r="I69" i="14"/>
  <c r="S69" i="14" s="1"/>
  <c r="E69" i="14"/>
  <c r="T68" i="14"/>
  <c r="I68" i="14"/>
  <c r="S68" i="14" s="1"/>
  <c r="E68" i="14"/>
  <c r="T67" i="14"/>
  <c r="I67" i="14"/>
  <c r="S67" i="14" s="1"/>
  <c r="E67" i="14"/>
  <c r="T66" i="14"/>
  <c r="I66" i="14"/>
  <c r="S66" i="14" s="1"/>
  <c r="E66" i="14"/>
  <c r="T65" i="14"/>
  <c r="I65" i="14"/>
  <c r="S65" i="14" s="1"/>
  <c r="E65" i="14"/>
  <c r="T64" i="14"/>
  <c r="I64" i="14"/>
  <c r="S64" i="14" s="1"/>
  <c r="E64" i="14"/>
  <c r="T63" i="14"/>
  <c r="I63" i="14"/>
  <c r="S63" i="14" s="1"/>
  <c r="E63" i="14"/>
  <c r="T62" i="14"/>
  <c r="I62" i="14"/>
  <c r="S62" i="14" s="1"/>
  <c r="E62" i="14"/>
  <c r="T61" i="14"/>
  <c r="I61" i="14"/>
  <c r="S61" i="14" s="1"/>
  <c r="E61" i="14"/>
  <c r="P60" i="14"/>
  <c r="N60" i="14"/>
  <c r="M60" i="14"/>
  <c r="L60" i="14"/>
  <c r="J60" i="14"/>
  <c r="T59" i="14"/>
  <c r="I59" i="14"/>
  <c r="T58" i="14"/>
  <c r="I58" i="14"/>
  <c r="T57" i="14"/>
  <c r="I57" i="14"/>
  <c r="S57" i="14" s="1"/>
  <c r="T56" i="14"/>
  <c r="I56" i="14"/>
  <c r="S56" i="14" s="1"/>
  <c r="K55" i="14"/>
  <c r="I55" i="14" s="1"/>
  <c r="S55" i="14" s="1"/>
  <c r="K54" i="14"/>
  <c r="T54" i="14" s="1"/>
  <c r="K53" i="14"/>
  <c r="I53" i="14" s="1"/>
  <c r="T52" i="14"/>
  <c r="I52" i="14"/>
  <c r="S52" i="14" s="1"/>
  <c r="E52" i="14"/>
  <c r="T51" i="14"/>
  <c r="I51" i="14"/>
  <c r="S51" i="14" s="1"/>
  <c r="E51" i="14"/>
  <c r="T50" i="14"/>
  <c r="I50" i="14"/>
  <c r="S50" i="14" s="1"/>
  <c r="E50" i="14"/>
  <c r="T49" i="14"/>
  <c r="I49" i="14"/>
  <c r="S49" i="14" s="1"/>
  <c r="E49" i="14"/>
  <c r="T48" i="14"/>
  <c r="I48" i="14"/>
  <c r="S48" i="14" s="1"/>
  <c r="E48" i="14"/>
  <c r="T47" i="14"/>
  <c r="I47" i="14"/>
  <c r="S47" i="14" s="1"/>
  <c r="E47" i="14"/>
  <c r="T46" i="14"/>
  <c r="I46" i="14"/>
  <c r="S46" i="14" s="1"/>
  <c r="E46" i="14"/>
  <c r="T45" i="14"/>
  <c r="I45" i="14"/>
  <c r="S45" i="14" s="1"/>
  <c r="E45" i="14"/>
  <c r="P44" i="14"/>
  <c r="P27" i="14" s="1"/>
  <c r="O44" i="14"/>
  <c r="N44" i="14"/>
  <c r="M44" i="14"/>
  <c r="L44" i="14"/>
  <c r="J44" i="14"/>
  <c r="S43" i="14"/>
  <c r="T42" i="14"/>
  <c r="I42" i="14"/>
  <c r="S42" i="14" s="1"/>
  <c r="K41" i="14"/>
  <c r="I41" i="14" s="1"/>
  <c r="K40" i="14"/>
  <c r="T40" i="14" s="1"/>
  <c r="K39" i="14"/>
  <c r="T39" i="14" s="1"/>
  <c r="K38" i="14"/>
  <c r="T38" i="14" s="1"/>
  <c r="T37" i="14"/>
  <c r="I37" i="14"/>
  <c r="S37" i="14" s="1"/>
  <c r="E37" i="14"/>
  <c r="T36" i="14"/>
  <c r="I36" i="14"/>
  <c r="S36" i="14" s="1"/>
  <c r="E36" i="14"/>
  <c r="T35" i="14"/>
  <c r="I35" i="14"/>
  <c r="S35" i="14" s="1"/>
  <c r="E35" i="14"/>
  <c r="T34" i="14"/>
  <c r="I34" i="14"/>
  <c r="S34" i="14" s="1"/>
  <c r="E34" i="14"/>
  <c r="T33" i="14"/>
  <c r="I33" i="14"/>
  <c r="S33" i="14" s="1"/>
  <c r="E33" i="14"/>
  <c r="T32" i="14"/>
  <c r="I32" i="14"/>
  <c r="S32" i="14" s="1"/>
  <c r="E32" i="14"/>
  <c r="T31" i="14"/>
  <c r="I31" i="14"/>
  <c r="S31" i="14" s="1"/>
  <c r="E31" i="14"/>
  <c r="T30" i="14"/>
  <c r="I30" i="14"/>
  <c r="S30" i="14" s="1"/>
  <c r="E30" i="14"/>
  <c r="O29" i="14"/>
  <c r="M29" i="14"/>
  <c r="T28" i="14"/>
  <c r="I28" i="14"/>
  <c r="S28" i="14" s="1"/>
  <c r="T25" i="14"/>
  <c r="I25" i="14"/>
  <c r="O23" i="14"/>
  <c r="M23" i="14"/>
  <c r="K23" i="14"/>
  <c r="E23" i="14"/>
  <c r="O21" i="14"/>
  <c r="M21" i="14"/>
  <c r="K21" i="14"/>
  <c r="E21" i="14"/>
  <c r="B17" i="14"/>
  <c r="C17" i="14" s="1"/>
  <c r="D17" i="14" s="1"/>
  <c r="E17" i="14" s="1"/>
  <c r="F17" i="14" s="1"/>
  <c r="G17" i="14" s="1"/>
  <c r="H17" i="14" s="1"/>
  <c r="I17" i="14" s="1"/>
  <c r="J17" i="14" s="1"/>
  <c r="K17" i="14" s="1"/>
  <c r="L17" i="14" s="1"/>
  <c r="M17" i="14" s="1"/>
  <c r="N17" i="14" s="1"/>
  <c r="O17" i="14" s="1"/>
  <c r="P17" i="14" s="1"/>
  <c r="Q17" i="14" s="1"/>
  <c r="R17" i="14" s="1"/>
  <c r="S17" i="14" s="1"/>
  <c r="T17" i="14" s="1"/>
  <c r="U17" i="14" s="1"/>
  <c r="V17" i="14" s="1"/>
  <c r="N27" i="14" l="1"/>
  <c r="N26" i="14" s="1"/>
  <c r="N19" i="14" s="1"/>
  <c r="N18" i="14" s="1"/>
  <c r="I39" i="14"/>
  <c r="S39" i="14" s="1"/>
  <c r="L27" i="14"/>
  <c r="L26" i="14" s="1"/>
  <c r="L19" i="14" s="1"/>
  <c r="L18" i="14" s="1"/>
  <c r="H60" i="14"/>
  <c r="H44" i="14"/>
  <c r="J27" i="14"/>
  <c r="S147" i="14"/>
  <c r="S351" i="14"/>
  <c r="S168" i="14"/>
  <c r="S173" i="14"/>
  <c r="S322" i="14"/>
  <c r="S330" i="14"/>
  <c r="S381" i="14"/>
  <c r="U333" i="14"/>
  <c r="S214" i="14"/>
  <c r="S218" i="14"/>
  <c r="S249" i="14"/>
  <c r="S283" i="14"/>
  <c r="T249" i="14"/>
  <c r="S253" i="14"/>
  <c r="U264" i="14"/>
  <c r="S25" i="14"/>
  <c r="S59" i="14"/>
  <c r="S117" i="14"/>
  <c r="I120" i="14"/>
  <c r="S120" i="14" s="1"/>
  <c r="O126" i="14"/>
  <c r="O125" i="14" s="1"/>
  <c r="O20" i="14" s="1"/>
  <c r="T136" i="14"/>
  <c r="S153" i="14"/>
  <c r="I156" i="14"/>
  <c r="S156" i="14" s="1"/>
  <c r="S175" i="14"/>
  <c r="S182" i="14"/>
  <c r="S192" i="14"/>
  <c r="I198" i="14"/>
  <c r="S198" i="14" s="1"/>
  <c r="S213" i="14"/>
  <c r="I251" i="14"/>
  <c r="S251" i="14" s="1"/>
  <c r="I264" i="14"/>
  <c r="S264" i="14" s="1"/>
  <c r="S335" i="14"/>
  <c r="S336" i="14"/>
  <c r="S350" i="14"/>
  <c r="S354" i="14"/>
  <c r="S359" i="14"/>
  <c r="M127" i="14"/>
  <c r="U136" i="14"/>
  <c r="I38" i="14"/>
  <c r="S38" i="14" s="1"/>
  <c r="S103" i="14"/>
  <c r="S109" i="14"/>
  <c r="S112" i="14"/>
  <c r="I114" i="14"/>
  <c r="S114" i="14" s="1"/>
  <c r="S116" i="14"/>
  <c r="I128" i="14"/>
  <c r="S128" i="14" s="1"/>
  <c r="S133" i="14"/>
  <c r="S165" i="14"/>
  <c r="S187" i="14"/>
  <c r="S188" i="14"/>
  <c r="S284" i="14"/>
  <c r="S293" i="14"/>
  <c r="S329" i="14"/>
  <c r="S357" i="14"/>
  <c r="K127" i="14"/>
  <c r="M27" i="14"/>
  <c r="S101" i="14"/>
  <c r="S163" i="14"/>
  <c r="S181" i="14"/>
  <c r="S220" i="14"/>
  <c r="I225" i="14"/>
  <c r="S225" i="14" s="1"/>
  <c r="S232" i="14"/>
  <c r="I258" i="14"/>
  <c r="I267" i="14"/>
  <c r="S267" i="14" s="1"/>
  <c r="T268" i="14"/>
  <c r="T272" i="14"/>
  <c r="S282" i="14"/>
  <c r="S286" i="14"/>
  <c r="S296" i="14"/>
  <c r="S298" i="14"/>
  <c r="I306" i="14"/>
  <c r="S306" i="14" s="1"/>
  <c r="S339" i="14"/>
  <c r="S385" i="14"/>
  <c r="S85" i="14"/>
  <c r="S93" i="14"/>
  <c r="S136" i="14"/>
  <c r="S89" i="14"/>
  <c r="T21" i="14"/>
  <c r="S84" i="14"/>
  <c r="S88" i="14"/>
  <c r="S92" i="14"/>
  <c r="S99" i="14"/>
  <c r="S102" i="14"/>
  <c r="U128" i="14"/>
  <c r="S131" i="14"/>
  <c r="S137" i="14"/>
  <c r="S176" i="14"/>
  <c r="T269" i="14"/>
  <c r="T273" i="14"/>
  <c r="S289" i="14"/>
  <c r="S294" i="14"/>
  <c r="S327" i="14"/>
  <c r="S178" i="14"/>
  <c r="S326" i="14"/>
  <c r="S193" i="14"/>
  <c r="T262" i="14"/>
  <c r="T308" i="14"/>
  <c r="T310" i="14"/>
  <c r="P26" i="14"/>
  <c r="S86" i="14"/>
  <c r="S90" i="14"/>
  <c r="S97" i="14"/>
  <c r="T116" i="14"/>
  <c r="S143" i="14"/>
  <c r="I148" i="14"/>
  <c r="S148" i="14" s="1"/>
  <c r="S152" i="14"/>
  <c r="S167" i="14"/>
  <c r="S177" i="14"/>
  <c r="I185" i="14"/>
  <c r="S185" i="14" s="1"/>
  <c r="S189" i="14"/>
  <c r="T207" i="14"/>
  <c r="S217" i="14"/>
  <c r="I223" i="14"/>
  <c r="S223" i="14" s="1"/>
  <c r="S231" i="14"/>
  <c r="S255" i="14"/>
  <c r="U262" i="14"/>
  <c r="T263" i="14"/>
  <c r="S290" i="14"/>
  <c r="S291" i="14"/>
  <c r="I301" i="14"/>
  <c r="S301" i="14" s="1"/>
  <c r="S302" i="14"/>
  <c r="I307" i="14"/>
  <c r="S307" i="14" s="1"/>
  <c r="I309" i="14"/>
  <c r="S309" i="14" s="1"/>
  <c r="S321" i="14"/>
  <c r="S356" i="14"/>
  <c r="S360" i="14"/>
  <c r="S144" i="14"/>
  <c r="K29" i="14"/>
  <c r="T29" i="14" s="1"/>
  <c r="T41" i="14"/>
  <c r="S83" i="14"/>
  <c r="S87" i="14"/>
  <c r="S91" i="14"/>
  <c r="S135" i="14"/>
  <c r="T208" i="14"/>
  <c r="S215" i="14"/>
  <c r="T265" i="14"/>
  <c r="T303" i="14"/>
  <c r="T23" i="14"/>
  <c r="E44" i="14"/>
  <c r="I54" i="14"/>
  <c r="S54" i="14" s="1"/>
  <c r="S104" i="14"/>
  <c r="K111" i="14"/>
  <c r="I121" i="14"/>
  <c r="S121" i="14" s="1"/>
  <c r="S132" i="14"/>
  <c r="S150" i="14"/>
  <c r="S161" i="14"/>
  <c r="S166" i="14"/>
  <c r="S169" i="14"/>
  <c r="S230" i="14"/>
  <c r="I254" i="14"/>
  <c r="S254" i="14" s="1"/>
  <c r="S256" i="14"/>
  <c r="T274" i="14"/>
  <c r="S287" i="14"/>
  <c r="S292" i="14"/>
  <c r="I333" i="14"/>
  <c r="S333" i="14" s="1"/>
  <c r="S334" i="14"/>
  <c r="S349" i="14"/>
  <c r="S361" i="14"/>
  <c r="S362" i="14"/>
  <c r="I364" i="14"/>
  <c r="S364" i="14" s="1"/>
  <c r="I383" i="14"/>
  <c r="S383" i="14" s="1"/>
  <c r="S82" i="14"/>
  <c r="S41" i="14"/>
  <c r="S172" i="14"/>
  <c r="T55" i="14"/>
  <c r="S180" i="14"/>
  <c r="K382" i="14"/>
  <c r="K24" i="14" s="1"/>
  <c r="T384" i="14"/>
  <c r="I40" i="14"/>
  <c r="S40" i="14" s="1"/>
  <c r="O27" i="14"/>
  <c r="O26" i="14" s="1"/>
  <c r="O19" i="14" s="1"/>
  <c r="S58" i="14"/>
  <c r="S100" i="14"/>
  <c r="S108" i="14"/>
  <c r="M111" i="14"/>
  <c r="M110" i="14" s="1"/>
  <c r="T119" i="14"/>
  <c r="S130" i="14"/>
  <c r="S149" i="14"/>
  <c r="I160" i="14"/>
  <c r="S160" i="14" s="1"/>
  <c r="S162" i="14"/>
  <c r="S171" i="14"/>
  <c r="S174" i="14"/>
  <c r="S186" i="14"/>
  <c r="S191" i="14"/>
  <c r="T196" i="14"/>
  <c r="I196" i="14"/>
  <c r="S196" i="14" s="1"/>
  <c r="S206" i="14"/>
  <c r="I219" i="14"/>
  <c r="S219" i="14" s="1"/>
  <c r="I222" i="14"/>
  <c r="S222" i="14" s="1"/>
  <c r="I224" i="14"/>
  <c r="S224" i="14" s="1"/>
  <c r="I226" i="14"/>
  <c r="S226" i="14" s="1"/>
  <c r="T254" i="14"/>
  <c r="I263" i="14"/>
  <c r="S263" i="14" s="1"/>
  <c r="T271" i="14"/>
  <c r="T276" i="14"/>
  <c r="T278" i="14"/>
  <c r="S295" i="14"/>
  <c r="T306" i="14"/>
  <c r="S325" i="14"/>
  <c r="S332" i="14"/>
  <c r="U384" i="14"/>
  <c r="I275" i="14"/>
  <c r="S275" i="14" s="1"/>
  <c r="T275" i="14"/>
  <c r="I21" i="14"/>
  <c r="S21" i="14" s="1"/>
  <c r="S98" i="14"/>
  <c r="S323" i="14"/>
  <c r="I23" i="14"/>
  <c r="S23" i="14" s="1"/>
  <c r="E60" i="14"/>
  <c r="S146" i="14"/>
  <c r="S151" i="14"/>
  <c r="S154" i="14"/>
  <c r="T155" i="14"/>
  <c r="M140" i="14"/>
  <c r="I158" i="14"/>
  <c r="S158" i="14" s="1"/>
  <c r="S164" i="14"/>
  <c r="S170" i="14"/>
  <c r="S179" i="14"/>
  <c r="S183" i="14"/>
  <c r="S194" i="14"/>
  <c r="I200" i="14"/>
  <c r="S200" i="14" s="1"/>
  <c r="I233" i="14"/>
  <c r="S233" i="14" s="1"/>
  <c r="S262" i="14"/>
  <c r="T270" i="14"/>
  <c r="I277" i="14"/>
  <c r="S277" i="14" s="1"/>
  <c r="T277" i="14"/>
  <c r="S297" i="14"/>
  <c r="S303" i="14"/>
  <c r="I305" i="14"/>
  <c r="S305" i="14" s="1"/>
  <c r="S337" i="14"/>
  <c r="E340" i="14"/>
  <c r="E22" i="14" s="1"/>
  <c r="S353" i="14"/>
  <c r="S358" i="14"/>
  <c r="S384" i="14"/>
  <c r="S134" i="14"/>
  <c r="S216" i="14"/>
  <c r="S265" i="14"/>
  <c r="S285" i="14"/>
  <c r="S288" i="14"/>
  <c r="S299" i="14"/>
  <c r="T307" i="14"/>
  <c r="S331" i="14"/>
  <c r="S338" i="14"/>
  <c r="S352" i="14"/>
  <c r="S355" i="14"/>
  <c r="S53" i="14"/>
  <c r="T261" i="14"/>
  <c r="U261" i="14"/>
  <c r="I261" i="14"/>
  <c r="S261" i="14" s="1"/>
  <c r="K44" i="14"/>
  <c r="K60" i="14"/>
  <c r="E140" i="14"/>
  <c r="E126" i="14" s="1"/>
  <c r="M239" i="14"/>
  <c r="M238" i="14" s="1"/>
  <c r="U252" i="14"/>
  <c r="I252" i="14"/>
  <c r="S252" i="14" s="1"/>
  <c r="T252" i="14"/>
  <c r="T53" i="14"/>
  <c r="P20" i="14"/>
  <c r="H20" i="14" s="1"/>
  <c r="I79" i="14"/>
  <c r="S79" i="14" s="1"/>
  <c r="I80" i="14"/>
  <c r="S80" i="14" s="1"/>
  <c r="S107" i="14"/>
  <c r="T113" i="14"/>
  <c r="I113" i="14"/>
  <c r="S113" i="14" s="1"/>
  <c r="T115" i="14"/>
  <c r="I115" i="14"/>
  <c r="S115" i="14" s="1"/>
  <c r="S118" i="14"/>
  <c r="T129" i="14"/>
  <c r="U129" i="14"/>
  <c r="I129" i="14"/>
  <c r="S129" i="14" s="1"/>
  <c r="T138" i="14"/>
  <c r="I138" i="14"/>
  <c r="S138" i="14" s="1"/>
  <c r="T142" i="14"/>
  <c r="I142" i="14"/>
  <c r="S142" i="14" s="1"/>
  <c r="K140" i="14"/>
  <c r="S145" i="14"/>
  <c r="I155" i="14"/>
  <c r="S155" i="14" s="1"/>
  <c r="I157" i="14"/>
  <c r="S157" i="14" s="1"/>
  <c r="I159" i="14"/>
  <c r="S159" i="14" s="1"/>
  <c r="S184" i="14"/>
  <c r="I195" i="14"/>
  <c r="S195" i="14" s="1"/>
  <c r="I197" i="14"/>
  <c r="S197" i="14" s="1"/>
  <c r="I199" i="14"/>
  <c r="S199" i="14" s="1"/>
  <c r="I201" i="14"/>
  <c r="S201" i="14" s="1"/>
  <c r="S212" i="14"/>
  <c r="T250" i="14"/>
  <c r="I250" i="14"/>
  <c r="S250" i="14" s="1"/>
  <c r="K239" i="14"/>
  <c r="T315" i="14"/>
  <c r="I315" i="14"/>
  <c r="S315" i="14" s="1"/>
  <c r="T300" i="14"/>
  <c r="I300" i="14"/>
  <c r="S300" i="14" s="1"/>
  <c r="T313" i="14"/>
  <c r="I313" i="14"/>
  <c r="S313" i="14" s="1"/>
  <c r="T363" i="14"/>
  <c r="I363" i="14"/>
  <c r="S363" i="14" s="1"/>
  <c r="K340" i="14"/>
  <c r="T365" i="14"/>
  <c r="I365" i="14"/>
  <c r="S365" i="14" s="1"/>
  <c r="T257" i="14"/>
  <c r="U257" i="14"/>
  <c r="T266" i="14"/>
  <c r="I266" i="14"/>
  <c r="S266" i="14" s="1"/>
  <c r="U300" i="14"/>
  <c r="E239" i="14"/>
  <c r="E238" i="14" s="1"/>
  <c r="T304" i="14"/>
  <c r="I304" i="14"/>
  <c r="S304" i="14" s="1"/>
  <c r="T317" i="14"/>
  <c r="I317" i="14"/>
  <c r="S317" i="14" s="1"/>
  <c r="T387" i="14"/>
  <c r="M382" i="14"/>
  <c r="I387" i="14"/>
  <c r="S387" i="14" s="1"/>
  <c r="U301" i="14"/>
  <c r="T312" i="14"/>
  <c r="I312" i="14"/>
  <c r="S312" i="14" s="1"/>
  <c r="T314" i="14"/>
  <c r="I314" i="14"/>
  <c r="S314" i="14" s="1"/>
  <c r="T316" i="14"/>
  <c r="I316" i="14"/>
  <c r="S316" i="14" s="1"/>
  <c r="S324" i="14"/>
  <c r="S328" i="14"/>
  <c r="T333" i="14"/>
  <c r="T386" i="14"/>
  <c r="I386" i="14"/>
  <c r="S386" i="14" s="1"/>
  <c r="S257" i="14"/>
  <c r="H27" i="14" l="1"/>
  <c r="J26" i="14"/>
  <c r="M126" i="14"/>
  <c r="M125" i="14" s="1"/>
  <c r="M20" i="14" s="1"/>
  <c r="O18" i="14"/>
  <c r="U127" i="14"/>
  <c r="I127" i="14"/>
  <c r="S127" i="14" s="1"/>
  <c r="U111" i="14"/>
  <c r="T127" i="14"/>
  <c r="K110" i="14"/>
  <c r="T110" i="14" s="1"/>
  <c r="E27" i="14"/>
  <c r="E26" i="14" s="1"/>
  <c r="E19" i="14" s="1"/>
  <c r="M26" i="14"/>
  <c r="M19" i="14" s="1"/>
  <c r="U382" i="14"/>
  <c r="I29" i="14"/>
  <c r="S29" i="14" s="1"/>
  <c r="P19" i="14"/>
  <c r="P18" i="14" s="1"/>
  <c r="E125" i="14"/>
  <c r="E20" i="14" s="1"/>
  <c r="I111" i="14"/>
  <c r="S111" i="14" s="1"/>
  <c r="T111" i="14"/>
  <c r="T239" i="14"/>
  <c r="U239" i="14"/>
  <c r="I239" i="14"/>
  <c r="S239" i="14" s="1"/>
  <c r="K238" i="14"/>
  <c r="I340" i="14"/>
  <c r="U340" i="14"/>
  <c r="K22" i="14"/>
  <c r="T340" i="14"/>
  <c r="S348" i="14"/>
  <c r="I60" i="14"/>
  <c r="S60" i="14" s="1"/>
  <c r="T60" i="14"/>
  <c r="T382" i="14"/>
  <c r="I382" i="14"/>
  <c r="S382" i="14" s="1"/>
  <c r="M24" i="14"/>
  <c r="T140" i="14"/>
  <c r="U140" i="14"/>
  <c r="I140" i="14"/>
  <c r="S140" i="14" s="1"/>
  <c r="K126" i="14"/>
  <c r="K27" i="14"/>
  <c r="T44" i="14"/>
  <c r="I44" i="14"/>
  <c r="S44" i="14" s="1"/>
  <c r="J19" i="14" l="1"/>
  <c r="H26" i="14"/>
  <c r="U110" i="14"/>
  <c r="I110" i="14"/>
  <c r="S110" i="14" s="1"/>
  <c r="E18" i="14"/>
  <c r="S340" i="14"/>
  <c r="T126" i="14"/>
  <c r="K125" i="14"/>
  <c r="U126" i="14"/>
  <c r="I126" i="14"/>
  <c r="S126" i="14" s="1"/>
  <c r="U27" i="14"/>
  <c r="K26" i="14"/>
  <c r="T27" i="14"/>
  <c r="I27" i="14"/>
  <c r="S27" i="14" s="1"/>
  <c r="I24" i="14"/>
  <c r="S24" i="14" s="1"/>
  <c r="U24" i="14"/>
  <c r="T24" i="14"/>
  <c r="U22" i="14"/>
  <c r="T22" i="14"/>
  <c r="I22" i="14"/>
  <c r="S22" i="14" s="1"/>
  <c r="I238" i="14"/>
  <c r="S238" i="14" s="1"/>
  <c r="T238" i="14"/>
  <c r="U238" i="14"/>
  <c r="M18" i="14"/>
  <c r="H19" i="14" l="1"/>
  <c r="J18" i="14"/>
  <c r="H18" i="14" s="1"/>
  <c r="U26" i="14"/>
  <c r="T26" i="14"/>
  <c r="I26" i="14"/>
  <c r="S26" i="14" s="1"/>
  <c r="K19" i="14"/>
  <c r="T125" i="14"/>
  <c r="U125" i="14"/>
  <c r="I125" i="14"/>
  <c r="S125" i="14" s="1"/>
  <c r="K20" i="14"/>
  <c r="T20" i="14" l="1"/>
  <c r="I20" i="14"/>
  <c r="S20" i="14" s="1"/>
  <c r="U20" i="14"/>
  <c r="T19" i="14"/>
  <c r="I19" i="14"/>
  <c r="S19" i="14" s="1"/>
  <c r="U19" i="14"/>
  <c r="K18" i="14"/>
  <c r="T18" i="14" l="1"/>
  <c r="I18" i="14"/>
  <c r="S18" i="14" s="1"/>
  <c r="U18" i="14"/>
</calcChain>
</file>

<file path=xl/sharedStrings.xml><?xml version="1.0" encoding="utf-8"?>
<sst xmlns="http://schemas.openxmlformats.org/spreadsheetml/2006/main" count="2491" uniqueCount="780">
  <si>
    <t>к приказу Минэнерго России</t>
  </si>
  <si>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</si>
  <si>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</si>
  <si>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</si>
  <si>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</si>
  <si>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</si>
  <si>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Всего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</si>
  <si>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</si>
  <si>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</si>
  <si>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 xml:space="preserve">Факт </t>
  </si>
  <si>
    <t>Приложение  № 12</t>
  </si>
  <si>
    <t>Номер группы инвестиционных проектов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</si>
  <si>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</si>
  <si>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</si>
  <si>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</si>
  <si>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</si>
  <si>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</si>
  <si>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</si>
  <si>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</si>
  <si>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</si>
  <si>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</si>
  <si>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</si>
  <si>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</si>
  <si>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</si>
  <si>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</si>
  <si>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</si>
  <si>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</si>
  <si>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</si>
  <si>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</si>
  <si>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</si>
  <si>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</si>
  <si>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</si>
  <si>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</si>
  <si>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</si>
  <si>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</si>
  <si>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</si>
  <si>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</si>
  <si>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</si>
  <si>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</si>
  <si>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</si>
  <si>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</si>
  <si>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</si>
  <si>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</si>
  <si>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</si>
  <si>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освоения по итогам отчетного периода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</si>
  <si>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</si>
  <si>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от « 25 » апреля 2018 г. № 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</si>
  <si>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</si>
  <si>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
 (без НДС)</t>
  </si>
  <si>
    <t xml:space="preserve">Остаток освоения капитальных вложений 
на  конец отчетного периода,  
млн. рублей 
(без НДС) </t>
  </si>
  <si>
    <t>нд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</si>
  <si>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</si>
  <si>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</si>
  <si>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</si>
  <si>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</si>
  <si>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</si>
  <si>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</si>
  <si>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</si>
  <si>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</si>
  <si>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</si>
  <si>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</si>
  <si>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</si>
  <si>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</si>
  <si>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</si>
  <si>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</si>
  <si>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</si>
  <si>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</si>
  <si>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</si>
  <si>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</si>
  <si>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</si>
  <si>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</si>
  <si>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</si>
  <si>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</si>
  <si>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</si>
  <si>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</si>
  <si>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</si>
  <si>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</si>
  <si>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</si>
  <si>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</si>
  <si>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</si>
  <si>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</si>
  <si>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</si>
  <si>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</si>
  <si>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</si>
  <si>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</si>
  <si>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</si>
  <si>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</si>
  <si>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</si>
  <si>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</si>
  <si>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</si>
  <si>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</si>
  <si>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</si>
  <si>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</si>
  <si>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</si>
  <si>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</si>
  <si>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</si>
  <si>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</si>
  <si>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</si>
  <si>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</si>
  <si>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</si>
  <si>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</si>
  <si>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</si>
  <si>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</si>
  <si>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</si>
  <si>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</si>
  <si>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</si>
  <si>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</si>
  <si>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</si>
  <si>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</si>
  <si>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</si>
  <si>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</si>
  <si>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</si>
  <si>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</si>
  <si>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</si>
  <si>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</si>
  <si>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</si>
  <si>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</si>
  <si>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</si>
  <si>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</si>
  <si>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</si>
  <si>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</si>
  <si>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</si>
  <si>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</si>
  <si>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</si>
  <si>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</si>
  <si>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</si>
  <si>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</si>
  <si>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</si>
  <si>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</si>
  <si>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</si>
  <si>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</si>
  <si>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</si>
  <si>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</si>
  <si>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</si>
  <si>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</si>
  <si>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</si>
  <si>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</si>
  <si>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</si>
  <si>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</si>
  <si>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</si>
  <si>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</si>
  <si>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</si>
  <si>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</si>
  <si>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</si>
  <si>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</si>
  <si>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</si>
  <si>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</si>
  <si>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</si>
  <si>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</si>
  <si>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</si>
  <si>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</si>
  <si>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</si>
  <si>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</si>
  <si>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</si>
  <si>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</si>
  <si>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</si>
  <si>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</si>
  <si>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</si>
  <si>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</si>
  <si>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</si>
  <si>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</si>
  <si>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</si>
  <si>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</si>
  <si>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</si>
  <si>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</si>
  <si>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</si>
  <si>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</si>
  <si>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</si>
  <si>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</si>
  <si>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</si>
  <si>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</si>
  <si>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</si>
  <si>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</si>
  <si>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</si>
  <si>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</si>
  <si>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</si>
  <si>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</si>
  <si>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</si>
  <si>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</si>
  <si>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</si>
  <si>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</si>
  <si>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</si>
  <si>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</si>
  <si>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</si>
  <si>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</si>
  <si>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</si>
  <si>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</si>
  <si>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</si>
  <si>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</si>
  <si>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</si>
  <si>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</si>
  <si>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</si>
  <si>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</si>
  <si>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</si>
  <si>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</si>
  <si>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</si>
  <si>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</si>
  <si>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</si>
  <si>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</si>
  <si>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</si>
  <si>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</si>
  <si>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</si>
  <si>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</si>
  <si>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</si>
  <si>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</si>
  <si>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</si>
  <si>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</si>
  <si>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</si>
  <si>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</si>
  <si>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</si>
  <si>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</si>
  <si>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</si>
  <si>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</si>
  <si>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</si>
  <si>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</si>
  <si>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</si>
  <si>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</si>
  <si>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</si>
  <si>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</si>
  <si>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</si>
  <si>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</si>
  <si>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</si>
  <si>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</si>
  <si>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</si>
  <si>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</si>
  <si>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</si>
  <si>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</si>
  <si>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</si>
  <si>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</si>
  <si>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</si>
  <si>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</si>
  <si>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</si>
  <si>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</si>
  <si>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</si>
  <si>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</si>
  <si>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</si>
  <si>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</si>
  <si>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</si>
  <si>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</si>
  <si>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</si>
  <si>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</si>
  <si>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</si>
  <si>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</si>
  <si>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</si>
  <si>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</si>
  <si>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</si>
  <si>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</si>
  <si>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</si>
  <si>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</si>
  <si>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</si>
  <si>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</si>
  <si>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</si>
  <si>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</si>
  <si>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</si>
  <si>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</si>
  <si>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</si>
  <si>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</si>
  <si>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</si>
  <si>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</si>
  <si>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</si>
  <si>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</si>
  <si>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</si>
  <si>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</si>
  <si>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</si>
  <si>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</si>
  <si>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</si>
  <si>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</si>
  <si>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</si>
  <si>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</si>
  <si>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</si>
  <si>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</si>
  <si>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</si>
  <si>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</si>
  <si>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</si>
  <si>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</si>
  <si>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</si>
  <si>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</si>
  <si>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</si>
  <si>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</si>
  <si>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</si>
  <si>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</si>
  <si>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</si>
  <si>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</si>
  <si>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</si>
  <si>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</si>
  <si>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</si>
  <si>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</si>
  <si>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</si>
  <si>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</si>
  <si>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</si>
  <si>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</si>
  <si>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</si>
  <si>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</si>
  <si>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</si>
  <si>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</si>
  <si>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</si>
  <si>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</si>
  <si>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</si>
  <si>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</si>
  <si>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</si>
  <si>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</si>
  <si>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</si>
  <si>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</si>
  <si>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</si>
  <si>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</si>
  <si>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</si>
  <si>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</si>
  <si>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</si>
  <si>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</si>
  <si>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</si>
  <si>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</si>
  <si>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</si>
  <si>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</si>
  <si>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</si>
  <si>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</si>
  <si>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</si>
  <si>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</si>
  <si>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</si>
  <si>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</si>
  <si>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E_19/1.3.12.1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</si>
  <si>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</si>
  <si>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</si>
  <si>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>Год раскрытия информации:2019  год</t>
  </si>
  <si>
    <t xml:space="preserve">Фактический объем освоения капитальных вложений на  01.01.2019 года в прогнозных ценах соответствующих лет, млн. рублей 
(без НДС) </t>
  </si>
  <si>
    <t xml:space="preserve">Остаток освоения капитальных вложений 
на  01.01.2019 года ,  
млн. рублей 
(без НДС) </t>
  </si>
  <si>
    <t xml:space="preserve">Освоение капитальных вложений 2019 года, млн. рублей (без НДС) 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</si>
  <si>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</si>
  <si>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</si>
  <si>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</si>
  <si>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</si>
  <si>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</si>
  <si>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</si>
  <si>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</si>
  <si>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>E_19/2.1.14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</si>
  <si>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</si>
  <si>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</si>
  <si>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</si>
  <si>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</si>
  <si>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</si>
  <si>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</si>
  <si>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</si>
  <si>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</si>
  <si>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</si>
  <si>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</si>
  <si>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</si>
  <si>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</si>
  <si>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</si>
  <si>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</si>
  <si>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</si>
  <si>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</si>
  <si>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</si>
  <si>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</si>
  <si>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</si>
  <si>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</si>
  <si>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</si>
  <si>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</si>
  <si>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</si>
  <si>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</si>
  <si>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</si>
  <si>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</si>
  <si>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</si>
  <si>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</si>
  <si>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</si>
  <si>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</si>
  <si>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</si>
  <si>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</si>
  <si>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</si>
  <si>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</si>
  <si>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</si>
  <si>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</si>
  <si>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</si>
  <si>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</si>
  <si>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</si>
  <si>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</si>
  <si>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</si>
  <si>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</si>
  <si>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</si>
  <si>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</si>
  <si>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</si>
  <si>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</si>
  <si>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</si>
  <si>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</si>
  <si>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</si>
  <si>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</si>
  <si>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</si>
  <si>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</si>
  <si>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</si>
  <si>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</si>
  <si>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</si>
  <si>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</si>
  <si>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</si>
  <si>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</si>
  <si>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</si>
  <si>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</si>
  <si>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</si>
  <si>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</si>
  <si>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</si>
  <si>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</si>
  <si>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</si>
  <si>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</si>
  <si>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</si>
  <si>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</si>
  <si>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</si>
  <si>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</si>
  <si>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</si>
  <si>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</si>
  <si>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</si>
  <si>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</si>
  <si>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</si>
  <si>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</si>
  <si>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</si>
  <si>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</si>
  <si>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</si>
  <si>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</si>
  <si>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</si>
  <si>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</si>
  <si>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2018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</si>
  <si>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</si>
  <si>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</si>
  <si>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</si>
  <si>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</si>
  <si>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</si>
  <si>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</si>
  <si>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</si>
  <si>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</si>
  <si>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</si>
  <si>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</si>
  <si>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</si>
  <si>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</si>
  <si>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</si>
  <si>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</si>
  <si>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</si>
  <si>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</si>
  <si>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</si>
  <si>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</si>
  <si>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</si>
  <si>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</si>
  <si>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</si>
  <si>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</si>
  <si>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</si>
  <si>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</si>
  <si>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</si>
  <si>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</si>
  <si>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</si>
  <si>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</si>
  <si>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</si>
  <si>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</si>
  <si>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</si>
  <si>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</si>
  <si>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</si>
  <si>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</si>
  <si>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</si>
  <si>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</si>
  <si>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</si>
  <si>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</si>
  <si>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</si>
  <si>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</si>
  <si>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</si>
  <si>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</si>
  <si>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</si>
  <si>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</si>
  <si>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</si>
  <si>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</si>
  <si>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</si>
  <si>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</si>
  <si>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</si>
  <si>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</si>
  <si>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</si>
  <si>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</si>
  <si>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</si>
  <si>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</si>
  <si>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</si>
  <si>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</si>
  <si>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</si>
  <si>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</si>
  <si>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</si>
  <si>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</si>
  <si>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</si>
  <si>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</si>
  <si>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</si>
  <si>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</si>
  <si>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</si>
  <si>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</si>
  <si>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</si>
  <si>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</si>
  <si>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</si>
  <si>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</si>
  <si>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</si>
  <si>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</si>
  <si>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</si>
  <si>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</si>
  <si>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</si>
  <si>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</si>
  <si>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</si>
  <si>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</si>
  <si>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РП-91 протяженностью12х0,310 м . по договору Т.П. (до 670 кВт) №2555 от 16.02.2015</t>
  </si>
  <si>
    <t>E_18/00034</t>
  </si>
  <si>
    <t>Выполнение проектных работ по договору Т.П. (от 150 до 670 кВт) №750 от 11.06.2014</t>
  </si>
  <si>
    <t>E_18/00053</t>
  </si>
  <si>
    <t>Реконструкция низковольтного оборудования в ТП-339</t>
  </si>
  <si>
    <t>I_18/1.5.25.А.</t>
  </si>
  <si>
    <t>Реконструкция низковольтногооборудования в ТП-910</t>
  </si>
  <si>
    <t>I_18/1.5.16.А.</t>
  </si>
  <si>
    <t>Вынос КТП-1622 п.Репное (Когтев С.А.)</t>
  </si>
  <si>
    <t>G_16/1.3.7.8</t>
  </si>
  <si>
    <t>ТП-1007 КЛ-1(ОАО "Центрторг") Генерала Лизюкова,62</t>
  </si>
  <si>
    <t>F_15/1.1.3.28</t>
  </si>
  <si>
    <t>Платонова 15 вынос КЛ-6 кВ ТП-140-ТП-1239,ТП-19-ТП-1239(Воронежбетон)</t>
  </si>
  <si>
    <t>F_15/1.1.3.29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</si>
  <si>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</si>
  <si>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</si>
  <si>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</si>
  <si>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Реконструкция КЛ 0,4 кВ ТП-224Н - ул. Чайковского, Щ.1</t>
  </si>
  <si>
    <t>E_18/1.1.2.18</t>
  </si>
  <si>
    <t>Реконструкция КЛ 6,10кВ РП-7 ТП-20 (до муфты)</t>
  </si>
  <si>
    <t>I_18/1.1.3.20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</si>
  <si>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</si>
  <si>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</si>
  <si>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</si>
  <si>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</si>
  <si>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КЛ 0,4 кВ ТП-10</t>
  </si>
  <si>
    <t>E_18/1.1.2.19</t>
  </si>
  <si>
    <t>Стр-во КТП 1х250 взамен КТП-869 (трансформаторная мощность 0,25 МВА)</t>
  </si>
  <si>
    <t>F_15/2.2.5.5</t>
  </si>
  <si>
    <t>Прокладка КЛ от ТП-1256 до места соед. С КЛ в сторону ТП-676 (протяженность по трассе 1,10км)</t>
  </si>
  <si>
    <t>H_17/2.1.3.1</t>
  </si>
  <si>
    <t>Строительство КЛ-0,4 кВ ТП-1095 КЛ-1 кВ, ул. Новосибирская, д. 39 (ИП Леньков А.А.)</t>
  </si>
  <si>
    <t>I_18/2.2.7.34</t>
  </si>
  <si>
    <t>Строительство КЛ-0,4 кВ ТП-218А, ул. Шишкова, 65</t>
  </si>
  <si>
    <t>I_18/2.2.7.26</t>
  </si>
  <si>
    <t>Строительство КЛ-0,4 кВ ТП-222  КЛ-1 кВ, ул. Мира, д. 3 9Сорокин А.В.)</t>
  </si>
  <si>
    <t>I_18/2.2.7.35</t>
  </si>
  <si>
    <t>Строительство КЛ-0,4 кВ ТП-282 КЛ-1 кВ, Московский пр. 7</t>
  </si>
  <si>
    <t>I_18/2.2.7.27</t>
  </si>
  <si>
    <t>Строительство КЛ-0,4 кВ ТП-396, ул. Брусилова, д. 4Е(ООО Фрегат)</t>
  </si>
  <si>
    <t>I_18/2.2.7.36</t>
  </si>
  <si>
    <t>Реконструкция ВЛ-0,4кВ для технологического присоединения от ТП-728 (протяженность по трассе 0,159 км)</t>
  </si>
  <si>
    <t>E_19/2.1.16</t>
  </si>
  <si>
    <t>E_19/2.1.17</t>
  </si>
  <si>
    <t>E_19/2.1.18</t>
  </si>
  <si>
    <t>Реконструкция ВЛ-0,4кВ для технологического присоединения от ТП-19 (протяженность по трассе 0,120км)</t>
  </si>
  <si>
    <t>E_19/2.1.19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</si>
  <si>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</si>
  <si>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</si>
  <si>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</si>
  <si>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</si>
  <si>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</si>
  <si>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</si>
  <si>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</si>
  <si>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</si>
  <si>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</si>
  <si>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</si>
  <si>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</si>
  <si>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</si>
  <si>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</si>
  <si>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</si>
  <si>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</si>
  <si>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</si>
  <si>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</si>
  <si>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</si>
  <si>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</si>
  <si>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</si>
  <si>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</si>
  <si>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</si>
  <si>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</si>
  <si>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</si>
  <si>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</si>
  <si>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</si>
  <si>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</si>
  <si>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</si>
  <si>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</si>
  <si>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</si>
  <si>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</si>
  <si>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</si>
  <si>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</si>
  <si>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E_19/1.3.5.5.А</t>
  </si>
  <si>
    <t>Реконструкция высоковольтного оборудования (замена трансформатора 1х250) ТП-1721(б/у)</t>
  </si>
  <si>
    <t>E_19/1.3.5.6.А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</si>
  <si>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</si>
  <si>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</si>
  <si>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</si>
  <si>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E_19/1.1.2.12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</si>
  <si>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</si>
  <si>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</si>
  <si>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</si>
  <si>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</si>
  <si>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</si>
  <si>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</si>
  <si>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</si>
  <si>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</si>
  <si>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ТП-460 - до ж/д 36 ул.Пирогова (протяженностью 0,265км)</t>
  </si>
  <si>
    <t>E_19/1.1.2.20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</si>
  <si>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</si>
  <si>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</si>
  <si>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</si>
  <si>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</si>
  <si>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</si>
  <si>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</si>
  <si>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</si>
  <si>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</si>
  <si>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</si>
  <si>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</si>
  <si>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</si>
  <si>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</si>
  <si>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</si>
  <si>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</si>
  <si>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</si>
  <si>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</si>
  <si>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</si>
  <si>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E_19/1.1.3.39</t>
  </si>
  <si>
    <t>Реконструкция КЛ 6,10кВ РП-42 - ТП-345</t>
  </si>
  <si>
    <t>I_18/1.1.3.24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</si>
  <si>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</si>
  <si>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</si>
  <si>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</si>
  <si>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</si>
  <si>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</si>
  <si>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</si>
  <si>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</si>
  <si>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</si>
  <si>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</si>
  <si>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</si>
  <si>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</si>
  <si>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</si>
  <si>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</si>
  <si>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</si>
  <si>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</si>
  <si>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</si>
  <si>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</si>
  <si>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</si>
  <si>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</si>
  <si>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E_19/2.1.20</t>
  </si>
  <si>
    <t>Вынос КЛ-0,4кВ ТП-1823 -до опоры №23 в ст.  ж/д 5 пер.Старинный (протяженностью 0,070км)</t>
  </si>
  <si>
    <t>E_19/2.1.21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</si>
  <si>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</si>
  <si>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</si>
  <si>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</si>
  <si>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E_19/2.1.23</t>
  </si>
  <si>
    <t>Вынос КЛ-6кВ ТП-1823 до М-7 в ТП-1451(протяженностью 0,0932км)</t>
  </si>
  <si>
    <t>E_19/2.1.24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</si>
  <si>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</si>
  <si>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</si>
  <si>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</si>
  <si>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</si>
  <si>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</si>
  <si>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</si>
  <si>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</si>
  <si>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Строительство КЛ-10 кВ до границы участка по Плехановская ул., 9 (ООО "ГК "Лотос", дог. № 1169 от 15.01.2014 г., протяженность -  0,079 км)</t>
  </si>
  <si>
    <t xml:space="preserve"> Строительство ТП с двумя трасформаторами 1 МВА. по договору Т.П. (свыше 670 кВт) №836 от 10.12.2015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</si>
  <si>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</si>
  <si>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</si>
  <si>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J_19/00016</t>
  </si>
  <si>
    <t>J_19/00017</t>
  </si>
  <si>
    <t>J_19/00018</t>
  </si>
  <si>
    <t>J_19/00019</t>
  </si>
  <si>
    <t>J_19/00020</t>
  </si>
  <si>
    <t>G_16/00015</t>
  </si>
  <si>
    <t>H_17/00048</t>
  </si>
  <si>
    <t>F_15/00041</t>
  </si>
  <si>
    <t>J_19/00021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</si>
  <si>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</si>
  <si>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Перенос сроков приобретения оборудования  года в связи с проведением торговых процедур.</t>
  </si>
  <si>
    <t>за 9 месяцев 2019 года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</si>
  <si>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</si>
  <si>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</si>
  <si>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</si>
  <si>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 xml:space="preserve">Строительство ТП  для технологического присоединения. Новое строительство 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</si>
  <si>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</si>
  <si>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</si>
  <si>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</si>
  <si>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</si>
  <si>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</si>
  <si>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</si>
  <si>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для технологического присоединения. Новое строительство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</si>
  <si>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</si>
  <si>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</si>
  <si>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Реконструкция ВЛ-0,4кВ для технологического присоединения от ТП-201А (протяженность по трассе 0,020км)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</si>
  <si>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</si>
  <si>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</si>
  <si>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</si>
  <si>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0,360км)</t>
  </si>
  <si>
    <t>Монтаж устройств охранной сигнализации в ТП-995 по адресу: пр. Патриотов, 7/1Т</t>
  </si>
  <si>
    <t>E_19/1.3.23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</si>
  <si>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</si>
  <si>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</si>
  <si>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</si>
  <si>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E_19/1.3.5.9.А</t>
  </si>
  <si>
    <t>Реконструкция высоковольтного оборудования (замена трансформаторов 2х400) РП-30</t>
  </si>
  <si>
    <t>E_19/1.3.5.10.А</t>
  </si>
  <si>
    <t>Реконструкция высоковольтного оборудования (замена трансформаторов 2х630) ТП-1164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</si>
  <si>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</si>
  <si>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</si>
  <si>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</si>
  <si>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</si>
  <si>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</si>
  <si>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</si>
  <si>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</si>
  <si>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</si>
  <si>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</si>
  <si>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</si>
  <si>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</si>
  <si>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</si>
  <si>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</si>
  <si>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</si>
  <si>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Строительство КЛ-0,4кВ ТП-807- до оп.№5 ул.9 Января (протяженностью 0,306км)</t>
  </si>
  <si>
    <t>E_19/1.1.2.26</t>
  </si>
  <si>
    <t>Реконструкция КЛ-0,4кВ ТП-812 до ж/д 286 ул. 9 Января  (протяженностью 1,192км)</t>
  </si>
  <si>
    <t>E_19/1.1.2.27</t>
  </si>
  <si>
    <t>Вынос ЛЭП ВЛ-0,4кВ ТП-81 по адресу: пр.Московский</t>
  </si>
  <si>
    <t>E_19/1.1.2.28</t>
  </si>
  <si>
    <t>Вынос ТП-460- ТП-251 (протяженность 0,193км)</t>
  </si>
  <si>
    <t>Вынос КЛ-6кВ БКТП-1882 ТП-305 от муфты М-1 до М-2 (протяженность по трассе 0,116км)</t>
  </si>
  <si>
    <t>Вынос КЛ-6кВ РП-28-ТП-896 из зоны строительства ул.Хользунова 9 (протяженность по трассе 0,167км)</t>
  </si>
  <si>
    <t>E_19/1.1.3.44</t>
  </si>
  <si>
    <t>Вынос КЛ-6кВ РП-21 ТП-751 (от муфты М-1 до М-2) (протяженность по трассе 0,044км)</t>
  </si>
  <si>
    <t>E_19/1.1.3.45</t>
  </si>
  <si>
    <t>Вынос КЛ-6кВ БКТП-1882 ТП-339 от муфты М-1 до М-2 (протяженность по трассе 0,116км)</t>
  </si>
  <si>
    <t>E_19/1.1.3.46</t>
  </si>
  <si>
    <t>Строительство КЛ-0,4кВ ТП-457- до оп.№1 ул.Варейкиса (протяженность по трассе  0,068км)</t>
  </si>
  <si>
    <t>Строительство КЛ-0,4кВ ТП-19- до оп.№20 в сторону ул.Ремесленная гора,13 (протяженность по трассе  0,023км)</t>
  </si>
  <si>
    <t>Установка сигнализации с целью предотвращения хищений электроэнергии.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</si>
  <si>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</si>
  <si>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Объект переходящий по инвестиционной программе 2018 года (задержка поставки оборудования ввиду несвоевременной оплаты)</t>
  </si>
  <si>
    <t>Перенос сроков выполнения работ  в связи с проведением торговых процедур (отсутствие материалов).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</si>
  <si>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</si>
  <si>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</si>
  <si>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</si>
  <si>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</si>
  <si>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</si>
  <si>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</si>
  <si>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</si>
  <si>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</si>
  <si>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Перенос сроков выполнения работ в связи с длительным проведением торговых процедур (отсутствие оборудования). Планируемый срок выполнения  4 кв. 2019 года</t>
  </si>
  <si>
    <t>Объект переходящий по инвестиционной программе 2018 года.(Задержка поставки оборудования)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</si>
  <si>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</si>
  <si>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</si>
  <si>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</si>
  <si>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Объект переходящий по инвестиционной программе 2018 года. (Длительное согласования прохождения КЛ с собственником участка)</t>
  </si>
  <si>
    <t>Ликвидация технологических нарушений.</t>
  </si>
  <si>
    <t>Организация электроснабжения общегородского выпускного вечера</t>
  </si>
  <si>
    <t>Перенос сроков выполнения работ  в связи с длительным выполнением проектных работ подрядной организацией.</t>
  </si>
  <si>
    <t>Перенос сроков выполнения работ  в связи с длительным проведением торговых процедур.</t>
  </si>
  <si>
    <t>Перенос сроков выполнения работ  в связи с длительным согласованием работ с ЗАО "ВПЖТ".</t>
  </si>
  <si>
    <t>Перенос сроков выполнения проектных работ подрядной организацией в связи с длительным согласованием проектной документации и сложностью трассы.</t>
  </si>
  <si>
    <t>Перенос сроков выполнения проектных работ в связи с длительным согласованием проектной документации.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</si>
  <si>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</si>
  <si>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</si>
  <si>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>Объект переходящий по инвестиционной программе 2018 года. (Восстановление элементов благоустройства)</t>
  </si>
  <si>
    <t>Перенос сроков выполнения на 4 кв.в связи с большим объемом проектирования.</t>
  </si>
  <si>
    <t>Перенос сроков выполнения работ  в связи с длительным согласованием проектной документации</t>
  </si>
  <si>
    <t xml:space="preserve">Перенос сроков с связи с возвратом некачественного оборудования. </t>
  </si>
  <si>
    <t>Перенос сроков выполнения работ  в связи с длительным согласованием проектной документации. Заказ топосъемки</t>
  </si>
  <si>
    <t>Заказ топосъемки</t>
  </si>
  <si>
    <t>Перенос сроков выполнения работ  в связи с длительным согласованием проектной документации.</t>
  </si>
  <si>
    <t>Ликвидация последствий технологических нарушений</t>
  </si>
  <si>
    <t>Ликвидация последствий технологических нарушений.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</si>
  <si>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</si>
  <si>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</si>
  <si>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Перенос сроков приобретения автотранспорта  в связи с длительным проведением торговых процедур.</t>
  </si>
  <si>
    <t>Работы выполнены. Учочнение ПСД,снижение стоимости работ.</t>
  </si>
  <si>
    <t>Работы выполнены. Учочнение ПСД,увеличение стоимости работ.</t>
  </si>
  <si>
    <t>Уточнение ПСД, снижение стоимости работ.</t>
  </si>
  <si>
    <t>Работы выполнены.Уточнение ПСД, снижение стоимости работ.</t>
  </si>
  <si>
    <t>Работы выполнены.Уточнение ПСД, увеличение стоимости работ.</t>
  </si>
  <si>
    <t>Работы выполнены. Уточнение ПСД, снижение стоимости работ.</t>
  </si>
  <si>
    <t>Работы выполнены. Уточнение ПСД, увеличение стоимости работ.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</si>
  <si>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</si>
  <si>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Перенос сроков выполнения работ на 4 кв связи с длительным изготовлением проекта и переговоров с поставщиками.</t>
  </si>
  <si>
    <t xml:space="preserve"> Строительство 6КЛ-1 кВ от ТП-376 протяженностью 6х0,38 км. по договору Т.П. (от 150 до 670 кВт)  №372 от 07.06.2018</t>
  </si>
  <si>
    <t>J_19/00023</t>
  </si>
  <si>
    <t xml:space="preserve"> Строительство 2КЛ-10 кВ от ТП-945 протяженностью 2х0,345 км. по договору Т.П. (от 150 до 670 кВт)  №531 от 28.06.2016</t>
  </si>
  <si>
    <t>J_19/00026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</si>
  <si>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</si>
  <si>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>J_19/00030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</si>
  <si>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</si>
  <si>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Перенос сроков выполнения работ на 4 кв. в связи с проведением торговых процедур.</t>
  </si>
  <si>
    <t>Проведена внеплановая реконструкция в связи с приведением сетей в соответствие с ПУЭ ( правилами устройства установок).</t>
  </si>
  <si>
    <t>Проведена внеплановая реконструкция в связи с непригодностью существующей кабельной линией и невозможностью проведения ремонта.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</si>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</sst>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0" fillId="0" borderId="0"/>
    <xf numFmtId="0" fontId="30" fillId="0" borderId="0"/>
    <xf numFmtId="164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7">
    <xf numFmtId="0" fontId="0" fillId="0" borderId="0" xfId="0"/>
    <xf numFmtId="0" fontId="10" fillId="24" borderId="0" xfId="37" applyFont="1" applyFill="1" applyBorder="1"/>
    <xf numFmtId="0" fontId="36" fillId="24" borderId="10" xfId="0" quotePrefix="1" applyFont="1" applyFill="1" applyBorder="1" applyAlignment="1">
      <alignment horizontal="center" vertical="top"/>
    </xf>
    <xf numFmtId="0" fontId="36" fillId="24" borderId="10" xfId="0" applyFont="1" applyFill="1" applyBorder="1" applyAlignment="1">
      <alignment vertical="center" wrapText="1"/>
    </xf>
    <xf numFmtId="1" fontId="36" fillId="24" borderId="10" xfId="0" applyNumberFormat="1" applyFont="1" applyFill="1" applyBorder="1" applyAlignment="1">
      <alignment vertical="center"/>
    </xf>
    <xf numFmtId="0" fontId="36" fillId="24" borderId="10" xfId="0" applyFont="1" applyFill="1" applyBorder="1" applyAlignment="1">
      <alignment vertical="top" wrapText="1"/>
    </xf>
    <xf numFmtId="1" fontId="36" fillId="24" borderId="10" xfId="0" applyNumberFormat="1" applyFont="1" applyFill="1" applyBorder="1" applyAlignment="1">
      <alignment vertical="center" wrapText="1"/>
    </xf>
    <xf numFmtId="1" fontId="37" fillId="24" borderId="10" xfId="37" quotePrefix="1" applyNumberFormat="1" applyFont="1" applyFill="1" applyBorder="1" applyAlignment="1">
      <alignment horizontal="center" vertical="center"/>
    </xf>
    <xf numFmtId="1" fontId="37" fillId="24" borderId="10" xfId="37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vertical="center"/>
    </xf>
    <xf numFmtId="0" fontId="35" fillId="24" borderId="10" xfId="0" quotePrefix="1" applyFont="1" applyFill="1" applyBorder="1" applyAlignment="1">
      <alignment horizontal="center" vertical="top"/>
    </xf>
    <xf numFmtId="0" fontId="34" fillId="24" borderId="10" xfId="0" applyFont="1" applyFill="1" applyBorder="1" applyAlignment="1">
      <alignment vertical="top" wrapText="1"/>
    </xf>
    <xf numFmtId="1" fontId="35" fillId="24" borderId="10" xfId="0" applyNumberFormat="1" applyFont="1" applyFill="1" applyBorder="1" applyAlignment="1">
      <alignment vertical="top"/>
    </xf>
    <xf numFmtId="1" fontId="34" fillId="24" borderId="10" xfId="37" quotePrefix="1" applyNumberFormat="1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wrapText="1"/>
    </xf>
    <xf numFmtId="1" fontId="35" fillId="24" borderId="10" xfId="0" applyNumberFormat="1" applyFont="1" applyFill="1" applyBorder="1"/>
    <xf numFmtId="0" fontId="36" fillId="24" borderId="11" xfId="0" quotePrefix="1" applyFont="1" applyFill="1" applyBorder="1" applyAlignment="1">
      <alignment horizontal="center" vertical="top"/>
    </xf>
    <xf numFmtId="0" fontId="36" fillId="24" borderId="11" xfId="0" applyFont="1" applyFill="1" applyBorder="1" applyAlignment="1">
      <alignment vertical="top" wrapText="1"/>
    </xf>
    <xf numFmtId="1" fontId="36" fillId="24" borderId="11" xfId="0" applyNumberFormat="1" applyFont="1" applyFill="1" applyBorder="1" applyAlignment="1">
      <alignment vertical="center" wrapText="1"/>
    </xf>
    <xf numFmtId="0" fontId="34" fillId="24" borderId="10" xfId="0" quotePrefix="1" applyFont="1" applyFill="1" applyBorder="1" applyAlignment="1">
      <alignment horizontal="center"/>
    </xf>
    <xf numFmtId="1" fontId="34" fillId="24" borderId="10" xfId="0" applyNumberFormat="1" applyFont="1" applyFill="1" applyBorder="1"/>
    <xf numFmtId="0" fontId="35" fillId="24" borderId="10" xfId="0" quotePrefix="1" applyFont="1" applyFill="1" applyBorder="1" applyAlignment="1">
      <alignment horizontal="center"/>
    </xf>
    <xf numFmtId="0" fontId="35" fillId="24" borderId="10" xfId="0" applyFont="1" applyFill="1" applyBorder="1" applyAlignment="1">
      <alignment wrapText="1"/>
    </xf>
    <xf numFmtId="1" fontId="34" fillId="24" borderId="10" xfId="37" applyNumberFormat="1" applyFont="1" applyFill="1" applyBorder="1" applyAlignment="1">
      <alignment vertical="center" wrapText="1"/>
    </xf>
    <xf numFmtId="1" fontId="34" fillId="24" borderId="10" xfId="37" applyNumberFormat="1" applyFont="1" applyFill="1" applyBorder="1" applyAlignment="1">
      <alignment vertical="center"/>
    </xf>
    <xf numFmtId="0" fontId="35" fillId="24" borderId="10" xfId="0" applyFont="1" applyFill="1" applyBorder="1" applyAlignment="1">
      <alignment vertical="top" wrapText="1"/>
    </xf>
    <xf numFmtId="0" fontId="34" fillId="24" borderId="0" xfId="37" applyFont="1" applyFill="1"/>
    <xf numFmtId="0" fontId="34" fillId="24" borderId="0" xfId="37" applyFont="1" applyFill="1" applyAlignment="1">
      <alignment horizontal="right" vertical="center"/>
    </xf>
    <xf numFmtId="0" fontId="34" fillId="24" borderId="0" xfId="37" applyFont="1" applyFill="1" applyAlignment="1">
      <alignment horizontal="right"/>
    </xf>
    <xf numFmtId="4" fontId="37" fillId="24" borderId="10" xfId="37" applyNumberFormat="1" applyFont="1" applyFill="1" applyBorder="1"/>
    <xf numFmtId="0" fontId="37" fillId="24" borderId="10" xfId="37" applyFont="1" applyFill="1" applyBorder="1"/>
    <xf numFmtId="0" fontId="10" fillId="24" borderId="10" xfId="37" applyFont="1" applyFill="1" applyBorder="1" applyAlignment="1">
      <alignment horizontal="center" vertical="center" wrapText="1"/>
    </xf>
    <xf numFmtId="0" fontId="34" fillId="24" borderId="10" xfId="37" applyFont="1" applyFill="1" applyBorder="1" applyAlignment="1">
      <alignment vertical="center" wrapText="1"/>
    </xf>
    <xf numFmtId="0" fontId="34" fillId="24" borderId="10" xfId="0" applyFont="1" applyFill="1" applyBorder="1" applyAlignment="1">
      <alignment vertical="center" wrapText="1"/>
    </xf>
    <xf numFmtId="0" fontId="10" fillId="24" borderId="0" xfId="37" applyFont="1" applyFill="1"/>
    <xf numFmtId="1" fontId="35" fillId="24" borderId="10" xfId="0" applyNumberFormat="1" applyFont="1" applyFill="1" applyBorder="1" applyAlignment="1">
      <alignment vertical="center" wrapText="1"/>
    </xf>
    <xf numFmtId="167" fontId="37" fillId="24" borderId="10" xfId="37" applyNumberFormat="1" applyFont="1" applyFill="1" applyBorder="1" applyAlignment="1">
      <alignment horizontal="right"/>
    </xf>
    <xf numFmtId="167" fontId="34" fillId="24" borderId="10" xfId="37" applyNumberFormat="1" applyFont="1" applyFill="1" applyBorder="1" applyAlignment="1">
      <alignment horizontal="right"/>
    </xf>
    <xf numFmtId="0" fontId="34" fillId="24" borderId="10" xfId="37" applyFont="1" applyFill="1" applyBorder="1"/>
    <xf numFmtId="167" fontId="34" fillId="24" borderId="10" xfId="37" applyNumberFormat="1" applyFont="1" applyFill="1" applyBorder="1"/>
    <xf numFmtId="4" fontId="34" fillId="24" borderId="10" xfId="37" applyNumberFormat="1" applyFont="1" applyFill="1" applyBorder="1"/>
    <xf numFmtId="167" fontId="37" fillId="24" borderId="10" xfId="37" applyNumberFormat="1" applyFont="1" applyFill="1" applyBorder="1"/>
    <xf numFmtId="0" fontId="34" fillId="24" borderId="10" xfId="0" applyFont="1" applyFill="1" applyBorder="1" applyAlignment="1">
      <alignment horizontal="left" vertical="top" wrapText="1"/>
    </xf>
    <xf numFmtId="0" fontId="35" fillId="24" borderId="10" xfId="0" applyFont="1" applyFill="1" applyBorder="1" applyAlignment="1">
      <alignment vertical="top"/>
    </xf>
    <xf numFmtId="0" fontId="34" fillId="24" borderId="10" xfId="0" applyFont="1" applyFill="1" applyBorder="1"/>
    <xf numFmtId="1" fontId="10" fillId="24" borderId="10" xfId="37" applyNumberFormat="1" applyFont="1" applyFill="1" applyBorder="1" applyAlignment="1">
      <alignment vertical="center" wrapText="1"/>
    </xf>
    <xf numFmtId="1" fontId="10" fillId="24" borderId="10" xfId="37" applyNumberFormat="1" applyFont="1" applyFill="1" applyBorder="1" applyAlignment="1">
      <alignment vertical="center"/>
    </xf>
    <xf numFmtId="0" fontId="35" fillId="24" borderId="10" xfId="0" applyFont="1" applyFill="1" applyBorder="1"/>
    <xf numFmtId="1" fontId="10" fillId="24" borderId="10" xfId="37" quotePrefix="1" applyNumberFormat="1" applyFont="1" applyFill="1" applyBorder="1" applyAlignment="1">
      <alignment horizontal="center" vertical="center"/>
    </xf>
    <xf numFmtId="1" fontId="35" fillId="24" borderId="11" xfId="0" applyNumberFormat="1" applyFont="1" applyFill="1" applyBorder="1" applyAlignment="1">
      <alignment vertical="center" wrapText="1"/>
    </xf>
    <xf numFmtId="0" fontId="35" fillId="24" borderId="11" xfId="0" quotePrefix="1" applyFont="1" applyFill="1" applyBorder="1" applyAlignment="1">
      <alignment horizontal="center" vertical="top"/>
    </xf>
    <xf numFmtId="0" fontId="35" fillId="24" borderId="11" xfId="0" applyFont="1" applyFill="1" applyBorder="1" applyAlignment="1">
      <alignment vertical="top" wrapText="1"/>
    </xf>
    <xf numFmtId="2" fontId="34" fillId="24" borderId="10" xfId="37" quotePrefix="1" applyNumberFormat="1" applyFont="1" applyFill="1" applyBorder="1" applyAlignment="1">
      <alignment horizontal="center" vertical="center" wrapText="1"/>
    </xf>
    <xf numFmtId="2" fontId="35" fillId="24" borderId="10" xfId="0" quotePrefix="1" applyNumberFormat="1" applyFont="1" applyFill="1" applyBorder="1" applyAlignment="1">
      <alignment horizontal="center" vertical="center" wrapText="1"/>
    </xf>
    <xf numFmtId="1" fontId="10" fillId="24" borderId="10" xfId="37" quotePrefix="1" applyNumberFormat="1" applyFill="1" applyBorder="1" applyAlignment="1">
      <alignment horizontal="center" vertical="center"/>
    </xf>
    <xf numFmtId="167" fontId="34" fillId="24" borderId="10" xfId="37" applyNumberFormat="1" applyFont="1" applyFill="1" applyBorder="1" applyAlignment="1">
      <alignment vertical="center" wrapText="1"/>
    </xf>
    <xf numFmtId="167" fontId="34" fillId="24" borderId="0" xfId="37" applyNumberFormat="1" applyFont="1" applyFill="1"/>
    <xf numFmtId="168" fontId="38" fillId="24" borderId="10" xfId="45" applyNumberFormat="1" applyFont="1" applyFill="1" applyBorder="1" applyAlignment="1"/>
    <xf numFmtId="2" fontId="34" fillId="24" borderId="11" xfId="0" quotePrefix="1" applyNumberFormat="1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wrapText="1"/>
    </xf>
    <xf numFmtId="0" fontId="34" fillId="24" borderId="11" xfId="0" applyFont="1" applyFill="1" applyBorder="1"/>
    <xf numFmtId="0" fontId="34" fillId="24" borderId="0" xfId="37" applyFont="1" applyFill="1" applyBorder="1" applyAlignment="1">
      <alignment horizontal="center"/>
    </xf>
    <xf numFmtId="0" fontId="34" fillId="24" borderId="10" xfId="37" applyFont="1" applyFill="1" applyBorder="1" applyAlignment="1">
      <alignment horizontal="center" vertical="center" wrapText="1"/>
    </xf>
    <xf numFmtId="0" fontId="34" fillId="24" borderId="0" xfId="37" applyFont="1" applyFill="1" applyBorder="1" applyAlignment="1">
      <alignment horizontal="center"/>
    </xf>
    <xf numFmtId="0" fontId="34" fillId="24" borderId="0" xfId="0" applyFont="1" applyFill="1" applyAlignment="1">
      <alignment horizontal="center"/>
    </xf>
    <xf numFmtId="0" fontId="34" fillId="24" borderId="10" xfId="37" applyFont="1" applyFill="1" applyBorder="1" applyAlignment="1">
      <alignment horizontal="center" vertical="center" wrapText="1"/>
    </xf>
    <xf numFmtId="0" fontId="34" fillId="24" borderId="12" xfId="37" applyFont="1" applyFill="1" applyBorder="1" applyAlignment="1">
      <alignment horizontal="center" vertical="center" wrapText="1"/>
    </xf>
    <xf numFmtId="0" fontId="34" fillId="24" borderId="15" xfId="37" applyFont="1" applyFill="1" applyBorder="1" applyAlignment="1">
      <alignment horizontal="center" vertical="center" wrapText="1"/>
    </xf>
    <xf numFmtId="167" fontId="34" fillId="24" borderId="11" xfId="37" applyNumberFormat="1" applyFont="1" applyFill="1" applyBorder="1" applyAlignment="1">
      <alignment vertical="center" wrapText="1"/>
    </xf>
    <xf numFmtId="167" fontId="34" fillId="24" borderId="16" xfId="37" applyNumberFormat="1" applyFont="1" applyFill="1" applyBorder="1" applyAlignment="1">
      <alignment vertical="center" wrapText="1"/>
    </xf>
    <xf numFmtId="167" fontId="34" fillId="24" borderId="13" xfId="37" applyNumberFormat="1" applyFont="1" applyFill="1" applyBorder="1" applyAlignment="1">
      <alignment vertical="center" wrapText="1"/>
    </xf>
    <xf numFmtId="4" fontId="34" fillId="24" borderId="11" xfId="37" applyNumberFormat="1" applyFont="1" applyFill="1" applyBorder="1" applyAlignment="1">
      <alignment vertical="center" wrapText="1"/>
    </xf>
    <xf numFmtId="4" fontId="34" fillId="24" borderId="16" xfId="37" applyNumberFormat="1" applyFont="1" applyFill="1" applyBorder="1" applyAlignment="1">
      <alignment vertical="center" wrapText="1"/>
    </xf>
    <xf numFmtId="4" fontId="34" fillId="24" borderId="13" xfId="37" applyNumberFormat="1" applyFont="1" applyFill="1" applyBorder="1" applyAlignment="1">
      <alignment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>
      <alignment horizontal="center" vertical="center" wrapText="1"/>
    </xf>
    <xf numFmtId="0" fontId="34" fillId="24" borderId="15" xfId="37" applyFont="1" applyFill="1" applyBorder="1" applyAlignment="1">
      <alignment horizontal="center" vertical="center" wrapText="1"/>
    </xf>
    <xf numFmtId="0" fontId="34" fillId="24" borderId="19" xfId="37" applyFont="1" applyFill="1" applyBorder="1" applyAlignment="1">
      <alignment horizontal="center" vertical="center" wrapText="1"/>
    </xf>
    <xf numFmtId="0" fontId="34" fillId="24" borderId="14" xfId="37" applyFont="1" applyFill="1" applyBorder="1" applyAlignment="1">
      <alignment horizontal="center" vertical="center" wrapText="1"/>
    </xf>
    <xf numFmtId="0" fontId="34" fillId="24" borderId="18" xfId="37" applyFont="1" applyFill="1" applyBorder="1" applyAlignment="1">
      <alignment horizontal="center" vertical="center" wrapText="1"/>
    </xf>
    <xf numFmtId="0" fontId="34" fillId="24" borderId="10" xfId="37" applyFont="1" applyFill="1" applyBorder="1" applyAlignment="1">
      <alignment horizontal="center" vertical="center" wrapText="1"/>
    </xf>
    <xf numFmtId="0" fontId="34" fillId="24" borderId="11" xfId="37" applyFont="1" applyFill="1" applyBorder="1" applyAlignment="1">
      <alignment horizontal="center" vertical="center" wrapText="1"/>
    </xf>
    <xf numFmtId="0" fontId="34" fillId="24" borderId="16" xfId="37" applyFont="1" applyFill="1" applyBorder="1" applyAlignment="1">
      <alignment horizontal="center" vertical="center" wrapText="1"/>
    </xf>
    <xf numFmtId="0" fontId="34" fillId="24" borderId="13" xfId="37" applyFont="1" applyFill="1" applyBorder="1" applyAlignment="1">
      <alignment horizontal="center" vertical="center" wrapText="1"/>
    </xf>
    <xf numFmtId="0" fontId="34" fillId="24" borderId="10" xfId="37" applyFont="1" applyFill="1" applyBorder="1" applyAlignment="1">
      <alignment horizontal="center" vertical="center" textRotation="90" wrapText="1"/>
    </xf>
    <xf numFmtId="0" fontId="34" fillId="24" borderId="11" xfId="37" applyFont="1" applyFill="1" applyBorder="1" applyAlignment="1">
      <alignment vertical="center" wrapText="1"/>
    </xf>
    <xf numFmtId="0" fontId="34" fillId="24" borderId="16" xfId="37" applyFont="1" applyFill="1" applyBorder="1" applyAlignment="1">
      <alignment vertical="center" wrapText="1"/>
    </xf>
    <xf numFmtId="0" fontId="34" fillId="24" borderId="13" xfId="37" applyFont="1" applyFill="1" applyBorder="1" applyAlignment="1">
      <alignment vertical="center" wrapText="1"/>
    </xf>
    <xf numFmtId="167" fontId="34" fillId="24" borderId="11" xfId="37" applyNumberFormat="1" applyFont="1" applyFill="1" applyBorder="1" applyAlignment="1">
      <alignment horizontal="center" vertical="center" wrapText="1"/>
    </xf>
    <xf numFmtId="167" fontId="34" fillId="24" borderId="16" xfId="37" applyNumberFormat="1" applyFont="1" applyFill="1" applyBorder="1" applyAlignment="1">
      <alignment horizontal="center" vertical="center" wrapText="1"/>
    </xf>
    <xf numFmtId="167" fontId="34" fillId="24" borderId="13" xfId="37" applyNumberFormat="1" applyFont="1" applyFill="1" applyBorder="1" applyAlignment="1">
      <alignment horizontal="center" vertical="center" wrapText="1"/>
    </xf>
    <xf numFmtId="0" fontId="34" fillId="24" borderId="20" xfId="37" applyFont="1" applyFill="1" applyBorder="1" applyAlignment="1">
      <alignment horizontal="center"/>
    </xf>
    <xf numFmtId="0" fontId="34" fillId="24" borderId="0" xfId="37" applyFont="1" applyFill="1" applyBorder="1" applyAlignment="1">
      <alignment horizontal="center"/>
    </xf>
    <xf numFmtId="0" fontId="34" fillId="24" borderId="0" xfId="37" applyFont="1" applyFill="1" applyAlignment="1">
      <alignment horizontal="center" wrapText="1"/>
    </xf>
    <xf numFmtId="0" fontId="35" fillId="24" borderId="0" xfId="54" applyFont="1" applyFill="1" applyAlignment="1">
      <alignment horizontal="center" vertical="center"/>
    </xf>
    <xf numFmtId="0" fontId="34" fillId="24" borderId="0" xfId="0" applyFont="1" applyFill="1" applyAlignment="1">
      <alignment horizontal="center"/>
    </xf>
    <xf numFmtId="0" fontId="10" fillId="24" borderId="11" xfId="37" applyFont="1" applyFill="1" applyBorder="1" applyAlignment="1">
      <alignment horizontal="center" vertical="center" wrapText="1"/>
    </xf>
    <xf numFmtId="0" fontId="10" fillId="24" borderId="16" xfId="37" applyFont="1" applyFill="1" applyBorder="1" applyAlignment="1">
      <alignment horizontal="center" vertical="center" wrapText="1"/>
    </xf>
    <xf numFmtId="0" fontId="10" fillId="24" borderId="13" xfId="37" applyFont="1" applyFill="1" applyBorder="1" applyAlignment="1">
      <alignment horizontal="center" vertical="center" wrapText="1"/>
    </xf>
    <xf numFmtId="0" fontId="34" fillId="24" borderId="12" xfId="37" applyFont="1" applyFill="1" applyBorder="1" applyAlignment="1">
      <alignment horizontal="center" vertical="center" wrapText="1"/>
    </xf>
    <xf numFmtId="0" fontId="34" fillId="24" borderId="23" xfId="37" applyFont="1" applyFill="1" applyBorder="1" applyAlignment="1">
      <alignment horizontal="center" vertical="center" wrapText="1"/>
    </xf>
    <xf numFmtId="0" fontId="34" fillId="24" borderId="17" xfId="37" applyFont="1" applyFill="1" applyBorder="1" applyAlignment="1">
      <alignment horizontal="center" vertical="center" wrapText="1"/>
    </xf>
    <xf numFmtId="0" fontId="34" fillId="24" borderId="21" xfId="37" applyFont="1" applyFill="1" applyBorder="1" applyAlignment="1">
      <alignment horizontal="center" vertical="center" wrapText="1"/>
    </xf>
    <xf numFmtId="0" fontId="34" fillId="24" borderId="22" xfId="37" applyFont="1" applyFill="1" applyBorder="1" applyAlignment="1">
      <alignment horizontal="center" vertical="center" wrapText="1"/>
    </xf>
    <xf numFmtId="0" fontId="39" fillId="0" borderId="0" xfId="54" applyFont="1" applyFill="1" applyAlignment="1">
      <alignment horizontal="center" vertical="center"/>
    </xf>
    <xf numFmtId="0" fontId="40" fillId="0" borderId="0" xfId="54" applyFont="1" applyFill="1" applyAlignment="1">
      <alignment horizontal="center" vertical="center"/>
    </xf>
  </cellXfs>
  <cellStyles count="114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622"/>
    <cellStyle name="Обычный 6 11" xfId="450"/>
    <cellStyle name="Обычный 6 11 2" xfId="623"/>
    <cellStyle name="Обычный 6 12" xfId="621"/>
    <cellStyle name="Обычный 6 2" xfId="52"/>
    <cellStyle name="Обычный 6 2 10" xfId="109"/>
    <cellStyle name="Обычный 6 2 10 2" xfId="625"/>
    <cellStyle name="Обычный 6 2 11" xfId="282"/>
    <cellStyle name="Обычный 6 2 11 2" xfId="626"/>
    <cellStyle name="Обычный 6 2 12" xfId="453"/>
    <cellStyle name="Обычный 6 2 12 2" xfId="627"/>
    <cellStyle name="Обычный 6 2 13" xfId="624"/>
    <cellStyle name="Обычный 6 2 2" xfId="53"/>
    <cellStyle name="Обычный 6 2 2 10" xfId="283"/>
    <cellStyle name="Обычный 6 2 2 10 2" xfId="629"/>
    <cellStyle name="Обычный 6 2 2 11" xfId="454"/>
    <cellStyle name="Обычный 6 2 2 11 2" xfId="630"/>
    <cellStyle name="Обычный 6 2 2 12" xfId="628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635"/>
    <cellStyle name="Обычный 6 2 2 2 2 2 2 3" xfId="481"/>
    <cellStyle name="Обычный 6 2 2 2 2 2 2 3 2" xfId="636"/>
    <cellStyle name="Обычный 6 2 2 2 2 2 2 4" xfId="634"/>
    <cellStyle name="Обычный 6 2 2 2 2 2 3" xfId="139"/>
    <cellStyle name="Обычный 6 2 2 2 2 2 3 2" xfId="311"/>
    <cellStyle name="Обычный 6 2 2 2 2 2 3 2 2" xfId="638"/>
    <cellStyle name="Обычный 6 2 2 2 2 2 3 3" xfId="482"/>
    <cellStyle name="Обычный 6 2 2 2 2 2 3 3 2" xfId="639"/>
    <cellStyle name="Обычный 6 2 2 2 2 2 3 4" xfId="637"/>
    <cellStyle name="Обычный 6 2 2 2 2 2 4" xfId="309"/>
    <cellStyle name="Обычный 6 2 2 2 2 2 4 2" xfId="640"/>
    <cellStyle name="Обычный 6 2 2 2 2 2 5" xfId="480"/>
    <cellStyle name="Обычный 6 2 2 2 2 2 5 2" xfId="641"/>
    <cellStyle name="Обычный 6 2 2 2 2 2 6" xfId="633"/>
    <cellStyle name="Обычный 6 2 2 2 2 3" xfId="140"/>
    <cellStyle name="Обычный 6 2 2 2 2 3 2" xfId="312"/>
    <cellStyle name="Обычный 6 2 2 2 2 3 2 2" xfId="643"/>
    <cellStyle name="Обычный 6 2 2 2 2 3 3" xfId="483"/>
    <cellStyle name="Обычный 6 2 2 2 2 3 3 2" xfId="644"/>
    <cellStyle name="Обычный 6 2 2 2 2 3 4" xfId="642"/>
    <cellStyle name="Обычный 6 2 2 2 2 4" xfId="141"/>
    <cellStyle name="Обычный 6 2 2 2 2 4 2" xfId="313"/>
    <cellStyle name="Обычный 6 2 2 2 2 4 2 2" xfId="646"/>
    <cellStyle name="Обычный 6 2 2 2 2 4 3" xfId="484"/>
    <cellStyle name="Обычный 6 2 2 2 2 4 3 2" xfId="647"/>
    <cellStyle name="Обычный 6 2 2 2 2 4 4" xfId="645"/>
    <cellStyle name="Обычный 6 2 2 2 2 5" xfId="305"/>
    <cellStyle name="Обычный 6 2 2 2 2 5 2" xfId="648"/>
    <cellStyle name="Обычный 6 2 2 2 2 6" xfId="476"/>
    <cellStyle name="Обычный 6 2 2 2 2 6 2" xfId="649"/>
    <cellStyle name="Обычный 6 2 2 2 2 7" xfId="632"/>
    <cellStyle name="Обычный 6 2 2 2 3" xfId="135"/>
    <cellStyle name="Обычный 6 2 2 2 3 2" xfId="142"/>
    <cellStyle name="Обычный 6 2 2 2 3 2 2" xfId="314"/>
    <cellStyle name="Обычный 6 2 2 2 3 2 2 2" xfId="652"/>
    <cellStyle name="Обычный 6 2 2 2 3 2 3" xfId="485"/>
    <cellStyle name="Обычный 6 2 2 2 3 2 3 2" xfId="653"/>
    <cellStyle name="Обычный 6 2 2 2 3 2 4" xfId="651"/>
    <cellStyle name="Обычный 6 2 2 2 3 3" xfId="143"/>
    <cellStyle name="Обычный 6 2 2 2 3 3 2" xfId="315"/>
    <cellStyle name="Обычный 6 2 2 2 3 3 2 2" xfId="655"/>
    <cellStyle name="Обычный 6 2 2 2 3 3 3" xfId="486"/>
    <cellStyle name="Обычный 6 2 2 2 3 3 3 2" xfId="656"/>
    <cellStyle name="Обычный 6 2 2 2 3 3 4" xfId="654"/>
    <cellStyle name="Обычный 6 2 2 2 3 4" xfId="307"/>
    <cellStyle name="Обычный 6 2 2 2 3 4 2" xfId="657"/>
    <cellStyle name="Обычный 6 2 2 2 3 5" xfId="478"/>
    <cellStyle name="Обычный 6 2 2 2 3 5 2" xfId="658"/>
    <cellStyle name="Обычный 6 2 2 2 3 6" xfId="650"/>
    <cellStyle name="Обычный 6 2 2 2 4" xfId="144"/>
    <cellStyle name="Обычный 6 2 2 2 4 2" xfId="316"/>
    <cellStyle name="Обычный 6 2 2 2 4 2 2" xfId="660"/>
    <cellStyle name="Обычный 6 2 2 2 4 3" xfId="487"/>
    <cellStyle name="Обычный 6 2 2 2 4 3 2" xfId="661"/>
    <cellStyle name="Обычный 6 2 2 2 4 4" xfId="659"/>
    <cellStyle name="Обычный 6 2 2 2 5" xfId="145"/>
    <cellStyle name="Обычный 6 2 2 2 5 2" xfId="317"/>
    <cellStyle name="Обычный 6 2 2 2 5 2 2" xfId="663"/>
    <cellStyle name="Обычный 6 2 2 2 5 3" xfId="488"/>
    <cellStyle name="Обычный 6 2 2 2 5 3 2" xfId="664"/>
    <cellStyle name="Обычный 6 2 2 2 5 4" xfId="662"/>
    <cellStyle name="Обычный 6 2 2 2 6" xfId="288"/>
    <cellStyle name="Обычный 6 2 2 2 6 2" xfId="665"/>
    <cellStyle name="Обычный 6 2 2 2 7" xfId="459"/>
    <cellStyle name="Обычный 6 2 2 2 7 2" xfId="666"/>
    <cellStyle name="Обычный 6 2 2 2 8" xfId="631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670"/>
    <cellStyle name="Обычный 6 2 2 3 2 2 3" xfId="490"/>
    <cellStyle name="Обычный 6 2 2 3 2 2 3 2" xfId="671"/>
    <cellStyle name="Обычный 6 2 2 3 2 2 4" xfId="669"/>
    <cellStyle name="Обычный 6 2 2 3 2 3" xfId="148"/>
    <cellStyle name="Обычный 6 2 2 3 2 3 2" xfId="320"/>
    <cellStyle name="Обычный 6 2 2 3 2 3 2 2" xfId="673"/>
    <cellStyle name="Обычный 6 2 2 3 2 3 3" xfId="491"/>
    <cellStyle name="Обычный 6 2 2 3 2 3 3 2" xfId="674"/>
    <cellStyle name="Обычный 6 2 2 3 2 3 4" xfId="672"/>
    <cellStyle name="Обычный 6 2 2 3 2 4" xfId="318"/>
    <cellStyle name="Обычный 6 2 2 3 2 4 2" xfId="675"/>
    <cellStyle name="Обычный 6 2 2 3 2 5" xfId="489"/>
    <cellStyle name="Обычный 6 2 2 3 2 5 2" xfId="676"/>
    <cellStyle name="Обычный 6 2 2 3 2 6" xfId="668"/>
    <cellStyle name="Обычный 6 2 2 3 3" xfId="149"/>
    <cellStyle name="Обычный 6 2 2 3 3 2" xfId="321"/>
    <cellStyle name="Обычный 6 2 2 3 3 2 2" xfId="678"/>
    <cellStyle name="Обычный 6 2 2 3 3 3" xfId="492"/>
    <cellStyle name="Обычный 6 2 2 3 3 3 2" xfId="679"/>
    <cellStyle name="Обычный 6 2 2 3 3 4" xfId="677"/>
    <cellStyle name="Обычный 6 2 2 3 4" xfId="150"/>
    <cellStyle name="Обычный 6 2 2 3 4 2" xfId="322"/>
    <cellStyle name="Обычный 6 2 2 3 4 2 2" xfId="681"/>
    <cellStyle name="Обычный 6 2 2 3 4 3" xfId="493"/>
    <cellStyle name="Обычный 6 2 2 3 4 3 2" xfId="682"/>
    <cellStyle name="Обычный 6 2 2 3 4 4" xfId="680"/>
    <cellStyle name="Обычный 6 2 2 3 5" xfId="300"/>
    <cellStyle name="Обычный 6 2 2 3 5 2" xfId="683"/>
    <cellStyle name="Обычный 6 2 2 3 6" xfId="471"/>
    <cellStyle name="Обычный 6 2 2 3 6 2" xfId="684"/>
    <cellStyle name="Обычный 6 2 2 3 7" xfId="667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688"/>
    <cellStyle name="Обычный 6 2 2 4 2 2 3" xfId="495"/>
    <cellStyle name="Обычный 6 2 2 4 2 2 3 2" xfId="689"/>
    <cellStyle name="Обычный 6 2 2 4 2 2 4" xfId="687"/>
    <cellStyle name="Обычный 6 2 2 4 2 3" xfId="153"/>
    <cellStyle name="Обычный 6 2 2 4 2 3 2" xfId="325"/>
    <cellStyle name="Обычный 6 2 2 4 2 3 2 2" xfId="691"/>
    <cellStyle name="Обычный 6 2 2 4 2 3 3" xfId="496"/>
    <cellStyle name="Обычный 6 2 2 4 2 3 3 2" xfId="692"/>
    <cellStyle name="Обычный 6 2 2 4 2 3 4" xfId="690"/>
    <cellStyle name="Обычный 6 2 2 4 2 4" xfId="323"/>
    <cellStyle name="Обычный 6 2 2 4 2 4 2" xfId="693"/>
    <cellStyle name="Обычный 6 2 2 4 2 5" xfId="494"/>
    <cellStyle name="Обычный 6 2 2 4 2 5 2" xfId="694"/>
    <cellStyle name="Обычный 6 2 2 4 2 6" xfId="686"/>
    <cellStyle name="Обычный 6 2 2 4 3" xfId="154"/>
    <cellStyle name="Обычный 6 2 2 4 3 2" xfId="326"/>
    <cellStyle name="Обычный 6 2 2 4 3 2 2" xfId="696"/>
    <cellStyle name="Обычный 6 2 2 4 3 3" xfId="497"/>
    <cellStyle name="Обычный 6 2 2 4 3 3 2" xfId="697"/>
    <cellStyle name="Обычный 6 2 2 4 3 4" xfId="695"/>
    <cellStyle name="Обычный 6 2 2 4 4" xfId="155"/>
    <cellStyle name="Обычный 6 2 2 4 4 2" xfId="327"/>
    <cellStyle name="Обычный 6 2 2 4 4 2 2" xfId="699"/>
    <cellStyle name="Обычный 6 2 2 4 4 3" xfId="498"/>
    <cellStyle name="Обычный 6 2 2 4 4 3 2" xfId="700"/>
    <cellStyle name="Обычный 6 2 2 4 4 4" xfId="698"/>
    <cellStyle name="Обычный 6 2 2 4 5" xfId="293"/>
    <cellStyle name="Обычный 6 2 2 4 5 2" xfId="701"/>
    <cellStyle name="Обычный 6 2 2 4 6" xfId="464"/>
    <cellStyle name="Обычный 6 2 2 4 6 2" xfId="702"/>
    <cellStyle name="Обычный 6 2 2 4 7" xfId="685"/>
    <cellStyle name="Обычный 6 2 2 5" xfId="156"/>
    <cellStyle name="Обычный 6 2 2 5 2" xfId="157"/>
    <cellStyle name="Обычный 6 2 2 5 2 2" xfId="329"/>
    <cellStyle name="Обычный 6 2 2 5 2 2 2" xfId="705"/>
    <cellStyle name="Обычный 6 2 2 5 2 3" xfId="500"/>
    <cellStyle name="Обычный 6 2 2 5 2 3 2" xfId="706"/>
    <cellStyle name="Обычный 6 2 2 5 2 4" xfId="704"/>
    <cellStyle name="Обычный 6 2 2 5 3" xfId="158"/>
    <cellStyle name="Обычный 6 2 2 5 3 2" xfId="330"/>
    <cellStyle name="Обычный 6 2 2 5 3 2 2" xfId="708"/>
    <cellStyle name="Обычный 6 2 2 5 3 3" xfId="501"/>
    <cellStyle name="Обычный 6 2 2 5 3 3 2" xfId="709"/>
    <cellStyle name="Обычный 6 2 2 5 3 4" xfId="707"/>
    <cellStyle name="Обычный 6 2 2 5 4" xfId="328"/>
    <cellStyle name="Обычный 6 2 2 5 4 2" xfId="710"/>
    <cellStyle name="Обычный 6 2 2 5 5" xfId="499"/>
    <cellStyle name="Обычный 6 2 2 5 5 2" xfId="711"/>
    <cellStyle name="Обычный 6 2 2 5 6" xfId="703"/>
    <cellStyle name="Обычный 6 2 2 6" xfId="159"/>
    <cellStyle name="Обычный 6 2 2 6 2" xfId="331"/>
    <cellStyle name="Обычный 6 2 2 6 2 2" xfId="713"/>
    <cellStyle name="Обычный 6 2 2 6 3" xfId="502"/>
    <cellStyle name="Обычный 6 2 2 6 3 2" xfId="714"/>
    <cellStyle name="Обычный 6 2 2 6 4" xfId="712"/>
    <cellStyle name="Обычный 6 2 2 7" xfId="160"/>
    <cellStyle name="Обычный 6 2 2 7 2" xfId="332"/>
    <cellStyle name="Обычный 6 2 2 7 2 2" xfId="716"/>
    <cellStyle name="Обычный 6 2 2 7 3" xfId="503"/>
    <cellStyle name="Обычный 6 2 2 7 3 2" xfId="717"/>
    <cellStyle name="Обычный 6 2 2 7 4" xfId="715"/>
    <cellStyle name="Обычный 6 2 2 8" xfId="161"/>
    <cellStyle name="Обычный 6 2 2 8 2" xfId="333"/>
    <cellStyle name="Обычный 6 2 2 8 2 2" xfId="719"/>
    <cellStyle name="Обычный 6 2 2 8 3" xfId="504"/>
    <cellStyle name="Обычный 6 2 2 8 3 2" xfId="720"/>
    <cellStyle name="Обычный 6 2 2 8 4" xfId="718"/>
    <cellStyle name="Обычный 6 2 2 9" xfId="110"/>
    <cellStyle name="Обычный 6 2 2 9 2" xfId="721"/>
    <cellStyle name="Обычный 6 2 3" xfId="101"/>
    <cellStyle name="Обычный 6 2 3 10" xfId="285"/>
    <cellStyle name="Обычный 6 2 3 10 2" xfId="723"/>
    <cellStyle name="Обычный 6 2 3 11" xfId="456"/>
    <cellStyle name="Обычный 6 2 3 11 2" xfId="724"/>
    <cellStyle name="Обычный 6 2 3 12" xfId="722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729"/>
    <cellStyle name="Обычный 6 2 3 2 2 2 2 3" xfId="506"/>
    <cellStyle name="Обычный 6 2 3 2 2 2 2 3 2" xfId="730"/>
    <cellStyle name="Обычный 6 2 3 2 2 2 2 4" xfId="728"/>
    <cellStyle name="Обычный 6 2 3 2 2 2 3" xfId="164"/>
    <cellStyle name="Обычный 6 2 3 2 2 2 3 2" xfId="336"/>
    <cellStyle name="Обычный 6 2 3 2 2 2 3 2 2" xfId="732"/>
    <cellStyle name="Обычный 6 2 3 2 2 2 3 3" xfId="507"/>
    <cellStyle name="Обычный 6 2 3 2 2 2 3 3 2" xfId="733"/>
    <cellStyle name="Обычный 6 2 3 2 2 2 3 4" xfId="731"/>
    <cellStyle name="Обычный 6 2 3 2 2 2 4" xfId="334"/>
    <cellStyle name="Обычный 6 2 3 2 2 2 4 2" xfId="734"/>
    <cellStyle name="Обычный 6 2 3 2 2 2 5" xfId="505"/>
    <cellStyle name="Обычный 6 2 3 2 2 2 5 2" xfId="735"/>
    <cellStyle name="Обычный 6 2 3 2 2 2 6" xfId="727"/>
    <cellStyle name="Обычный 6 2 3 2 2 3" xfId="165"/>
    <cellStyle name="Обычный 6 2 3 2 2 3 2" xfId="337"/>
    <cellStyle name="Обычный 6 2 3 2 2 3 2 2" xfId="737"/>
    <cellStyle name="Обычный 6 2 3 2 2 3 3" xfId="508"/>
    <cellStyle name="Обычный 6 2 3 2 2 3 3 2" xfId="738"/>
    <cellStyle name="Обычный 6 2 3 2 2 3 4" xfId="736"/>
    <cellStyle name="Обычный 6 2 3 2 2 4" xfId="166"/>
    <cellStyle name="Обычный 6 2 3 2 2 4 2" xfId="338"/>
    <cellStyle name="Обычный 6 2 3 2 2 4 2 2" xfId="740"/>
    <cellStyle name="Обычный 6 2 3 2 2 4 3" xfId="509"/>
    <cellStyle name="Обычный 6 2 3 2 2 4 3 2" xfId="741"/>
    <cellStyle name="Обычный 6 2 3 2 2 4 4" xfId="739"/>
    <cellStyle name="Обычный 6 2 3 2 2 5" xfId="304"/>
    <cellStyle name="Обычный 6 2 3 2 2 5 2" xfId="742"/>
    <cellStyle name="Обычный 6 2 3 2 2 6" xfId="475"/>
    <cellStyle name="Обычный 6 2 3 2 2 6 2" xfId="743"/>
    <cellStyle name="Обычный 6 2 3 2 2 7" xfId="726"/>
    <cellStyle name="Обычный 6 2 3 2 3" xfId="134"/>
    <cellStyle name="Обычный 6 2 3 2 3 2" xfId="167"/>
    <cellStyle name="Обычный 6 2 3 2 3 2 2" xfId="339"/>
    <cellStyle name="Обычный 6 2 3 2 3 2 2 2" xfId="746"/>
    <cellStyle name="Обычный 6 2 3 2 3 2 3" xfId="510"/>
    <cellStyle name="Обычный 6 2 3 2 3 2 3 2" xfId="747"/>
    <cellStyle name="Обычный 6 2 3 2 3 2 4" xfId="745"/>
    <cellStyle name="Обычный 6 2 3 2 3 3" xfId="168"/>
    <cellStyle name="Обычный 6 2 3 2 3 3 2" xfId="340"/>
    <cellStyle name="Обычный 6 2 3 2 3 3 2 2" xfId="749"/>
    <cellStyle name="Обычный 6 2 3 2 3 3 3" xfId="511"/>
    <cellStyle name="Обычный 6 2 3 2 3 3 3 2" xfId="750"/>
    <cellStyle name="Обычный 6 2 3 2 3 3 4" xfId="748"/>
    <cellStyle name="Обычный 6 2 3 2 3 4" xfId="306"/>
    <cellStyle name="Обычный 6 2 3 2 3 4 2" xfId="751"/>
    <cellStyle name="Обычный 6 2 3 2 3 5" xfId="477"/>
    <cellStyle name="Обычный 6 2 3 2 3 5 2" xfId="752"/>
    <cellStyle name="Обычный 6 2 3 2 3 6" xfId="744"/>
    <cellStyle name="Обычный 6 2 3 2 4" xfId="169"/>
    <cellStyle name="Обычный 6 2 3 2 4 2" xfId="341"/>
    <cellStyle name="Обычный 6 2 3 2 4 2 2" xfId="754"/>
    <cellStyle name="Обычный 6 2 3 2 4 3" xfId="512"/>
    <cellStyle name="Обычный 6 2 3 2 4 3 2" xfId="755"/>
    <cellStyle name="Обычный 6 2 3 2 4 4" xfId="753"/>
    <cellStyle name="Обычный 6 2 3 2 5" xfId="170"/>
    <cellStyle name="Обычный 6 2 3 2 5 2" xfId="342"/>
    <cellStyle name="Обычный 6 2 3 2 5 2 2" xfId="757"/>
    <cellStyle name="Обычный 6 2 3 2 5 3" xfId="513"/>
    <cellStyle name="Обычный 6 2 3 2 5 3 2" xfId="758"/>
    <cellStyle name="Обычный 6 2 3 2 5 4" xfId="756"/>
    <cellStyle name="Обычный 6 2 3 2 6" xfId="287"/>
    <cellStyle name="Обычный 6 2 3 2 6 2" xfId="759"/>
    <cellStyle name="Обычный 6 2 3 2 7" xfId="458"/>
    <cellStyle name="Обычный 6 2 3 2 7 2" xfId="760"/>
    <cellStyle name="Обычный 6 2 3 2 8" xfId="725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764"/>
    <cellStyle name="Обычный 6 2 3 3 2 2 3" xfId="515"/>
    <cellStyle name="Обычный 6 2 3 3 2 2 3 2" xfId="765"/>
    <cellStyle name="Обычный 6 2 3 3 2 2 4" xfId="763"/>
    <cellStyle name="Обычный 6 2 3 3 2 3" xfId="173"/>
    <cellStyle name="Обычный 6 2 3 3 2 3 2" xfId="345"/>
    <cellStyle name="Обычный 6 2 3 3 2 3 2 2" xfId="767"/>
    <cellStyle name="Обычный 6 2 3 3 2 3 3" xfId="516"/>
    <cellStyle name="Обычный 6 2 3 3 2 3 3 2" xfId="768"/>
    <cellStyle name="Обычный 6 2 3 3 2 3 4" xfId="766"/>
    <cellStyle name="Обычный 6 2 3 3 2 4" xfId="343"/>
    <cellStyle name="Обычный 6 2 3 3 2 4 2" xfId="769"/>
    <cellStyle name="Обычный 6 2 3 3 2 5" xfId="514"/>
    <cellStyle name="Обычный 6 2 3 3 2 5 2" xfId="770"/>
    <cellStyle name="Обычный 6 2 3 3 2 6" xfId="762"/>
    <cellStyle name="Обычный 6 2 3 3 3" xfId="174"/>
    <cellStyle name="Обычный 6 2 3 3 3 2" xfId="346"/>
    <cellStyle name="Обычный 6 2 3 3 3 2 2" xfId="772"/>
    <cellStyle name="Обычный 6 2 3 3 3 3" xfId="517"/>
    <cellStyle name="Обычный 6 2 3 3 3 3 2" xfId="773"/>
    <cellStyle name="Обычный 6 2 3 3 3 4" xfId="771"/>
    <cellStyle name="Обычный 6 2 3 3 4" xfId="175"/>
    <cellStyle name="Обычный 6 2 3 3 4 2" xfId="347"/>
    <cellStyle name="Обычный 6 2 3 3 4 2 2" xfId="775"/>
    <cellStyle name="Обычный 6 2 3 3 4 3" xfId="518"/>
    <cellStyle name="Обычный 6 2 3 3 4 3 2" xfId="776"/>
    <cellStyle name="Обычный 6 2 3 3 4 4" xfId="774"/>
    <cellStyle name="Обычный 6 2 3 3 5" xfId="302"/>
    <cellStyle name="Обычный 6 2 3 3 5 2" xfId="777"/>
    <cellStyle name="Обычный 6 2 3 3 6" xfId="473"/>
    <cellStyle name="Обычный 6 2 3 3 6 2" xfId="778"/>
    <cellStyle name="Обычный 6 2 3 3 7" xfId="761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782"/>
    <cellStyle name="Обычный 6 2 3 4 2 2 3" xfId="520"/>
    <cellStyle name="Обычный 6 2 3 4 2 2 3 2" xfId="783"/>
    <cellStyle name="Обычный 6 2 3 4 2 2 4" xfId="781"/>
    <cellStyle name="Обычный 6 2 3 4 2 3" xfId="178"/>
    <cellStyle name="Обычный 6 2 3 4 2 3 2" xfId="350"/>
    <cellStyle name="Обычный 6 2 3 4 2 3 2 2" xfId="785"/>
    <cellStyle name="Обычный 6 2 3 4 2 3 3" xfId="521"/>
    <cellStyle name="Обычный 6 2 3 4 2 3 3 2" xfId="786"/>
    <cellStyle name="Обычный 6 2 3 4 2 3 4" xfId="784"/>
    <cellStyle name="Обычный 6 2 3 4 2 4" xfId="348"/>
    <cellStyle name="Обычный 6 2 3 4 2 4 2" xfId="787"/>
    <cellStyle name="Обычный 6 2 3 4 2 5" xfId="519"/>
    <cellStyle name="Обычный 6 2 3 4 2 5 2" xfId="788"/>
    <cellStyle name="Обычный 6 2 3 4 2 6" xfId="780"/>
    <cellStyle name="Обычный 6 2 3 4 3" xfId="179"/>
    <cellStyle name="Обычный 6 2 3 4 3 2" xfId="351"/>
    <cellStyle name="Обычный 6 2 3 4 3 2 2" xfId="790"/>
    <cellStyle name="Обычный 6 2 3 4 3 3" xfId="522"/>
    <cellStyle name="Обычный 6 2 3 4 3 3 2" xfId="791"/>
    <cellStyle name="Обычный 6 2 3 4 3 4" xfId="789"/>
    <cellStyle name="Обычный 6 2 3 4 4" xfId="180"/>
    <cellStyle name="Обычный 6 2 3 4 4 2" xfId="352"/>
    <cellStyle name="Обычный 6 2 3 4 4 2 2" xfId="793"/>
    <cellStyle name="Обычный 6 2 3 4 4 3" xfId="523"/>
    <cellStyle name="Обычный 6 2 3 4 4 3 2" xfId="794"/>
    <cellStyle name="Обычный 6 2 3 4 4 4" xfId="792"/>
    <cellStyle name="Обычный 6 2 3 4 5" xfId="295"/>
    <cellStyle name="Обычный 6 2 3 4 5 2" xfId="795"/>
    <cellStyle name="Обычный 6 2 3 4 6" xfId="466"/>
    <cellStyle name="Обычный 6 2 3 4 6 2" xfId="796"/>
    <cellStyle name="Обычный 6 2 3 4 7" xfId="779"/>
    <cellStyle name="Обычный 6 2 3 5" xfId="181"/>
    <cellStyle name="Обычный 6 2 3 5 2" xfId="182"/>
    <cellStyle name="Обычный 6 2 3 5 2 2" xfId="354"/>
    <cellStyle name="Обычный 6 2 3 5 2 2 2" xfId="799"/>
    <cellStyle name="Обычный 6 2 3 5 2 3" xfId="525"/>
    <cellStyle name="Обычный 6 2 3 5 2 3 2" xfId="800"/>
    <cellStyle name="Обычный 6 2 3 5 2 4" xfId="798"/>
    <cellStyle name="Обычный 6 2 3 5 3" xfId="183"/>
    <cellStyle name="Обычный 6 2 3 5 3 2" xfId="355"/>
    <cellStyle name="Обычный 6 2 3 5 3 2 2" xfId="802"/>
    <cellStyle name="Обычный 6 2 3 5 3 3" xfId="526"/>
    <cellStyle name="Обычный 6 2 3 5 3 3 2" xfId="803"/>
    <cellStyle name="Обычный 6 2 3 5 3 4" xfId="801"/>
    <cellStyle name="Обычный 6 2 3 5 4" xfId="353"/>
    <cellStyle name="Обычный 6 2 3 5 4 2" xfId="804"/>
    <cellStyle name="Обычный 6 2 3 5 5" xfId="524"/>
    <cellStyle name="Обычный 6 2 3 5 5 2" xfId="805"/>
    <cellStyle name="Обычный 6 2 3 5 6" xfId="797"/>
    <cellStyle name="Обычный 6 2 3 6" xfId="184"/>
    <cellStyle name="Обычный 6 2 3 6 2" xfId="356"/>
    <cellStyle name="Обычный 6 2 3 6 2 2" xfId="807"/>
    <cellStyle name="Обычный 6 2 3 6 3" xfId="527"/>
    <cellStyle name="Обычный 6 2 3 6 3 2" xfId="808"/>
    <cellStyle name="Обычный 6 2 3 6 4" xfId="806"/>
    <cellStyle name="Обычный 6 2 3 7" xfId="185"/>
    <cellStyle name="Обычный 6 2 3 7 2" xfId="357"/>
    <cellStyle name="Обычный 6 2 3 7 2 2" xfId="810"/>
    <cellStyle name="Обычный 6 2 3 7 3" xfId="528"/>
    <cellStyle name="Обычный 6 2 3 7 3 2" xfId="811"/>
    <cellStyle name="Обычный 6 2 3 7 4" xfId="809"/>
    <cellStyle name="Обычный 6 2 3 8" xfId="186"/>
    <cellStyle name="Обычный 6 2 3 8 2" xfId="358"/>
    <cellStyle name="Обычный 6 2 3 8 2 2" xfId="813"/>
    <cellStyle name="Обычный 6 2 3 8 3" xfId="529"/>
    <cellStyle name="Обычный 6 2 3 8 3 2" xfId="814"/>
    <cellStyle name="Обычный 6 2 3 8 4" xfId="812"/>
    <cellStyle name="Обычный 6 2 3 9" xfId="112"/>
    <cellStyle name="Обычный 6 2 3 9 2" xfId="81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19"/>
    <cellStyle name="Обычный 6 2 4 2 2 3" xfId="531"/>
    <cellStyle name="Обычный 6 2 4 2 2 3 2" xfId="820"/>
    <cellStyle name="Обычный 6 2 4 2 2 4" xfId="818"/>
    <cellStyle name="Обычный 6 2 4 2 3" xfId="189"/>
    <cellStyle name="Обычный 6 2 4 2 3 2" xfId="361"/>
    <cellStyle name="Обычный 6 2 4 2 3 2 2" xfId="822"/>
    <cellStyle name="Обычный 6 2 4 2 3 3" xfId="532"/>
    <cellStyle name="Обычный 6 2 4 2 3 3 2" xfId="823"/>
    <cellStyle name="Обычный 6 2 4 2 3 4" xfId="821"/>
    <cellStyle name="Обычный 6 2 4 2 4" xfId="359"/>
    <cellStyle name="Обычный 6 2 4 2 4 2" xfId="824"/>
    <cellStyle name="Обычный 6 2 4 2 5" xfId="530"/>
    <cellStyle name="Обычный 6 2 4 2 5 2" xfId="825"/>
    <cellStyle name="Обычный 6 2 4 2 6" xfId="817"/>
    <cellStyle name="Обычный 6 2 4 3" xfId="190"/>
    <cellStyle name="Обычный 6 2 4 3 2" xfId="362"/>
    <cellStyle name="Обычный 6 2 4 3 2 2" xfId="827"/>
    <cellStyle name="Обычный 6 2 4 3 3" xfId="533"/>
    <cellStyle name="Обычный 6 2 4 3 3 2" xfId="828"/>
    <cellStyle name="Обычный 6 2 4 3 4" xfId="826"/>
    <cellStyle name="Обычный 6 2 4 4" xfId="191"/>
    <cellStyle name="Обычный 6 2 4 4 2" xfId="363"/>
    <cellStyle name="Обычный 6 2 4 4 2 2" xfId="830"/>
    <cellStyle name="Обычный 6 2 4 4 3" xfId="534"/>
    <cellStyle name="Обычный 6 2 4 4 3 2" xfId="831"/>
    <cellStyle name="Обычный 6 2 4 4 4" xfId="829"/>
    <cellStyle name="Обычный 6 2 4 5" xfId="299"/>
    <cellStyle name="Обычный 6 2 4 5 2" xfId="832"/>
    <cellStyle name="Обычный 6 2 4 6" xfId="470"/>
    <cellStyle name="Обычный 6 2 4 6 2" xfId="833"/>
    <cellStyle name="Обычный 6 2 4 7" xfId="816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37"/>
    <cellStyle name="Обычный 6 2 5 2 2 3" xfId="536"/>
    <cellStyle name="Обычный 6 2 5 2 2 3 2" xfId="838"/>
    <cellStyle name="Обычный 6 2 5 2 2 4" xfId="836"/>
    <cellStyle name="Обычный 6 2 5 2 3" xfId="194"/>
    <cellStyle name="Обычный 6 2 5 2 3 2" xfId="366"/>
    <cellStyle name="Обычный 6 2 5 2 3 2 2" xfId="840"/>
    <cellStyle name="Обычный 6 2 5 2 3 3" xfId="537"/>
    <cellStyle name="Обычный 6 2 5 2 3 3 2" xfId="841"/>
    <cellStyle name="Обычный 6 2 5 2 3 4" xfId="839"/>
    <cellStyle name="Обычный 6 2 5 2 4" xfId="364"/>
    <cellStyle name="Обычный 6 2 5 2 4 2" xfId="842"/>
    <cellStyle name="Обычный 6 2 5 2 5" xfId="535"/>
    <cellStyle name="Обычный 6 2 5 2 5 2" xfId="843"/>
    <cellStyle name="Обычный 6 2 5 2 6" xfId="835"/>
    <cellStyle name="Обычный 6 2 5 3" xfId="195"/>
    <cellStyle name="Обычный 6 2 5 3 2" xfId="367"/>
    <cellStyle name="Обычный 6 2 5 3 2 2" xfId="845"/>
    <cellStyle name="Обычный 6 2 5 3 3" xfId="538"/>
    <cellStyle name="Обычный 6 2 5 3 3 2" xfId="846"/>
    <cellStyle name="Обычный 6 2 5 3 4" xfId="844"/>
    <cellStyle name="Обычный 6 2 5 4" xfId="196"/>
    <cellStyle name="Обычный 6 2 5 4 2" xfId="368"/>
    <cellStyle name="Обычный 6 2 5 4 2 2" xfId="848"/>
    <cellStyle name="Обычный 6 2 5 4 3" xfId="539"/>
    <cellStyle name="Обычный 6 2 5 4 3 2" xfId="849"/>
    <cellStyle name="Обычный 6 2 5 4 4" xfId="847"/>
    <cellStyle name="Обычный 6 2 5 5" xfId="292"/>
    <cellStyle name="Обычный 6 2 5 5 2" xfId="850"/>
    <cellStyle name="Обычный 6 2 5 6" xfId="463"/>
    <cellStyle name="Обычный 6 2 5 6 2" xfId="851"/>
    <cellStyle name="Обычный 6 2 5 7" xfId="834"/>
    <cellStyle name="Обычный 6 2 6" xfId="197"/>
    <cellStyle name="Обычный 6 2 6 2" xfId="198"/>
    <cellStyle name="Обычный 6 2 6 2 2" xfId="370"/>
    <cellStyle name="Обычный 6 2 6 2 2 2" xfId="854"/>
    <cellStyle name="Обычный 6 2 6 2 3" xfId="541"/>
    <cellStyle name="Обычный 6 2 6 2 3 2" xfId="855"/>
    <cellStyle name="Обычный 6 2 6 2 4" xfId="853"/>
    <cellStyle name="Обычный 6 2 6 3" xfId="199"/>
    <cellStyle name="Обычный 6 2 6 3 2" xfId="371"/>
    <cellStyle name="Обычный 6 2 6 3 2 2" xfId="857"/>
    <cellStyle name="Обычный 6 2 6 3 3" xfId="542"/>
    <cellStyle name="Обычный 6 2 6 3 3 2" xfId="858"/>
    <cellStyle name="Обычный 6 2 6 3 4" xfId="856"/>
    <cellStyle name="Обычный 6 2 6 4" xfId="369"/>
    <cellStyle name="Обычный 6 2 6 4 2" xfId="859"/>
    <cellStyle name="Обычный 6 2 6 5" xfId="540"/>
    <cellStyle name="Обычный 6 2 6 5 2" xfId="860"/>
    <cellStyle name="Обычный 6 2 6 6" xfId="852"/>
    <cellStyle name="Обычный 6 2 7" xfId="200"/>
    <cellStyle name="Обычный 6 2 7 2" xfId="372"/>
    <cellStyle name="Обычный 6 2 7 2 2" xfId="862"/>
    <cellStyle name="Обычный 6 2 7 3" xfId="543"/>
    <cellStyle name="Обычный 6 2 7 3 2" xfId="863"/>
    <cellStyle name="Обычный 6 2 7 4" xfId="861"/>
    <cellStyle name="Обычный 6 2 8" xfId="201"/>
    <cellStyle name="Обычный 6 2 8 2" xfId="373"/>
    <cellStyle name="Обычный 6 2 8 2 2" xfId="865"/>
    <cellStyle name="Обычный 6 2 8 3" xfId="544"/>
    <cellStyle name="Обычный 6 2 8 3 2" xfId="866"/>
    <cellStyle name="Обычный 6 2 8 4" xfId="864"/>
    <cellStyle name="Обычный 6 2 9" xfId="202"/>
    <cellStyle name="Обычный 6 2 9 2" xfId="374"/>
    <cellStyle name="Обычный 6 2 9 2 2" xfId="868"/>
    <cellStyle name="Обычный 6 2 9 3" xfId="545"/>
    <cellStyle name="Обычный 6 2 9 3 2" xfId="869"/>
    <cellStyle name="Обычный 6 2 9 4" xfId="867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73"/>
    <cellStyle name="Обычный 6 3 2 2 3" xfId="547"/>
    <cellStyle name="Обычный 6 3 2 2 3 2" xfId="874"/>
    <cellStyle name="Обычный 6 3 2 2 4" xfId="872"/>
    <cellStyle name="Обычный 6 3 2 3" xfId="205"/>
    <cellStyle name="Обычный 6 3 2 3 2" xfId="377"/>
    <cellStyle name="Обычный 6 3 2 3 2 2" xfId="876"/>
    <cellStyle name="Обычный 6 3 2 3 3" xfId="548"/>
    <cellStyle name="Обычный 6 3 2 3 3 2" xfId="877"/>
    <cellStyle name="Обычный 6 3 2 3 4" xfId="875"/>
    <cellStyle name="Обычный 6 3 2 4" xfId="375"/>
    <cellStyle name="Обычный 6 3 2 4 2" xfId="878"/>
    <cellStyle name="Обычный 6 3 2 5" xfId="546"/>
    <cellStyle name="Обычный 6 3 2 5 2" xfId="879"/>
    <cellStyle name="Обычный 6 3 2 6" xfId="871"/>
    <cellStyle name="Обычный 6 3 3" xfId="206"/>
    <cellStyle name="Обычный 6 3 3 2" xfId="378"/>
    <cellStyle name="Обычный 6 3 3 2 2" xfId="881"/>
    <cellStyle name="Обычный 6 3 3 3" xfId="549"/>
    <cellStyle name="Обычный 6 3 3 3 2" xfId="882"/>
    <cellStyle name="Обычный 6 3 3 4" xfId="880"/>
    <cellStyle name="Обычный 6 3 4" xfId="207"/>
    <cellStyle name="Обычный 6 3 4 2" xfId="379"/>
    <cellStyle name="Обычный 6 3 4 2 2" xfId="884"/>
    <cellStyle name="Обычный 6 3 4 3" xfId="550"/>
    <cellStyle name="Обычный 6 3 4 3 2" xfId="885"/>
    <cellStyle name="Обычный 6 3 4 4" xfId="883"/>
    <cellStyle name="Обычный 6 3 5" xfId="296"/>
    <cellStyle name="Обычный 6 3 5 2" xfId="886"/>
    <cellStyle name="Обычный 6 3 6" xfId="467"/>
    <cellStyle name="Обычный 6 3 6 2" xfId="887"/>
    <cellStyle name="Обычный 6 3 7" xfId="870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891"/>
    <cellStyle name="Обычный 6 4 2 2 3" xfId="552"/>
    <cellStyle name="Обычный 6 4 2 2 3 2" xfId="892"/>
    <cellStyle name="Обычный 6 4 2 2 4" xfId="890"/>
    <cellStyle name="Обычный 6 4 2 3" xfId="210"/>
    <cellStyle name="Обычный 6 4 2 3 2" xfId="382"/>
    <cellStyle name="Обычный 6 4 2 3 2 2" xfId="894"/>
    <cellStyle name="Обычный 6 4 2 3 3" xfId="553"/>
    <cellStyle name="Обычный 6 4 2 3 3 2" xfId="895"/>
    <cellStyle name="Обычный 6 4 2 3 4" xfId="893"/>
    <cellStyle name="Обычный 6 4 2 4" xfId="380"/>
    <cellStyle name="Обычный 6 4 2 4 2" xfId="896"/>
    <cellStyle name="Обычный 6 4 2 5" xfId="551"/>
    <cellStyle name="Обычный 6 4 2 5 2" xfId="897"/>
    <cellStyle name="Обычный 6 4 2 6" xfId="889"/>
    <cellStyle name="Обычный 6 4 3" xfId="211"/>
    <cellStyle name="Обычный 6 4 3 2" xfId="383"/>
    <cellStyle name="Обычный 6 4 3 2 2" xfId="899"/>
    <cellStyle name="Обычный 6 4 3 3" xfId="554"/>
    <cellStyle name="Обычный 6 4 3 3 2" xfId="900"/>
    <cellStyle name="Обычный 6 4 3 4" xfId="898"/>
    <cellStyle name="Обычный 6 4 4" xfId="212"/>
    <cellStyle name="Обычный 6 4 4 2" xfId="384"/>
    <cellStyle name="Обычный 6 4 4 2 2" xfId="902"/>
    <cellStyle name="Обычный 6 4 4 3" xfId="555"/>
    <cellStyle name="Обычный 6 4 4 3 2" xfId="903"/>
    <cellStyle name="Обычный 6 4 4 4" xfId="901"/>
    <cellStyle name="Обычный 6 4 5" xfId="289"/>
    <cellStyle name="Обычный 6 4 5 2" xfId="904"/>
    <cellStyle name="Обычный 6 4 6" xfId="460"/>
    <cellStyle name="Обычный 6 4 6 2" xfId="905"/>
    <cellStyle name="Обычный 6 4 7" xfId="888"/>
    <cellStyle name="Обычный 6 5" xfId="213"/>
    <cellStyle name="Обычный 6 5 2" xfId="214"/>
    <cellStyle name="Обычный 6 5 2 2" xfId="386"/>
    <cellStyle name="Обычный 6 5 2 2 2" xfId="908"/>
    <cellStyle name="Обычный 6 5 2 3" xfId="557"/>
    <cellStyle name="Обычный 6 5 2 3 2" xfId="909"/>
    <cellStyle name="Обычный 6 5 2 4" xfId="907"/>
    <cellStyle name="Обычный 6 5 3" xfId="215"/>
    <cellStyle name="Обычный 6 5 3 2" xfId="387"/>
    <cellStyle name="Обычный 6 5 3 2 2" xfId="911"/>
    <cellStyle name="Обычный 6 5 3 3" xfId="558"/>
    <cellStyle name="Обычный 6 5 3 3 2" xfId="912"/>
    <cellStyle name="Обычный 6 5 3 4" xfId="910"/>
    <cellStyle name="Обычный 6 5 4" xfId="385"/>
    <cellStyle name="Обычный 6 5 4 2" xfId="913"/>
    <cellStyle name="Обычный 6 5 5" xfId="556"/>
    <cellStyle name="Обычный 6 5 5 2" xfId="914"/>
    <cellStyle name="Обычный 6 5 6" xfId="906"/>
    <cellStyle name="Обычный 6 6" xfId="216"/>
    <cellStyle name="Обычный 6 6 2" xfId="388"/>
    <cellStyle name="Обычный 6 6 2 2" xfId="916"/>
    <cellStyle name="Обычный 6 6 3" xfId="559"/>
    <cellStyle name="Обычный 6 6 3 2" xfId="917"/>
    <cellStyle name="Обычный 6 6 4" xfId="915"/>
    <cellStyle name="Обычный 6 7" xfId="217"/>
    <cellStyle name="Обычный 6 7 2" xfId="389"/>
    <cellStyle name="Обычный 6 7 2 2" xfId="919"/>
    <cellStyle name="Обычный 6 7 3" xfId="560"/>
    <cellStyle name="Обычный 6 7 3 2" xfId="920"/>
    <cellStyle name="Обычный 6 7 4" xfId="918"/>
    <cellStyle name="Обычный 6 8" xfId="218"/>
    <cellStyle name="Обычный 6 8 2" xfId="390"/>
    <cellStyle name="Обычный 6 8 2 2" xfId="922"/>
    <cellStyle name="Обычный 6 8 3" xfId="561"/>
    <cellStyle name="Обычный 6 8 3 2" xfId="923"/>
    <cellStyle name="Обычный 6 8 4" xfId="921"/>
    <cellStyle name="Обычный 6 9" xfId="106"/>
    <cellStyle name="Обычный 6 9 2" xfId="924"/>
    <cellStyle name="Обычный 7" xfId="54"/>
    <cellStyle name="Обычный 7 2" xfId="58"/>
    <cellStyle name="Обычный 7 2 10" xfId="455"/>
    <cellStyle name="Обычный 7 2 10 2" xfId="926"/>
    <cellStyle name="Обычный 7 2 11" xfId="92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30"/>
    <cellStyle name="Обычный 7 2 2 2 2 3" xfId="563"/>
    <cellStyle name="Обычный 7 2 2 2 2 3 2" xfId="931"/>
    <cellStyle name="Обычный 7 2 2 2 2 4" xfId="929"/>
    <cellStyle name="Обычный 7 2 2 2 3" xfId="221"/>
    <cellStyle name="Обычный 7 2 2 2 3 2" xfId="393"/>
    <cellStyle name="Обычный 7 2 2 2 3 2 2" xfId="933"/>
    <cellStyle name="Обычный 7 2 2 2 3 3" xfId="564"/>
    <cellStyle name="Обычный 7 2 2 2 3 3 2" xfId="934"/>
    <cellStyle name="Обычный 7 2 2 2 3 4" xfId="932"/>
    <cellStyle name="Обычный 7 2 2 2 4" xfId="391"/>
    <cellStyle name="Обычный 7 2 2 2 4 2" xfId="935"/>
    <cellStyle name="Обычный 7 2 2 2 5" xfId="562"/>
    <cellStyle name="Обычный 7 2 2 2 5 2" xfId="936"/>
    <cellStyle name="Обычный 7 2 2 2 6" xfId="928"/>
    <cellStyle name="Обычный 7 2 2 3" xfId="222"/>
    <cellStyle name="Обычный 7 2 2 3 2" xfId="394"/>
    <cellStyle name="Обычный 7 2 2 3 2 2" xfId="938"/>
    <cellStyle name="Обычный 7 2 2 3 3" xfId="565"/>
    <cellStyle name="Обычный 7 2 2 3 3 2" xfId="939"/>
    <cellStyle name="Обычный 7 2 2 3 4" xfId="937"/>
    <cellStyle name="Обычный 7 2 2 4" xfId="223"/>
    <cellStyle name="Обычный 7 2 2 4 2" xfId="395"/>
    <cellStyle name="Обычный 7 2 2 4 2 2" xfId="941"/>
    <cellStyle name="Обычный 7 2 2 4 3" xfId="566"/>
    <cellStyle name="Обычный 7 2 2 4 3 2" xfId="942"/>
    <cellStyle name="Обычный 7 2 2 4 4" xfId="940"/>
    <cellStyle name="Обычный 7 2 2 5" xfId="301"/>
    <cellStyle name="Обычный 7 2 2 5 2" xfId="943"/>
    <cellStyle name="Обычный 7 2 2 6" xfId="472"/>
    <cellStyle name="Обычный 7 2 2 6 2" xfId="944"/>
    <cellStyle name="Обычный 7 2 2 7" xfId="927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48"/>
    <cellStyle name="Обычный 7 2 3 2 2 3" xfId="568"/>
    <cellStyle name="Обычный 7 2 3 2 2 3 2" xfId="949"/>
    <cellStyle name="Обычный 7 2 3 2 2 4" xfId="947"/>
    <cellStyle name="Обычный 7 2 3 2 3" xfId="226"/>
    <cellStyle name="Обычный 7 2 3 2 3 2" xfId="398"/>
    <cellStyle name="Обычный 7 2 3 2 3 2 2" xfId="951"/>
    <cellStyle name="Обычный 7 2 3 2 3 3" xfId="569"/>
    <cellStyle name="Обычный 7 2 3 2 3 3 2" xfId="952"/>
    <cellStyle name="Обычный 7 2 3 2 3 4" xfId="950"/>
    <cellStyle name="Обычный 7 2 3 2 4" xfId="396"/>
    <cellStyle name="Обычный 7 2 3 2 4 2" xfId="953"/>
    <cellStyle name="Обычный 7 2 3 2 5" xfId="567"/>
    <cellStyle name="Обычный 7 2 3 2 5 2" xfId="954"/>
    <cellStyle name="Обычный 7 2 3 2 6" xfId="946"/>
    <cellStyle name="Обычный 7 2 3 3" xfId="227"/>
    <cellStyle name="Обычный 7 2 3 3 2" xfId="399"/>
    <cellStyle name="Обычный 7 2 3 3 2 2" xfId="956"/>
    <cellStyle name="Обычный 7 2 3 3 3" xfId="570"/>
    <cellStyle name="Обычный 7 2 3 3 3 2" xfId="957"/>
    <cellStyle name="Обычный 7 2 3 3 4" xfId="955"/>
    <cellStyle name="Обычный 7 2 3 4" xfId="228"/>
    <cellStyle name="Обычный 7 2 3 4 2" xfId="400"/>
    <cellStyle name="Обычный 7 2 3 4 2 2" xfId="959"/>
    <cellStyle name="Обычный 7 2 3 4 3" xfId="571"/>
    <cellStyle name="Обычный 7 2 3 4 3 2" xfId="960"/>
    <cellStyle name="Обычный 7 2 3 4 4" xfId="958"/>
    <cellStyle name="Обычный 7 2 3 5" xfId="294"/>
    <cellStyle name="Обычный 7 2 3 5 2" xfId="961"/>
    <cellStyle name="Обычный 7 2 3 6" xfId="465"/>
    <cellStyle name="Обычный 7 2 3 6 2" xfId="962"/>
    <cellStyle name="Обычный 7 2 3 7" xfId="945"/>
    <cellStyle name="Обычный 7 2 4" xfId="229"/>
    <cellStyle name="Обычный 7 2 4 2" xfId="230"/>
    <cellStyle name="Обычный 7 2 4 2 2" xfId="402"/>
    <cellStyle name="Обычный 7 2 4 2 2 2" xfId="965"/>
    <cellStyle name="Обычный 7 2 4 2 3" xfId="573"/>
    <cellStyle name="Обычный 7 2 4 2 3 2" xfId="966"/>
    <cellStyle name="Обычный 7 2 4 2 4" xfId="964"/>
    <cellStyle name="Обычный 7 2 4 3" xfId="231"/>
    <cellStyle name="Обычный 7 2 4 3 2" xfId="403"/>
    <cellStyle name="Обычный 7 2 4 3 2 2" xfId="968"/>
    <cellStyle name="Обычный 7 2 4 3 3" xfId="574"/>
    <cellStyle name="Обычный 7 2 4 3 3 2" xfId="969"/>
    <cellStyle name="Обычный 7 2 4 3 4" xfId="967"/>
    <cellStyle name="Обычный 7 2 4 4" xfId="401"/>
    <cellStyle name="Обычный 7 2 4 4 2" xfId="970"/>
    <cellStyle name="Обычный 7 2 4 5" xfId="572"/>
    <cellStyle name="Обычный 7 2 4 5 2" xfId="971"/>
    <cellStyle name="Обычный 7 2 4 6" xfId="963"/>
    <cellStyle name="Обычный 7 2 5" xfId="232"/>
    <cellStyle name="Обычный 7 2 5 2" xfId="404"/>
    <cellStyle name="Обычный 7 2 5 2 2" xfId="973"/>
    <cellStyle name="Обычный 7 2 5 3" xfId="575"/>
    <cellStyle name="Обычный 7 2 5 3 2" xfId="974"/>
    <cellStyle name="Обычный 7 2 5 4" xfId="972"/>
    <cellStyle name="Обычный 7 2 6" xfId="233"/>
    <cellStyle name="Обычный 7 2 6 2" xfId="405"/>
    <cellStyle name="Обычный 7 2 6 2 2" xfId="976"/>
    <cellStyle name="Обычный 7 2 6 3" xfId="576"/>
    <cellStyle name="Обычный 7 2 6 3 2" xfId="977"/>
    <cellStyle name="Обычный 7 2 6 4" xfId="975"/>
    <cellStyle name="Обычный 7 2 7" xfId="234"/>
    <cellStyle name="Обычный 7 2 7 2" xfId="406"/>
    <cellStyle name="Обычный 7 2 7 2 2" xfId="979"/>
    <cellStyle name="Обычный 7 2 7 3" xfId="577"/>
    <cellStyle name="Обычный 7 2 7 3 2" xfId="980"/>
    <cellStyle name="Обычный 7 2 7 4" xfId="978"/>
    <cellStyle name="Обычный 7 2 8" xfId="111"/>
    <cellStyle name="Обычный 7 2 8 2" xfId="981"/>
    <cellStyle name="Обычный 7 2 9" xfId="284"/>
    <cellStyle name="Обычный 7 2 9 2" xfId="982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87"/>
    <cellStyle name="Обычный 9 2 2 2 3" xfId="579"/>
    <cellStyle name="Обычный 9 2 2 2 3 2" xfId="988"/>
    <cellStyle name="Обычный 9 2 2 2 4" xfId="986"/>
    <cellStyle name="Обычный 9 2 2 3" xfId="237"/>
    <cellStyle name="Обычный 9 2 2 3 2" xfId="409"/>
    <cellStyle name="Обычный 9 2 2 3 2 2" xfId="990"/>
    <cellStyle name="Обычный 9 2 2 3 3" xfId="580"/>
    <cellStyle name="Обычный 9 2 2 3 3 2" xfId="991"/>
    <cellStyle name="Обычный 9 2 2 3 4" xfId="989"/>
    <cellStyle name="Обычный 9 2 2 4" xfId="238"/>
    <cellStyle name="Обычный 9 2 2 4 2" xfId="410"/>
    <cellStyle name="Обычный 9 2 2 4 2 2" xfId="993"/>
    <cellStyle name="Обычный 9 2 2 4 3" xfId="581"/>
    <cellStyle name="Обычный 9 2 2 4 3 2" xfId="994"/>
    <cellStyle name="Обычный 9 2 2 4 4" xfId="992"/>
    <cellStyle name="Обычный 9 2 2 5" xfId="407"/>
    <cellStyle name="Обычный 9 2 2 5 2" xfId="995"/>
    <cellStyle name="Обычный 9 2 2 6" xfId="578"/>
    <cellStyle name="Обычный 9 2 2 6 2" xfId="996"/>
    <cellStyle name="Обычный 9 2 2 7" xfId="985"/>
    <cellStyle name="Обычный 9 2 3" xfId="239"/>
    <cellStyle name="Обычный 9 2 3 2" xfId="411"/>
    <cellStyle name="Обычный 9 2 3 2 2" xfId="998"/>
    <cellStyle name="Обычный 9 2 3 3" xfId="582"/>
    <cellStyle name="Обычный 9 2 3 3 2" xfId="999"/>
    <cellStyle name="Обычный 9 2 3 4" xfId="997"/>
    <cellStyle name="Обычный 9 2 4" xfId="240"/>
    <cellStyle name="Обычный 9 2 4 2" xfId="412"/>
    <cellStyle name="Обычный 9 2 4 2 2" xfId="1001"/>
    <cellStyle name="Обычный 9 2 4 3" xfId="583"/>
    <cellStyle name="Обычный 9 2 4 3 2" xfId="1002"/>
    <cellStyle name="Обычный 9 2 4 4" xfId="1000"/>
    <cellStyle name="Обычный 9 2 5" xfId="303"/>
    <cellStyle name="Обычный 9 2 5 2" xfId="1003"/>
    <cellStyle name="Обычный 9 2 6" xfId="474"/>
    <cellStyle name="Обычный 9 2 6 2" xfId="1004"/>
    <cellStyle name="Обычный 9 2 7" xfId="984"/>
    <cellStyle name="Обычный 9 3" xfId="136"/>
    <cellStyle name="Обычный 9 3 2" xfId="241"/>
    <cellStyle name="Обычный 9 3 2 2" xfId="413"/>
    <cellStyle name="Обычный 9 3 2 2 2" xfId="1007"/>
    <cellStyle name="Обычный 9 3 2 3" xfId="584"/>
    <cellStyle name="Обычный 9 3 2 3 2" xfId="1008"/>
    <cellStyle name="Обычный 9 3 2 4" xfId="1006"/>
    <cellStyle name="Обычный 9 3 3" xfId="242"/>
    <cellStyle name="Обычный 9 3 3 2" xfId="414"/>
    <cellStyle name="Обычный 9 3 3 2 2" xfId="1010"/>
    <cellStyle name="Обычный 9 3 3 3" xfId="585"/>
    <cellStyle name="Обычный 9 3 3 3 2" xfId="1011"/>
    <cellStyle name="Обычный 9 3 3 4" xfId="1009"/>
    <cellStyle name="Обычный 9 3 4" xfId="243"/>
    <cellStyle name="Обычный 9 3 4 2" xfId="415"/>
    <cellStyle name="Обычный 9 3 4 2 2" xfId="1013"/>
    <cellStyle name="Обычный 9 3 4 3" xfId="586"/>
    <cellStyle name="Обычный 9 3 4 3 2" xfId="1014"/>
    <cellStyle name="Обычный 9 3 4 4" xfId="1012"/>
    <cellStyle name="Обычный 9 3 5" xfId="308"/>
    <cellStyle name="Обычный 9 3 5 2" xfId="1015"/>
    <cellStyle name="Обычный 9 3 6" xfId="479"/>
    <cellStyle name="Обычный 9 3 6 2" xfId="1016"/>
    <cellStyle name="Обычный 9 3 7" xfId="1005"/>
    <cellStyle name="Обычный 9 4" xfId="244"/>
    <cellStyle name="Обычный 9 4 2" xfId="416"/>
    <cellStyle name="Обычный 9 4 2 2" xfId="1018"/>
    <cellStyle name="Обычный 9 4 3" xfId="587"/>
    <cellStyle name="Обычный 9 4 3 2" xfId="1019"/>
    <cellStyle name="Обычный 9 4 4" xfId="1017"/>
    <cellStyle name="Обычный 9 5" xfId="245"/>
    <cellStyle name="Обычный 9 5 2" xfId="417"/>
    <cellStyle name="Обычный 9 5 2 2" xfId="1021"/>
    <cellStyle name="Обычный 9 5 3" xfId="588"/>
    <cellStyle name="Обычный 9 5 3 2" xfId="1022"/>
    <cellStyle name="Обычный 9 5 4" xfId="1020"/>
    <cellStyle name="Обычный 9 6" xfId="286"/>
    <cellStyle name="Обычный 9 6 2" xfId="1023"/>
    <cellStyle name="Обычный 9 7" xfId="457"/>
    <cellStyle name="Обычный 9 7 2" xfId="1024"/>
    <cellStyle name="Обычный 9 8" xfId="983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1027"/>
    <cellStyle name="Финансовый 2 11" xfId="1026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1031"/>
    <cellStyle name="Финансовый 2 2 2 2 4" xfId="590"/>
    <cellStyle name="Финансовый 2 2 2 2 4 2" xfId="1032"/>
    <cellStyle name="Финансовый 2 2 2 2 5" xfId="1030"/>
    <cellStyle name="Финансовый 2 2 2 3" xfId="248"/>
    <cellStyle name="Финансовый 2 2 2 3 2" xfId="420"/>
    <cellStyle name="Финансовый 2 2 2 3 2 2" xfId="1034"/>
    <cellStyle name="Финансовый 2 2 2 3 3" xfId="591"/>
    <cellStyle name="Финансовый 2 2 2 3 3 2" xfId="1035"/>
    <cellStyle name="Финансовый 2 2 2 3 4" xfId="1033"/>
    <cellStyle name="Финансовый 2 2 2 4" xfId="418"/>
    <cellStyle name="Финансовый 2 2 2 4 2" xfId="1036"/>
    <cellStyle name="Финансовый 2 2 2 5" xfId="589"/>
    <cellStyle name="Финансовый 2 2 2 5 2" xfId="1037"/>
    <cellStyle name="Финансовый 2 2 2 6" xfId="1029"/>
    <cellStyle name="Финансовый 2 2 3" xfId="249"/>
    <cellStyle name="Финансовый 2 2 3 2" xfId="421"/>
    <cellStyle name="Финансовый 2 2 3 2 2" xfId="1039"/>
    <cellStyle name="Финансовый 2 2 3 3" xfId="592"/>
    <cellStyle name="Финансовый 2 2 3 3 2" xfId="1040"/>
    <cellStyle name="Финансовый 2 2 3 4" xfId="1038"/>
    <cellStyle name="Финансовый 2 2 4" xfId="250"/>
    <cellStyle name="Финансовый 2 2 4 2" xfId="422"/>
    <cellStyle name="Финансовый 2 2 4 2 2" xfId="1042"/>
    <cellStyle name="Финансовый 2 2 4 3" xfId="593"/>
    <cellStyle name="Финансовый 2 2 4 3 2" xfId="1043"/>
    <cellStyle name="Финансовый 2 2 4 4" xfId="1041"/>
    <cellStyle name="Финансовый 2 2 5" xfId="297"/>
    <cellStyle name="Финансовый 2 2 5 2" xfId="1044"/>
    <cellStyle name="Финансовый 2 2 6" xfId="468"/>
    <cellStyle name="Финансовый 2 2 6 2" xfId="1045"/>
    <cellStyle name="Финансовый 2 2 7" xfId="102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1049"/>
    <cellStyle name="Финансовый 2 3 2 2 3" xfId="595"/>
    <cellStyle name="Финансовый 2 3 2 2 3 2" xfId="1050"/>
    <cellStyle name="Финансовый 2 3 2 2 4" xfId="1048"/>
    <cellStyle name="Финансовый 2 3 2 3" xfId="253"/>
    <cellStyle name="Финансовый 2 3 2 3 2" xfId="425"/>
    <cellStyle name="Финансовый 2 3 2 3 2 2" xfId="1052"/>
    <cellStyle name="Финансовый 2 3 2 3 3" xfId="596"/>
    <cellStyle name="Финансовый 2 3 2 3 3 2" xfId="1053"/>
    <cellStyle name="Финансовый 2 3 2 3 4" xfId="1051"/>
    <cellStyle name="Финансовый 2 3 2 4" xfId="423"/>
    <cellStyle name="Финансовый 2 3 2 4 2" xfId="1054"/>
    <cellStyle name="Финансовый 2 3 2 5" xfId="594"/>
    <cellStyle name="Финансовый 2 3 2 5 2" xfId="1055"/>
    <cellStyle name="Финансовый 2 3 2 6" xfId="1047"/>
    <cellStyle name="Финансовый 2 3 3" xfId="254"/>
    <cellStyle name="Финансовый 2 3 3 2" xfId="426"/>
    <cellStyle name="Финансовый 2 3 3 2 2" xfId="1057"/>
    <cellStyle name="Финансовый 2 3 3 3" xfId="597"/>
    <cellStyle name="Финансовый 2 3 3 3 2" xfId="1058"/>
    <cellStyle name="Финансовый 2 3 3 4" xfId="1056"/>
    <cellStyle name="Финансовый 2 3 4" xfId="255"/>
    <cellStyle name="Финансовый 2 3 4 2" xfId="427"/>
    <cellStyle name="Финансовый 2 3 4 2 2" xfId="1060"/>
    <cellStyle name="Финансовый 2 3 4 3" xfId="598"/>
    <cellStyle name="Финансовый 2 3 4 3 2" xfId="1061"/>
    <cellStyle name="Финансовый 2 3 4 4" xfId="1059"/>
    <cellStyle name="Финансовый 2 3 5" xfId="290"/>
    <cellStyle name="Финансовый 2 3 5 2" xfId="1062"/>
    <cellStyle name="Финансовый 2 3 6" xfId="461"/>
    <cellStyle name="Финансовый 2 3 6 2" xfId="1063"/>
    <cellStyle name="Финансовый 2 3 7" xfId="1046"/>
    <cellStyle name="Финансовый 2 4" xfId="256"/>
    <cellStyle name="Финансовый 2 4 2" xfId="257"/>
    <cellStyle name="Финансовый 2 4 2 2" xfId="429"/>
    <cellStyle name="Финансовый 2 4 2 2 2" xfId="1066"/>
    <cellStyle name="Финансовый 2 4 2 3" xfId="600"/>
    <cellStyle name="Финансовый 2 4 2 3 2" xfId="1067"/>
    <cellStyle name="Финансовый 2 4 2 4" xfId="1065"/>
    <cellStyle name="Финансовый 2 4 3" xfId="258"/>
    <cellStyle name="Финансовый 2 4 3 2" xfId="430"/>
    <cellStyle name="Финансовый 2 4 3 2 2" xfId="1069"/>
    <cellStyle name="Финансовый 2 4 3 3" xfId="601"/>
    <cellStyle name="Финансовый 2 4 3 3 2" xfId="1070"/>
    <cellStyle name="Финансовый 2 4 3 4" xfId="1068"/>
    <cellStyle name="Финансовый 2 4 4" xfId="428"/>
    <cellStyle name="Финансовый 2 4 4 2" xfId="1071"/>
    <cellStyle name="Финансовый 2 4 5" xfId="599"/>
    <cellStyle name="Финансовый 2 4 5 2" xfId="1072"/>
    <cellStyle name="Финансовый 2 4 6" xfId="1064"/>
    <cellStyle name="Финансовый 2 5" xfId="259"/>
    <cellStyle name="Финансовый 2 5 2" xfId="431"/>
    <cellStyle name="Финансовый 2 5 2 2" xfId="1074"/>
    <cellStyle name="Финансовый 2 5 3" xfId="602"/>
    <cellStyle name="Финансовый 2 5 3 2" xfId="1075"/>
    <cellStyle name="Финансовый 2 5 4" xfId="1073"/>
    <cellStyle name="Финансовый 2 6" xfId="260"/>
    <cellStyle name="Финансовый 2 6 2" xfId="432"/>
    <cellStyle name="Финансовый 2 6 2 2" xfId="1077"/>
    <cellStyle name="Финансовый 2 6 3" xfId="603"/>
    <cellStyle name="Финансовый 2 6 3 2" xfId="1078"/>
    <cellStyle name="Финансовый 2 6 4" xfId="1076"/>
    <cellStyle name="Финансовый 2 7" xfId="261"/>
    <cellStyle name="Финансовый 2 7 2" xfId="433"/>
    <cellStyle name="Финансовый 2 7 2 2" xfId="1080"/>
    <cellStyle name="Финансовый 2 7 3" xfId="604"/>
    <cellStyle name="Финансовый 2 7 3 2" xfId="1081"/>
    <cellStyle name="Финансовый 2 7 4" xfId="1079"/>
    <cellStyle name="Финансовый 2 8" xfId="107"/>
    <cellStyle name="Финансовый 2 8 2" xfId="1082"/>
    <cellStyle name="Финансовый 2 9" xfId="280"/>
    <cellStyle name="Финансовый 2 9 2" xfId="1083"/>
    <cellStyle name="Финансовый 3" xfId="51"/>
    <cellStyle name="Финансовый 3 10" xfId="452"/>
    <cellStyle name="Финансовый 3 10 2" xfId="1085"/>
    <cellStyle name="Финансовый 3 11" xfId="108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1089"/>
    <cellStyle name="Финансовый 3 2 2 2 3" xfId="606"/>
    <cellStyle name="Финансовый 3 2 2 2 3 2" xfId="1090"/>
    <cellStyle name="Финансовый 3 2 2 2 4" xfId="1088"/>
    <cellStyle name="Финансовый 3 2 2 3" xfId="264"/>
    <cellStyle name="Финансовый 3 2 2 3 2" xfId="436"/>
    <cellStyle name="Финансовый 3 2 2 3 2 2" xfId="1092"/>
    <cellStyle name="Финансовый 3 2 2 3 3" xfId="607"/>
    <cellStyle name="Финансовый 3 2 2 3 3 2" xfId="1093"/>
    <cellStyle name="Финансовый 3 2 2 3 4" xfId="1091"/>
    <cellStyle name="Финансовый 3 2 2 4" xfId="434"/>
    <cellStyle name="Финансовый 3 2 2 4 2" xfId="1094"/>
    <cellStyle name="Финансовый 3 2 2 5" xfId="605"/>
    <cellStyle name="Финансовый 3 2 2 5 2" xfId="1095"/>
    <cellStyle name="Финансовый 3 2 2 6" xfId="1087"/>
    <cellStyle name="Финансовый 3 2 3" xfId="265"/>
    <cellStyle name="Финансовый 3 2 3 2" xfId="437"/>
    <cellStyle name="Финансовый 3 2 3 2 2" xfId="1097"/>
    <cellStyle name="Финансовый 3 2 3 3" xfId="608"/>
    <cellStyle name="Финансовый 3 2 3 3 2" xfId="1098"/>
    <cellStyle name="Финансовый 3 2 3 4" xfId="1096"/>
    <cellStyle name="Финансовый 3 2 4" xfId="266"/>
    <cellStyle name="Финансовый 3 2 4 2" xfId="438"/>
    <cellStyle name="Финансовый 3 2 4 2 2" xfId="1100"/>
    <cellStyle name="Финансовый 3 2 4 3" xfId="609"/>
    <cellStyle name="Финансовый 3 2 4 3 2" xfId="1101"/>
    <cellStyle name="Финансовый 3 2 4 4" xfId="1099"/>
    <cellStyle name="Финансовый 3 2 5" xfId="298"/>
    <cellStyle name="Финансовый 3 2 5 2" xfId="1102"/>
    <cellStyle name="Финансовый 3 2 6" xfId="469"/>
    <cellStyle name="Финансовый 3 2 6 2" xfId="1103"/>
    <cellStyle name="Финансовый 3 2 7" xfId="1086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1107"/>
    <cellStyle name="Финансовый 3 3 2 2 3" xfId="611"/>
    <cellStyle name="Финансовый 3 3 2 2 3 2" xfId="1108"/>
    <cellStyle name="Финансовый 3 3 2 2 4" xfId="1106"/>
    <cellStyle name="Финансовый 3 3 2 3" xfId="269"/>
    <cellStyle name="Финансовый 3 3 2 3 2" xfId="441"/>
    <cellStyle name="Финансовый 3 3 2 3 2 2" xfId="1110"/>
    <cellStyle name="Финансовый 3 3 2 3 3" xfId="612"/>
    <cellStyle name="Финансовый 3 3 2 3 3 2" xfId="1111"/>
    <cellStyle name="Финансовый 3 3 2 3 4" xfId="1109"/>
    <cellStyle name="Финансовый 3 3 2 4" xfId="439"/>
    <cellStyle name="Финансовый 3 3 2 4 2" xfId="1112"/>
    <cellStyle name="Финансовый 3 3 2 5" xfId="610"/>
    <cellStyle name="Финансовый 3 3 2 5 2" xfId="1113"/>
    <cellStyle name="Финансовый 3 3 2 6" xfId="1105"/>
    <cellStyle name="Финансовый 3 3 3" xfId="270"/>
    <cellStyle name="Финансовый 3 3 3 2" xfId="442"/>
    <cellStyle name="Финансовый 3 3 3 2 2" xfId="1115"/>
    <cellStyle name="Финансовый 3 3 3 3" xfId="613"/>
    <cellStyle name="Финансовый 3 3 3 3 2" xfId="1116"/>
    <cellStyle name="Финансовый 3 3 3 4" xfId="1114"/>
    <cellStyle name="Финансовый 3 3 4" xfId="271"/>
    <cellStyle name="Финансовый 3 3 4 2" xfId="443"/>
    <cellStyle name="Финансовый 3 3 4 2 2" xfId="1118"/>
    <cellStyle name="Финансовый 3 3 4 3" xfId="614"/>
    <cellStyle name="Финансовый 3 3 4 3 2" xfId="1119"/>
    <cellStyle name="Финансовый 3 3 4 4" xfId="1117"/>
    <cellStyle name="Финансовый 3 3 5" xfId="291"/>
    <cellStyle name="Финансовый 3 3 5 2" xfId="1120"/>
    <cellStyle name="Финансовый 3 3 6" xfId="462"/>
    <cellStyle name="Финансовый 3 3 6 2" xfId="1121"/>
    <cellStyle name="Финансовый 3 3 7" xfId="1104"/>
    <cellStyle name="Финансовый 3 4" xfId="272"/>
    <cellStyle name="Финансовый 3 4 2" xfId="273"/>
    <cellStyle name="Финансовый 3 4 2 2" xfId="445"/>
    <cellStyle name="Финансовый 3 4 2 2 2" xfId="1124"/>
    <cellStyle name="Финансовый 3 4 2 3" xfId="616"/>
    <cellStyle name="Финансовый 3 4 2 3 2" xfId="1125"/>
    <cellStyle name="Финансовый 3 4 2 4" xfId="1123"/>
    <cellStyle name="Финансовый 3 4 3" xfId="274"/>
    <cellStyle name="Финансовый 3 4 3 2" xfId="446"/>
    <cellStyle name="Финансовый 3 4 3 2 2" xfId="1127"/>
    <cellStyle name="Финансовый 3 4 3 3" xfId="617"/>
    <cellStyle name="Финансовый 3 4 3 3 2" xfId="1128"/>
    <cellStyle name="Финансовый 3 4 3 4" xfId="1126"/>
    <cellStyle name="Финансовый 3 4 4" xfId="444"/>
    <cellStyle name="Финансовый 3 4 4 2" xfId="1129"/>
    <cellStyle name="Финансовый 3 4 5" xfId="615"/>
    <cellStyle name="Финансовый 3 4 5 2" xfId="1130"/>
    <cellStyle name="Финансовый 3 4 6" xfId="1122"/>
    <cellStyle name="Финансовый 3 5" xfId="275"/>
    <cellStyle name="Финансовый 3 5 2" xfId="447"/>
    <cellStyle name="Финансовый 3 5 2 2" xfId="1132"/>
    <cellStyle name="Финансовый 3 5 3" xfId="618"/>
    <cellStyle name="Финансовый 3 5 3 2" xfId="1133"/>
    <cellStyle name="Финансовый 3 5 4" xfId="1131"/>
    <cellStyle name="Финансовый 3 6" xfId="276"/>
    <cellStyle name="Финансовый 3 6 2" xfId="448"/>
    <cellStyle name="Финансовый 3 6 2 2" xfId="1135"/>
    <cellStyle name="Финансовый 3 6 3" xfId="619"/>
    <cellStyle name="Финансовый 3 6 3 2" xfId="1136"/>
    <cellStyle name="Финансовый 3 6 4" xfId="1134"/>
    <cellStyle name="Финансовый 3 7" xfId="277"/>
    <cellStyle name="Финансовый 3 7 2" xfId="449"/>
    <cellStyle name="Финансовый 3 7 2 2" xfId="1138"/>
    <cellStyle name="Финансовый 3 7 3" xfId="620"/>
    <cellStyle name="Финансовый 3 7 3 2" xfId="1139"/>
    <cellStyle name="Финансовый 3 7 4" xfId="1137"/>
    <cellStyle name="Финансовый 3 8" xfId="108"/>
    <cellStyle name="Финансовый 3 8 2" xfId="1140"/>
    <cellStyle name="Финансовый 3 9" xfId="281"/>
    <cellStyle name="Финансовый 3 9 2" xfId="1141"/>
    <cellStyle name="Финансовый 4" xfId="1025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7"/>
  <sheetViews>
    <sheetView tabSelected="1" zoomScale="90" zoomScaleNormal="90" zoomScaleSheetLayoutView="80" workbookViewId="0">
      <selection activeCell="V18" sqref="V18"/>
    </sheetView>
  </sheetViews>
  <sheetFormatPr defaultRowHeight="15.75" x14ac:dyDescent="0.25"/>
  <cols>
    <col min="1" max="1" width="10" style="26" customWidth="1"/>
    <col min="2" max="2" width="34.25" style="26" customWidth="1"/>
    <col min="3" max="3" width="13.125" style="26" customWidth="1"/>
    <col min="4" max="4" width="12.875" style="26" customWidth="1"/>
    <col min="5" max="5" width="13.375" style="26" customWidth="1"/>
    <col min="6" max="6" width="9" style="26" customWidth="1"/>
    <col min="7" max="7" width="9.125" style="26" customWidth="1"/>
    <col min="8" max="8" width="10.75" style="26" customWidth="1"/>
    <col min="9" max="9" width="11.625" style="26" customWidth="1"/>
    <col min="10" max="10" width="9.375" style="26" customWidth="1"/>
    <col min="11" max="11" width="12.75" style="26" customWidth="1"/>
    <col min="12" max="12" width="9.375" style="26" customWidth="1"/>
    <col min="13" max="13" width="11.875" style="26" customWidth="1"/>
    <col min="14" max="17" width="9.375" style="26" customWidth="1"/>
    <col min="18" max="18" width="7.875" style="26" customWidth="1"/>
    <col min="19" max="19" width="9.75" style="26" customWidth="1"/>
    <col min="20" max="20" width="10.75" style="26" customWidth="1"/>
    <col min="21" max="21" width="10.125" style="26" customWidth="1"/>
    <col min="22" max="22" width="40.125" style="26" customWidth="1"/>
    <col min="23" max="23" width="22.75" style="34" customWidth="1"/>
    <col min="24" max="61" width="10.625" style="34" customWidth="1"/>
    <col min="62" max="62" width="12.125" style="34" customWidth="1"/>
    <col min="63" max="63" width="11.5" style="34" customWidth="1"/>
    <col min="64" max="64" width="14.125" style="34" customWidth="1"/>
    <col min="65" max="65" width="15.125" style="34" customWidth="1"/>
    <col min="66" max="66" width="13" style="34" customWidth="1"/>
    <col min="67" max="67" width="11.75" style="34" customWidth="1"/>
    <col min="68" max="68" width="17.5" style="34" customWidth="1"/>
    <col min="69" max="16384" width="9" style="34"/>
  </cols>
  <sheetData>
    <row r="1" spans="1:22" ht="30.75" customHeight="1" x14ac:dyDescent="0.25">
      <c r="K1" s="56"/>
      <c r="V1" s="27" t="s">
        <v>10</v>
      </c>
    </row>
    <row r="2" spans="1:22" ht="21" customHeight="1" x14ac:dyDescent="0.25">
      <c r="K2" s="56"/>
      <c r="V2" s="28" t="s">
        <v>0</v>
      </c>
    </row>
    <row r="3" spans="1:22" ht="19.5" customHeight="1" x14ac:dyDescent="0.25">
      <c r="V3" s="28" t="s">
        <v>46</v>
      </c>
    </row>
    <row r="4" spans="1:22" s="1" customFormat="1" ht="36" customHeight="1" x14ac:dyDescent="0.25">
      <c r="A4" s="93" t="s">
        <v>45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s="1" customFormat="1" ht="21.75" customHeight="1" x14ac:dyDescent="0.25">
      <c r="A5" s="94" t="s">
        <v>662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s="1" customFormat="1" ht="27" customHeight="1" x14ac:dyDescent="0.25">
      <c r="A6" s="61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1" customFormat="1" ht="23.25" customHeight="1" x14ac:dyDescent="0.25">
      <c r="A7" s="94" t="s">
        <v>321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1:22" ht="27" customHeight="1" x14ac:dyDescent="0.25">
      <c r="A8" s="95" t="s">
        <v>16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1:22" ht="27" customHeight="1" x14ac:dyDescent="0.25">
      <c r="A9" s="96" t="s">
        <v>322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1:22" ht="27" customHeight="1" x14ac:dyDescent="0.25">
      <c r="A10" s="105" t="s">
        <v>778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64"/>
      <c r="V10" s="64"/>
    </row>
    <row r="11" spans="1:22" ht="27" customHeight="1" x14ac:dyDescent="0.25">
      <c r="A11" s="106" t="s">
        <v>779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64"/>
      <c r="V11" s="64"/>
    </row>
    <row r="12" spans="1:22" ht="24.75" customHeight="1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</row>
    <row r="13" spans="1:22" ht="105.75" customHeight="1" x14ac:dyDescent="0.25">
      <c r="A13" s="82" t="s">
        <v>11</v>
      </c>
      <c r="B13" s="81" t="s">
        <v>8</v>
      </c>
      <c r="C13" s="81" t="s">
        <v>2</v>
      </c>
      <c r="D13" s="97" t="s">
        <v>47</v>
      </c>
      <c r="E13" s="97" t="s">
        <v>323</v>
      </c>
      <c r="F13" s="81" t="s">
        <v>324</v>
      </c>
      <c r="G13" s="81"/>
      <c r="H13" s="100" t="s">
        <v>325</v>
      </c>
      <c r="I13" s="101"/>
      <c r="J13" s="101"/>
      <c r="K13" s="101"/>
      <c r="L13" s="101"/>
      <c r="M13" s="101"/>
      <c r="N13" s="101"/>
      <c r="O13" s="101"/>
      <c r="P13" s="101"/>
      <c r="Q13" s="102"/>
      <c r="R13" s="81" t="s">
        <v>49</v>
      </c>
      <c r="S13" s="81"/>
      <c r="T13" s="77" t="s">
        <v>44</v>
      </c>
      <c r="U13" s="78"/>
      <c r="V13" s="82" t="s">
        <v>3</v>
      </c>
    </row>
    <row r="14" spans="1:22" ht="105.75" customHeight="1" x14ac:dyDescent="0.25">
      <c r="A14" s="83"/>
      <c r="B14" s="81"/>
      <c r="C14" s="81"/>
      <c r="D14" s="98"/>
      <c r="E14" s="98"/>
      <c r="F14" s="85" t="s">
        <v>1</v>
      </c>
      <c r="G14" s="85" t="s">
        <v>7</v>
      </c>
      <c r="H14" s="81" t="s">
        <v>6</v>
      </c>
      <c r="I14" s="81"/>
      <c r="J14" s="81" t="s">
        <v>12</v>
      </c>
      <c r="K14" s="81"/>
      <c r="L14" s="81" t="s">
        <v>13</v>
      </c>
      <c r="M14" s="81"/>
      <c r="N14" s="77" t="s">
        <v>14</v>
      </c>
      <c r="O14" s="78"/>
      <c r="P14" s="77" t="s">
        <v>15</v>
      </c>
      <c r="Q14" s="78"/>
      <c r="R14" s="85" t="s">
        <v>1</v>
      </c>
      <c r="S14" s="85" t="s">
        <v>7</v>
      </c>
      <c r="T14" s="103"/>
      <c r="U14" s="104"/>
      <c r="V14" s="83"/>
    </row>
    <row r="15" spans="1:22" ht="51.75" customHeight="1" x14ac:dyDescent="0.25">
      <c r="A15" s="83"/>
      <c r="B15" s="81"/>
      <c r="C15" s="81"/>
      <c r="D15" s="98"/>
      <c r="E15" s="98"/>
      <c r="F15" s="85"/>
      <c r="G15" s="85"/>
      <c r="H15" s="81"/>
      <c r="I15" s="81"/>
      <c r="J15" s="81"/>
      <c r="K15" s="81"/>
      <c r="L15" s="81"/>
      <c r="M15" s="81"/>
      <c r="N15" s="79"/>
      <c r="O15" s="80"/>
      <c r="P15" s="79"/>
      <c r="Q15" s="80"/>
      <c r="R15" s="85"/>
      <c r="S15" s="85"/>
      <c r="T15" s="79"/>
      <c r="U15" s="80"/>
      <c r="V15" s="83"/>
    </row>
    <row r="16" spans="1:22" ht="65.25" customHeight="1" x14ac:dyDescent="0.25">
      <c r="A16" s="84"/>
      <c r="B16" s="81"/>
      <c r="C16" s="81"/>
      <c r="D16" s="99"/>
      <c r="E16" s="99"/>
      <c r="F16" s="85"/>
      <c r="G16" s="85"/>
      <c r="H16" s="65" t="s">
        <v>5</v>
      </c>
      <c r="I16" s="65" t="s">
        <v>9</v>
      </c>
      <c r="J16" s="65" t="s">
        <v>5</v>
      </c>
      <c r="K16" s="65" t="s">
        <v>9</v>
      </c>
      <c r="L16" s="65" t="s">
        <v>5</v>
      </c>
      <c r="M16" s="65" t="s">
        <v>9</v>
      </c>
      <c r="N16" s="66" t="s">
        <v>5</v>
      </c>
      <c r="O16" s="66" t="s">
        <v>9</v>
      </c>
      <c r="P16" s="66" t="s">
        <v>5</v>
      </c>
      <c r="Q16" s="66" t="s">
        <v>9</v>
      </c>
      <c r="R16" s="85"/>
      <c r="S16" s="85"/>
      <c r="T16" s="67" t="s">
        <v>48</v>
      </c>
      <c r="U16" s="67" t="s">
        <v>4</v>
      </c>
      <c r="V16" s="84"/>
    </row>
    <row r="17" spans="1:22" ht="20.25" customHeight="1" x14ac:dyDescent="0.25">
      <c r="A17" s="62">
        <v>1</v>
      </c>
      <c r="B17" s="65">
        <f t="shared" ref="B17:V17" si="0">A17+1</f>
        <v>2</v>
      </c>
      <c r="C17" s="65">
        <f t="shared" si="0"/>
        <v>3</v>
      </c>
      <c r="D17" s="65">
        <f t="shared" si="0"/>
        <v>4</v>
      </c>
      <c r="E17" s="31">
        <f t="shared" si="0"/>
        <v>5</v>
      </c>
      <c r="F17" s="65">
        <f t="shared" si="0"/>
        <v>6</v>
      </c>
      <c r="G17" s="31">
        <f t="shared" si="0"/>
        <v>7</v>
      </c>
      <c r="H17" s="65">
        <f t="shared" si="0"/>
        <v>8</v>
      </c>
      <c r="I17" s="31">
        <f t="shared" si="0"/>
        <v>9</v>
      </c>
      <c r="J17" s="65">
        <f t="shared" si="0"/>
        <v>10</v>
      </c>
      <c r="K17" s="31">
        <f t="shared" si="0"/>
        <v>11</v>
      </c>
      <c r="L17" s="65">
        <f t="shared" si="0"/>
        <v>12</v>
      </c>
      <c r="M17" s="31">
        <f t="shared" si="0"/>
        <v>13</v>
      </c>
      <c r="N17" s="65">
        <f t="shared" si="0"/>
        <v>14</v>
      </c>
      <c r="O17" s="31">
        <f t="shared" si="0"/>
        <v>15</v>
      </c>
      <c r="P17" s="65">
        <f t="shared" si="0"/>
        <v>16</v>
      </c>
      <c r="Q17" s="31">
        <f t="shared" si="0"/>
        <v>17</v>
      </c>
      <c r="R17" s="65">
        <f t="shared" si="0"/>
        <v>18</v>
      </c>
      <c r="S17" s="31">
        <f t="shared" si="0"/>
        <v>19</v>
      </c>
      <c r="T17" s="65">
        <f t="shared" si="0"/>
        <v>20</v>
      </c>
      <c r="U17" s="31">
        <f t="shared" si="0"/>
        <v>21</v>
      </c>
      <c r="V17" s="65">
        <f t="shared" si="0"/>
        <v>22</v>
      </c>
    </row>
    <row r="18" spans="1:22" ht="28.5" x14ac:dyDescent="0.25">
      <c r="A18" s="2" t="s">
        <v>51</v>
      </c>
      <c r="B18" s="3" t="s">
        <v>17</v>
      </c>
      <c r="C18" s="4" t="s">
        <v>52</v>
      </c>
      <c r="D18" s="41">
        <v>34.733845630378994</v>
      </c>
      <c r="E18" s="41">
        <f>E19+E20+E21+E22+E23+E24</f>
        <v>49.061387147999994</v>
      </c>
      <c r="F18" s="36" t="s">
        <v>50</v>
      </c>
      <c r="G18" s="41">
        <v>297.81600895000003</v>
      </c>
      <c r="H18" s="41">
        <f>J18+L18+N18+P18</f>
        <v>297.81601595000006</v>
      </c>
      <c r="I18" s="41">
        <f>K18+M18+O18</f>
        <v>123.076504</v>
      </c>
      <c r="J18" s="41">
        <f t="shared" ref="J18:O18" si="1">J19+J20+J21+J22+J23+J24</f>
        <v>30.957681960893563</v>
      </c>
      <c r="K18" s="41">
        <f t="shared" si="1"/>
        <v>43.623718589999996</v>
      </c>
      <c r="L18" s="41">
        <f t="shared" si="1"/>
        <v>116.20657159377491</v>
      </c>
      <c r="M18" s="36">
        <f t="shared" si="1"/>
        <v>30.007436889999997</v>
      </c>
      <c r="N18" s="41">
        <f t="shared" si="1"/>
        <v>77.517100436080028</v>
      </c>
      <c r="O18" s="36">
        <f t="shared" si="1"/>
        <v>49.445348520000003</v>
      </c>
      <c r="P18" s="41">
        <f>P19+P20+P22+P24</f>
        <v>73.134661959251545</v>
      </c>
      <c r="Q18" s="36" t="s">
        <v>50</v>
      </c>
      <c r="R18" s="36" t="s">
        <v>50</v>
      </c>
      <c r="S18" s="41">
        <f t="shared" ref="S18:S82" si="2">G18-I18</f>
        <v>174.73950495000003</v>
      </c>
      <c r="T18" s="41">
        <f>(K18+M18+O18)-(J18+L18+N18)</f>
        <v>-101.60484999074851</v>
      </c>
      <c r="U18" s="29">
        <f>(K18+M18+O18)/(J18+L18+N18)*100-100</f>
        <v>-45.221754358366653</v>
      </c>
      <c r="V18" s="30" t="s">
        <v>50</v>
      </c>
    </row>
    <row r="19" spans="1:22" ht="28.5" x14ac:dyDescent="0.25">
      <c r="A19" s="2" t="s">
        <v>53</v>
      </c>
      <c r="B19" s="3" t="s">
        <v>54</v>
      </c>
      <c r="C19" s="4" t="s">
        <v>52</v>
      </c>
      <c r="D19" s="41">
        <v>14.480973987574979</v>
      </c>
      <c r="E19" s="41">
        <f>E26</f>
        <v>40.801843355999999</v>
      </c>
      <c r="F19" s="36" t="s">
        <v>50</v>
      </c>
      <c r="G19" s="41">
        <v>94.70023572832001</v>
      </c>
      <c r="H19" s="41">
        <f t="shared" ref="H19:H82" si="3">J19+L19+N19+P19</f>
        <v>94.700242728320006</v>
      </c>
      <c r="I19" s="41">
        <f t="shared" ref="I19:I82" si="4">K19+M19+O19</f>
        <v>62.704224000000004</v>
      </c>
      <c r="J19" s="41">
        <f t="shared" ref="J19:P19" si="5">J26</f>
        <v>23.032870432080003</v>
      </c>
      <c r="K19" s="41">
        <f t="shared" si="5"/>
        <v>12.232261580000001</v>
      </c>
      <c r="L19" s="41">
        <f t="shared" si="5"/>
        <v>23.032869432080002</v>
      </c>
      <c r="M19" s="36">
        <f t="shared" si="5"/>
        <v>17.11922229</v>
      </c>
      <c r="N19" s="41">
        <f t="shared" si="5"/>
        <v>23.032866432080002</v>
      </c>
      <c r="O19" s="36">
        <f t="shared" si="5"/>
        <v>33.352740130000001</v>
      </c>
      <c r="P19" s="41">
        <f t="shared" si="5"/>
        <v>25.601636432079999</v>
      </c>
      <c r="Q19" s="36" t="s">
        <v>50</v>
      </c>
      <c r="R19" s="36" t="s">
        <v>50</v>
      </c>
      <c r="S19" s="41">
        <f t="shared" si="2"/>
        <v>31.996011728320006</v>
      </c>
      <c r="T19" s="41">
        <f t="shared" ref="T19:T82" si="6">(K19+M19+O19)-(J19+L19+N19)</f>
        <v>-6.3943822962400034</v>
      </c>
      <c r="U19" s="29">
        <f t="shared" ref="U19:U27" si="7">(K19+M19+O19)/(J19+L19+N19)*100-100</f>
        <v>-9.2539960485251527</v>
      </c>
      <c r="V19" s="30" t="s">
        <v>50</v>
      </c>
    </row>
    <row r="20" spans="1:22" ht="28.5" x14ac:dyDescent="0.25">
      <c r="A20" s="2" t="s">
        <v>55</v>
      </c>
      <c r="B20" s="3" t="s">
        <v>56</v>
      </c>
      <c r="C20" s="4" t="s">
        <v>52</v>
      </c>
      <c r="D20" s="41">
        <v>16.520314779488359</v>
      </c>
      <c r="E20" s="41">
        <f>E125</f>
        <v>6.3363848039999997</v>
      </c>
      <c r="F20" s="36" t="s">
        <v>50</v>
      </c>
      <c r="G20" s="41">
        <v>133.95458524213561</v>
      </c>
      <c r="H20" s="41">
        <f t="shared" si="3"/>
        <v>133.95458524213561</v>
      </c>
      <c r="I20" s="41">
        <f t="shared" si="4"/>
        <v>45.644647739999996</v>
      </c>
      <c r="J20" s="41">
        <f t="shared" ref="J20:P20" si="8">J125</f>
        <v>6.5123512313559324</v>
      </c>
      <c r="K20" s="41">
        <f t="shared" si="8"/>
        <v>21.773626309999997</v>
      </c>
      <c r="L20" s="41">
        <f t="shared" si="8"/>
        <v>69.937562292203381</v>
      </c>
      <c r="M20" s="36">
        <f t="shared" si="8"/>
        <v>10.167173069999997</v>
      </c>
      <c r="N20" s="41">
        <f t="shared" si="8"/>
        <v>32.387612374508493</v>
      </c>
      <c r="O20" s="36">
        <f t="shared" si="8"/>
        <v>13.703848360000002</v>
      </c>
      <c r="P20" s="41">
        <f t="shared" si="8"/>
        <v>25.117059344067798</v>
      </c>
      <c r="Q20" s="36" t="s">
        <v>50</v>
      </c>
      <c r="R20" s="36" t="s">
        <v>50</v>
      </c>
      <c r="S20" s="41">
        <f t="shared" si="2"/>
        <v>88.309937502135611</v>
      </c>
      <c r="T20" s="41">
        <f t="shared" si="6"/>
        <v>-63.192878158067813</v>
      </c>
      <c r="U20" s="29">
        <f t="shared" si="7"/>
        <v>-58.061663600522614</v>
      </c>
      <c r="V20" s="30" t="s">
        <v>50</v>
      </c>
    </row>
    <row r="21" spans="1:22" ht="71.25" x14ac:dyDescent="0.25">
      <c r="A21" s="2" t="s">
        <v>57</v>
      </c>
      <c r="B21" s="3" t="s">
        <v>58</v>
      </c>
      <c r="C21" s="4" t="s">
        <v>52</v>
      </c>
      <c r="D21" s="41">
        <v>0</v>
      </c>
      <c r="E21" s="41">
        <f>E337</f>
        <v>0</v>
      </c>
      <c r="F21" s="36" t="s">
        <v>50</v>
      </c>
      <c r="G21" s="41">
        <v>0</v>
      </c>
      <c r="H21" s="41">
        <f t="shared" si="3"/>
        <v>0</v>
      </c>
      <c r="I21" s="41">
        <f t="shared" si="4"/>
        <v>0</v>
      </c>
      <c r="J21" s="41">
        <f t="shared" ref="J21:O21" si="9">J337</f>
        <v>0</v>
      </c>
      <c r="K21" s="41">
        <f t="shared" si="9"/>
        <v>0</v>
      </c>
      <c r="L21" s="41">
        <f t="shared" si="9"/>
        <v>0</v>
      </c>
      <c r="M21" s="36">
        <f t="shared" si="9"/>
        <v>0</v>
      </c>
      <c r="N21" s="41">
        <f t="shared" si="9"/>
        <v>0</v>
      </c>
      <c r="O21" s="36">
        <f t="shared" si="9"/>
        <v>0</v>
      </c>
      <c r="P21" s="41">
        <v>0</v>
      </c>
      <c r="Q21" s="36" t="s">
        <v>50</v>
      </c>
      <c r="R21" s="36" t="s">
        <v>50</v>
      </c>
      <c r="S21" s="41">
        <f t="shared" si="2"/>
        <v>0</v>
      </c>
      <c r="T21" s="41">
        <f t="shared" si="6"/>
        <v>0</v>
      </c>
      <c r="U21" s="29">
        <v>0</v>
      </c>
      <c r="V21" s="30" t="s">
        <v>50</v>
      </c>
    </row>
    <row r="22" spans="1:22" ht="42.75" x14ac:dyDescent="0.25">
      <c r="A22" s="2" t="s">
        <v>59</v>
      </c>
      <c r="B22" s="3" t="s">
        <v>60</v>
      </c>
      <c r="C22" s="4" t="s">
        <v>52</v>
      </c>
      <c r="D22" s="41">
        <v>3.7325568633156565</v>
      </c>
      <c r="E22" s="41">
        <f>E340</f>
        <v>1.1462098439999999</v>
      </c>
      <c r="F22" s="36" t="s">
        <v>50</v>
      </c>
      <c r="G22" s="41">
        <v>24.219407979544428</v>
      </c>
      <c r="H22" s="41">
        <f t="shared" si="3"/>
        <v>24.219407979544428</v>
      </c>
      <c r="I22" s="41">
        <f t="shared" si="4"/>
        <v>6.1136198400000001</v>
      </c>
      <c r="J22" s="41">
        <f t="shared" ref="J22:O22" si="10">J340</f>
        <v>1.4124602974576277</v>
      </c>
      <c r="K22" s="41">
        <f t="shared" si="10"/>
        <v>0.86449767</v>
      </c>
      <c r="L22" s="41">
        <f t="shared" si="10"/>
        <v>4.3464498694915248</v>
      </c>
      <c r="M22" s="36">
        <f t="shared" si="10"/>
        <v>2.8603621400000003</v>
      </c>
      <c r="N22" s="41">
        <f t="shared" si="10"/>
        <v>15.021621629491531</v>
      </c>
      <c r="O22" s="36">
        <f t="shared" si="10"/>
        <v>2.3887600300000003</v>
      </c>
      <c r="P22" s="41">
        <v>3.4388761831037424</v>
      </c>
      <c r="Q22" s="36" t="s">
        <v>50</v>
      </c>
      <c r="R22" s="36" t="s">
        <v>50</v>
      </c>
      <c r="S22" s="41">
        <f t="shared" si="2"/>
        <v>18.10578813954443</v>
      </c>
      <c r="T22" s="41">
        <f t="shared" si="6"/>
        <v>-14.666911956440684</v>
      </c>
      <c r="U22" s="29">
        <f t="shared" si="7"/>
        <v>-70.580060703513141</v>
      </c>
      <c r="V22" s="30" t="s">
        <v>50</v>
      </c>
    </row>
    <row r="23" spans="1:22" ht="42.75" x14ac:dyDescent="0.25">
      <c r="A23" s="2" t="s">
        <v>61</v>
      </c>
      <c r="B23" s="3" t="s">
        <v>62</v>
      </c>
      <c r="C23" s="4" t="s">
        <v>52</v>
      </c>
      <c r="D23" s="41">
        <v>0</v>
      </c>
      <c r="E23" s="41">
        <f>E381</f>
        <v>0</v>
      </c>
      <c r="F23" s="36" t="s">
        <v>50</v>
      </c>
      <c r="G23" s="41">
        <v>0</v>
      </c>
      <c r="H23" s="41">
        <f t="shared" si="3"/>
        <v>0</v>
      </c>
      <c r="I23" s="41">
        <f t="shared" si="4"/>
        <v>0</v>
      </c>
      <c r="J23" s="41">
        <f t="shared" ref="J23:O24" si="11">J381</f>
        <v>0</v>
      </c>
      <c r="K23" s="41">
        <f t="shared" si="11"/>
        <v>0</v>
      </c>
      <c r="L23" s="41">
        <f t="shared" si="11"/>
        <v>0</v>
      </c>
      <c r="M23" s="36">
        <f t="shared" si="11"/>
        <v>0</v>
      </c>
      <c r="N23" s="41">
        <f t="shared" si="11"/>
        <v>0</v>
      </c>
      <c r="O23" s="36">
        <f t="shared" si="11"/>
        <v>0</v>
      </c>
      <c r="P23" s="41">
        <v>0</v>
      </c>
      <c r="Q23" s="36" t="s">
        <v>50</v>
      </c>
      <c r="R23" s="36" t="s">
        <v>50</v>
      </c>
      <c r="S23" s="41">
        <f t="shared" si="2"/>
        <v>0</v>
      </c>
      <c r="T23" s="41">
        <f t="shared" si="6"/>
        <v>0</v>
      </c>
      <c r="U23" s="29">
        <v>0</v>
      </c>
      <c r="V23" s="30" t="s">
        <v>50</v>
      </c>
    </row>
    <row r="24" spans="1:22" ht="28.5" x14ac:dyDescent="0.25">
      <c r="A24" s="2" t="s">
        <v>63</v>
      </c>
      <c r="B24" s="3" t="s">
        <v>64</v>
      </c>
      <c r="C24" s="4" t="s">
        <v>52</v>
      </c>
      <c r="D24" s="41">
        <v>0</v>
      </c>
      <c r="E24" s="41">
        <f>E382</f>
        <v>0.77694914399999992</v>
      </c>
      <c r="F24" s="36" t="s">
        <v>50</v>
      </c>
      <c r="G24" s="41">
        <v>44.941780000000001</v>
      </c>
      <c r="H24" s="41">
        <f t="shared" si="3"/>
        <v>44.941780000000001</v>
      </c>
      <c r="I24" s="41">
        <f t="shared" si="4"/>
        <v>8.6140124199999999</v>
      </c>
      <c r="J24" s="41">
        <f t="shared" si="11"/>
        <v>0</v>
      </c>
      <c r="K24" s="41">
        <f t="shared" si="11"/>
        <v>8.7533330300000003</v>
      </c>
      <c r="L24" s="41">
        <f t="shared" si="11"/>
        <v>18.889690000000002</v>
      </c>
      <c r="M24" s="36">
        <f t="shared" si="11"/>
        <v>-0.13932061000000001</v>
      </c>
      <c r="N24" s="41">
        <f t="shared" si="11"/>
        <v>7.0750000000000002</v>
      </c>
      <c r="O24" s="36">
        <f t="shared" si="11"/>
        <v>0</v>
      </c>
      <c r="P24" s="41">
        <f>P382</f>
        <v>18.97709</v>
      </c>
      <c r="Q24" s="36" t="s">
        <v>50</v>
      </c>
      <c r="R24" s="36" t="s">
        <v>50</v>
      </c>
      <c r="S24" s="41">
        <f t="shared" si="2"/>
        <v>36.32776758</v>
      </c>
      <c r="T24" s="41">
        <f t="shared" si="6"/>
        <v>-17.350677580000003</v>
      </c>
      <c r="U24" s="29">
        <f t="shared" si="7"/>
        <v>-66.82412761330869</v>
      </c>
      <c r="V24" s="30" t="s">
        <v>50</v>
      </c>
    </row>
    <row r="25" spans="1:22" x14ac:dyDescent="0.25">
      <c r="A25" s="2" t="s">
        <v>65</v>
      </c>
      <c r="B25" s="3" t="s">
        <v>66</v>
      </c>
      <c r="C25" s="4" t="s">
        <v>52</v>
      </c>
      <c r="D25" s="41">
        <v>0</v>
      </c>
      <c r="E25" s="41">
        <v>0</v>
      </c>
      <c r="F25" s="36" t="s">
        <v>50</v>
      </c>
      <c r="G25" s="41">
        <v>0</v>
      </c>
      <c r="H25" s="41">
        <f t="shared" si="3"/>
        <v>0</v>
      </c>
      <c r="I25" s="41">
        <f t="shared" si="4"/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 t="s">
        <v>50</v>
      </c>
      <c r="R25" s="36" t="s">
        <v>50</v>
      </c>
      <c r="S25" s="41">
        <f t="shared" si="2"/>
        <v>0</v>
      </c>
      <c r="T25" s="41">
        <f t="shared" si="6"/>
        <v>0</v>
      </c>
      <c r="U25" s="29">
        <v>0</v>
      </c>
      <c r="V25" s="30" t="s">
        <v>50</v>
      </c>
    </row>
    <row r="26" spans="1:22" ht="28.5" x14ac:dyDescent="0.25">
      <c r="A26" s="2" t="s">
        <v>18</v>
      </c>
      <c r="B26" s="5" t="s">
        <v>67</v>
      </c>
      <c r="C26" s="6" t="s">
        <v>52</v>
      </c>
      <c r="D26" s="41">
        <v>14.480973987574979</v>
      </c>
      <c r="E26" s="41">
        <f>E27+E98+E101+E110</f>
        <v>40.801843355999999</v>
      </c>
      <c r="F26" s="36" t="s">
        <v>50</v>
      </c>
      <c r="G26" s="41">
        <v>94.70023572832001</v>
      </c>
      <c r="H26" s="41">
        <f t="shared" si="3"/>
        <v>94.700242728320006</v>
      </c>
      <c r="I26" s="41">
        <f t="shared" si="4"/>
        <v>62.704224000000004</v>
      </c>
      <c r="J26" s="41">
        <f>J27+J110</f>
        <v>23.032870432080003</v>
      </c>
      <c r="K26" s="41">
        <f>K27+K110</f>
        <v>12.232261580000001</v>
      </c>
      <c r="L26" s="41">
        <f>L27+L110</f>
        <v>23.032869432080002</v>
      </c>
      <c r="M26" s="36">
        <f>M27+M98+M101+M110</f>
        <v>17.11922229</v>
      </c>
      <c r="N26" s="41">
        <f>N27+N110</f>
        <v>23.032866432080002</v>
      </c>
      <c r="O26" s="36">
        <f>O27+O98+O101+O110</f>
        <v>33.352740130000001</v>
      </c>
      <c r="P26" s="41">
        <f>P27+P110</f>
        <v>25.601636432079999</v>
      </c>
      <c r="Q26" s="36" t="s">
        <v>50</v>
      </c>
      <c r="R26" s="36" t="s">
        <v>50</v>
      </c>
      <c r="S26" s="41">
        <f t="shared" si="2"/>
        <v>31.996011728320006</v>
      </c>
      <c r="T26" s="41">
        <f t="shared" si="6"/>
        <v>-6.3943822962400034</v>
      </c>
      <c r="U26" s="29">
        <f t="shared" si="7"/>
        <v>-9.2539960485251527</v>
      </c>
      <c r="V26" s="86" t="s">
        <v>660</v>
      </c>
    </row>
    <row r="27" spans="1:22" ht="42.75" x14ac:dyDescent="0.25">
      <c r="A27" s="2" t="s">
        <v>19</v>
      </c>
      <c r="B27" s="5" t="s">
        <v>68</v>
      </c>
      <c r="C27" s="6" t="s">
        <v>52</v>
      </c>
      <c r="D27" s="41">
        <v>13.671825</v>
      </c>
      <c r="E27" s="41">
        <f>E28++E44+E60</f>
        <v>40.728808704000002</v>
      </c>
      <c r="F27" s="36" t="s">
        <v>50</v>
      </c>
      <c r="G27" s="41">
        <v>92.284809999999993</v>
      </c>
      <c r="H27" s="41">
        <f t="shared" si="3"/>
        <v>92.284817000000004</v>
      </c>
      <c r="I27" s="41">
        <f t="shared" si="4"/>
        <v>61.989239439999999</v>
      </c>
      <c r="J27" s="41">
        <f t="shared" ref="J27:P27" si="12">J29+J44+J60</f>
        <v>22.429014000000002</v>
      </c>
      <c r="K27" s="41">
        <f t="shared" si="12"/>
        <v>11.867591040000001</v>
      </c>
      <c r="L27" s="41">
        <f t="shared" si="12"/>
        <v>22.429013000000001</v>
      </c>
      <c r="M27" s="36">
        <f t="shared" si="12"/>
        <v>16.90572332</v>
      </c>
      <c r="N27" s="41">
        <f t="shared" si="12"/>
        <v>22.429010000000002</v>
      </c>
      <c r="O27" s="36">
        <f t="shared" si="12"/>
        <v>33.215925079999998</v>
      </c>
      <c r="P27" s="41">
        <f t="shared" si="12"/>
        <v>24.997779999999999</v>
      </c>
      <c r="Q27" s="36" t="s">
        <v>50</v>
      </c>
      <c r="R27" s="36" t="s">
        <v>50</v>
      </c>
      <c r="S27" s="41">
        <f t="shared" si="2"/>
        <v>30.295570559999994</v>
      </c>
      <c r="T27" s="41">
        <f t="shared" si="6"/>
        <v>-5.2977975600000136</v>
      </c>
      <c r="U27" s="29">
        <f t="shared" si="7"/>
        <v>-7.873429706824524</v>
      </c>
      <c r="V27" s="87"/>
    </row>
    <row r="28" spans="1:22" ht="71.25" x14ac:dyDescent="0.25">
      <c r="A28" s="2" t="s">
        <v>20</v>
      </c>
      <c r="B28" s="5" t="s">
        <v>69</v>
      </c>
      <c r="C28" s="6" t="s">
        <v>52</v>
      </c>
      <c r="D28" s="41">
        <v>0</v>
      </c>
      <c r="E28" s="41">
        <v>0</v>
      </c>
      <c r="F28" s="36" t="s">
        <v>50</v>
      </c>
      <c r="G28" s="41">
        <v>0</v>
      </c>
      <c r="H28" s="41">
        <f t="shared" si="3"/>
        <v>0</v>
      </c>
      <c r="I28" s="41">
        <f t="shared" si="4"/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36">
        <v>0</v>
      </c>
      <c r="P28" s="41">
        <v>0</v>
      </c>
      <c r="Q28" s="36" t="s">
        <v>50</v>
      </c>
      <c r="R28" s="41" t="s">
        <v>50</v>
      </c>
      <c r="S28" s="41">
        <f t="shared" si="2"/>
        <v>0</v>
      </c>
      <c r="T28" s="41">
        <f t="shared" si="6"/>
        <v>0</v>
      </c>
      <c r="U28" s="29">
        <v>0</v>
      </c>
      <c r="V28" s="87"/>
    </row>
    <row r="29" spans="1:22" ht="71.25" x14ac:dyDescent="0.25">
      <c r="A29" s="7" t="s">
        <v>20</v>
      </c>
      <c r="B29" s="8" t="s">
        <v>70</v>
      </c>
      <c r="C29" s="9" t="s">
        <v>52</v>
      </c>
      <c r="D29" s="41">
        <v>0</v>
      </c>
      <c r="E29" s="41">
        <v>0</v>
      </c>
      <c r="F29" s="36" t="s">
        <v>50</v>
      </c>
      <c r="G29" s="41">
        <v>24.810680000000001</v>
      </c>
      <c r="H29" s="41">
        <f t="shared" si="3"/>
        <v>24.810683000000001</v>
      </c>
      <c r="I29" s="41">
        <f t="shared" si="4"/>
        <v>11.762393569999999</v>
      </c>
      <c r="J29" s="41">
        <f>SUM(J30:J42)</f>
        <v>6.2026700000000003</v>
      </c>
      <c r="K29" s="41">
        <f>SUM(K30:K42)</f>
        <v>7.2734900699999994</v>
      </c>
      <c r="L29" s="41">
        <f>L38+L39+L40</f>
        <v>6.2026729999999999</v>
      </c>
      <c r="M29" s="36">
        <f>SUM(M30:M42)</f>
        <v>1.89366926</v>
      </c>
      <c r="N29" s="41">
        <f>N38+N39+N40</f>
        <v>6.2026700000000003</v>
      </c>
      <c r="O29" s="36">
        <f>SUM(O30:O42)</f>
        <v>2.5952342399999999</v>
      </c>
      <c r="P29" s="41">
        <f>P38+P39+P40</f>
        <v>6.2026700000000003</v>
      </c>
      <c r="Q29" s="36" t="s">
        <v>50</v>
      </c>
      <c r="R29" s="36" t="s">
        <v>50</v>
      </c>
      <c r="S29" s="41">
        <f t="shared" si="2"/>
        <v>13.048286430000003</v>
      </c>
      <c r="T29" s="41">
        <f t="shared" si="6"/>
        <v>-6.8456194300000011</v>
      </c>
      <c r="U29" s="29">
        <v>100</v>
      </c>
      <c r="V29" s="87"/>
    </row>
    <row r="30" spans="1:22" ht="60" x14ac:dyDescent="0.25">
      <c r="A30" s="10" t="s">
        <v>20</v>
      </c>
      <c r="B30" s="25" t="s">
        <v>443</v>
      </c>
      <c r="C30" s="43" t="s">
        <v>444</v>
      </c>
      <c r="D30" s="39">
        <v>0</v>
      </c>
      <c r="E30" s="39">
        <f>2759.78*1.2/1000000</f>
        <v>3.3117360000000005E-3</v>
      </c>
      <c r="F30" s="37" t="s">
        <v>50</v>
      </c>
      <c r="G30" s="39">
        <v>0</v>
      </c>
      <c r="H30" s="39">
        <f t="shared" si="3"/>
        <v>0</v>
      </c>
      <c r="I30" s="39">
        <f t="shared" si="4"/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7">
        <v>0</v>
      </c>
      <c r="P30" s="39">
        <v>0</v>
      </c>
      <c r="Q30" s="37" t="s">
        <v>50</v>
      </c>
      <c r="R30" s="37" t="s">
        <v>50</v>
      </c>
      <c r="S30" s="39">
        <f t="shared" si="2"/>
        <v>0</v>
      </c>
      <c r="T30" s="39">
        <f t="shared" si="6"/>
        <v>0</v>
      </c>
      <c r="U30" s="40">
        <v>0</v>
      </c>
      <c r="V30" s="87"/>
    </row>
    <row r="31" spans="1:22" ht="60" x14ac:dyDescent="0.25">
      <c r="A31" s="10" t="s">
        <v>20</v>
      </c>
      <c r="B31" s="25" t="s">
        <v>445</v>
      </c>
      <c r="C31" s="43" t="s">
        <v>446</v>
      </c>
      <c r="D31" s="39">
        <v>0</v>
      </c>
      <c r="E31" s="39">
        <f>(46427.2+18233.57)*1.2/1000000</f>
        <v>7.7592923999999994E-2</v>
      </c>
      <c r="F31" s="37" t="s">
        <v>50</v>
      </c>
      <c r="G31" s="39">
        <v>0</v>
      </c>
      <c r="H31" s="39">
        <f t="shared" si="3"/>
        <v>0</v>
      </c>
      <c r="I31" s="39">
        <f t="shared" si="4"/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7">
        <v>0</v>
      </c>
      <c r="P31" s="39">
        <v>0</v>
      </c>
      <c r="Q31" s="37" t="s">
        <v>50</v>
      </c>
      <c r="R31" s="37" t="s">
        <v>50</v>
      </c>
      <c r="S31" s="39">
        <f t="shared" si="2"/>
        <v>0</v>
      </c>
      <c r="T31" s="39">
        <f t="shared" si="6"/>
        <v>0</v>
      </c>
      <c r="U31" s="40">
        <v>0</v>
      </c>
      <c r="V31" s="87"/>
    </row>
    <row r="32" spans="1:22" ht="60" x14ac:dyDescent="0.25">
      <c r="A32" s="10" t="s">
        <v>20</v>
      </c>
      <c r="B32" s="25" t="s">
        <v>447</v>
      </c>
      <c r="C32" s="43" t="s">
        <v>448</v>
      </c>
      <c r="D32" s="39">
        <v>0</v>
      </c>
      <c r="E32" s="39">
        <f>8822.57*1.2/1000000</f>
        <v>1.0587083999999998E-2</v>
      </c>
      <c r="F32" s="37" t="s">
        <v>50</v>
      </c>
      <c r="G32" s="39">
        <v>0</v>
      </c>
      <c r="H32" s="39">
        <f t="shared" si="3"/>
        <v>0</v>
      </c>
      <c r="I32" s="39">
        <f t="shared" si="4"/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7">
        <v>0</v>
      </c>
      <c r="P32" s="39">
        <v>0</v>
      </c>
      <c r="Q32" s="37" t="s">
        <v>50</v>
      </c>
      <c r="R32" s="37" t="s">
        <v>50</v>
      </c>
      <c r="S32" s="39">
        <f t="shared" si="2"/>
        <v>0</v>
      </c>
      <c r="T32" s="39">
        <f t="shared" si="6"/>
        <v>0</v>
      </c>
      <c r="U32" s="40">
        <v>0</v>
      </c>
      <c r="V32" s="87"/>
    </row>
    <row r="33" spans="1:22" ht="45" x14ac:dyDescent="0.25">
      <c r="A33" s="10" t="s">
        <v>20</v>
      </c>
      <c r="B33" s="22" t="s">
        <v>449</v>
      </c>
      <c r="C33" s="44" t="s">
        <v>450</v>
      </c>
      <c r="D33" s="39">
        <v>0</v>
      </c>
      <c r="E33" s="39">
        <f>11508.29*1.2/1000000</f>
        <v>1.3809948000000001E-2</v>
      </c>
      <c r="F33" s="37" t="s">
        <v>50</v>
      </c>
      <c r="G33" s="39">
        <v>0</v>
      </c>
      <c r="H33" s="39">
        <f t="shared" si="3"/>
        <v>0</v>
      </c>
      <c r="I33" s="39">
        <f t="shared" si="4"/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7">
        <v>0</v>
      </c>
      <c r="P33" s="39">
        <v>0</v>
      </c>
      <c r="Q33" s="37" t="s">
        <v>50</v>
      </c>
      <c r="R33" s="37" t="s">
        <v>50</v>
      </c>
      <c r="S33" s="39">
        <f t="shared" si="2"/>
        <v>0</v>
      </c>
      <c r="T33" s="39">
        <f t="shared" si="6"/>
        <v>0</v>
      </c>
      <c r="U33" s="40">
        <v>0</v>
      </c>
      <c r="V33" s="87"/>
    </row>
    <row r="34" spans="1:22" ht="45" x14ac:dyDescent="0.25">
      <c r="A34" s="10" t="s">
        <v>20</v>
      </c>
      <c r="B34" s="22" t="s">
        <v>451</v>
      </c>
      <c r="C34" s="44" t="s">
        <v>452</v>
      </c>
      <c r="D34" s="39">
        <v>0</v>
      </c>
      <c r="E34" s="39">
        <f>24909.32*1.2/1000000</f>
        <v>2.9891183999999998E-2</v>
      </c>
      <c r="F34" s="37" t="s">
        <v>50</v>
      </c>
      <c r="G34" s="39">
        <v>0</v>
      </c>
      <c r="H34" s="39">
        <f t="shared" si="3"/>
        <v>0</v>
      </c>
      <c r="I34" s="39">
        <f t="shared" si="4"/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7">
        <v>0</v>
      </c>
      <c r="P34" s="39">
        <v>0</v>
      </c>
      <c r="Q34" s="37" t="s">
        <v>50</v>
      </c>
      <c r="R34" s="37" t="s">
        <v>50</v>
      </c>
      <c r="S34" s="39">
        <f t="shared" si="2"/>
        <v>0</v>
      </c>
      <c r="T34" s="39">
        <f t="shared" si="6"/>
        <v>0</v>
      </c>
      <c r="U34" s="40">
        <v>0</v>
      </c>
      <c r="V34" s="87"/>
    </row>
    <row r="35" spans="1:22" ht="45" x14ac:dyDescent="0.25">
      <c r="A35" s="10" t="s">
        <v>20</v>
      </c>
      <c r="B35" s="25" t="s">
        <v>453</v>
      </c>
      <c r="C35" s="35" t="s">
        <v>454</v>
      </c>
      <c r="D35" s="39">
        <v>0</v>
      </c>
      <c r="E35" s="39">
        <f>(19088.72+29834.59)*1.2/1000000</f>
        <v>5.8707971999999997E-2</v>
      </c>
      <c r="F35" s="37" t="s">
        <v>50</v>
      </c>
      <c r="G35" s="39">
        <v>0</v>
      </c>
      <c r="H35" s="39">
        <f t="shared" si="3"/>
        <v>0</v>
      </c>
      <c r="I35" s="39">
        <f t="shared" si="4"/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7">
        <v>0</v>
      </c>
      <c r="P35" s="39">
        <v>0</v>
      </c>
      <c r="Q35" s="37" t="s">
        <v>50</v>
      </c>
      <c r="R35" s="37" t="s">
        <v>50</v>
      </c>
      <c r="S35" s="39">
        <f t="shared" si="2"/>
        <v>0</v>
      </c>
      <c r="T35" s="39">
        <f t="shared" si="6"/>
        <v>0</v>
      </c>
      <c r="U35" s="40">
        <v>0</v>
      </c>
      <c r="V35" s="87"/>
    </row>
    <row r="36" spans="1:22" ht="60" x14ac:dyDescent="0.25">
      <c r="A36" s="10" t="s">
        <v>20</v>
      </c>
      <c r="B36" s="25" t="s">
        <v>455</v>
      </c>
      <c r="C36" s="35" t="s">
        <v>456</v>
      </c>
      <c r="D36" s="39">
        <v>0</v>
      </c>
      <c r="E36" s="39">
        <f>(43458.94+17769.58+27367.1+38142.67+109577.98+38439.55+109742+48316.26+49021.14+38755.62+29933+18891.07+14874+15921)*1.2/1000000</f>
        <v>0.72025189199999995</v>
      </c>
      <c r="F36" s="37" t="s">
        <v>50</v>
      </c>
      <c r="G36" s="39">
        <v>0</v>
      </c>
      <c r="H36" s="39">
        <f t="shared" si="3"/>
        <v>0</v>
      </c>
      <c r="I36" s="39">
        <f t="shared" si="4"/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7">
        <v>0</v>
      </c>
      <c r="P36" s="39">
        <v>0</v>
      </c>
      <c r="Q36" s="37" t="s">
        <v>50</v>
      </c>
      <c r="R36" s="37" t="s">
        <v>50</v>
      </c>
      <c r="S36" s="39">
        <f t="shared" si="2"/>
        <v>0</v>
      </c>
      <c r="T36" s="39">
        <f t="shared" si="6"/>
        <v>0</v>
      </c>
      <c r="U36" s="40">
        <v>0</v>
      </c>
      <c r="V36" s="87"/>
    </row>
    <row r="37" spans="1:22" ht="45" x14ac:dyDescent="0.25">
      <c r="A37" s="10" t="s">
        <v>20</v>
      </c>
      <c r="B37" s="25" t="s">
        <v>457</v>
      </c>
      <c r="C37" s="35" t="s">
        <v>458</v>
      </c>
      <c r="D37" s="39">
        <v>0</v>
      </c>
      <c r="E37" s="39">
        <f>5078702.88*1.2/1000000</f>
        <v>6.0944434559999996</v>
      </c>
      <c r="F37" s="37" t="s">
        <v>50</v>
      </c>
      <c r="G37" s="39">
        <v>0</v>
      </c>
      <c r="H37" s="39">
        <f t="shared" si="3"/>
        <v>0</v>
      </c>
      <c r="I37" s="39">
        <f t="shared" si="4"/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7">
        <v>0</v>
      </c>
      <c r="P37" s="39">
        <v>0</v>
      </c>
      <c r="Q37" s="37" t="s">
        <v>50</v>
      </c>
      <c r="R37" s="37" t="s">
        <v>50</v>
      </c>
      <c r="S37" s="39">
        <f t="shared" si="2"/>
        <v>0</v>
      </c>
      <c r="T37" s="39">
        <f t="shared" si="6"/>
        <v>0</v>
      </c>
      <c r="U37" s="40">
        <v>0</v>
      </c>
      <c r="V37" s="87"/>
    </row>
    <row r="38" spans="1:22" ht="45" x14ac:dyDescent="0.25">
      <c r="A38" s="10" t="s">
        <v>20</v>
      </c>
      <c r="B38" s="25" t="s">
        <v>663</v>
      </c>
      <c r="C38" s="35" t="s">
        <v>421</v>
      </c>
      <c r="D38" s="39">
        <v>0</v>
      </c>
      <c r="E38" s="39">
        <v>0</v>
      </c>
      <c r="F38" s="37" t="s">
        <v>50</v>
      </c>
      <c r="G38" s="39">
        <v>14.994300000000001</v>
      </c>
      <c r="H38" s="39">
        <f t="shared" si="3"/>
        <v>14.994303000000002</v>
      </c>
      <c r="I38" s="39">
        <f t="shared" si="4"/>
        <v>5.2344455100000005</v>
      </c>
      <c r="J38" s="39">
        <v>3.7485750000000002</v>
      </c>
      <c r="K38" s="39">
        <f>1911.83864/1000</f>
        <v>1.91183864</v>
      </c>
      <c r="L38" s="39">
        <v>3.7485780000000002</v>
      </c>
      <c r="M38" s="39">
        <v>1.7458513600000001</v>
      </c>
      <c r="N38" s="39">
        <v>3.7485750000000002</v>
      </c>
      <c r="O38" s="37">
        <v>1.5767555099999999</v>
      </c>
      <c r="P38" s="39">
        <v>3.7485750000000002</v>
      </c>
      <c r="Q38" s="37" t="s">
        <v>50</v>
      </c>
      <c r="R38" s="37" t="s">
        <v>50</v>
      </c>
      <c r="S38" s="39">
        <f t="shared" si="2"/>
        <v>9.7598544900000004</v>
      </c>
      <c r="T38" s="39">
        <f t="shared" si="6"/>
        <v>-6.011282490000001</v>
      </c>
      <c r="U38" s="40">
        <v>100</v>
      </c>
      <c r="V38" s="87"/>
    </row>
    <row r="39" spans="1:22" ht="45" x14ac:dyDescent="0.25">
      <c r="A39" s="10" t="s">
        <v>20</v>
      </c>
      <c r="B39" s="25" t="s">
        <v>664</v>
      </c>
      <c r="C39" s="35" t="s">
        <v>422</v>
      </c>
      <c r="D39" s="39">
        <v>0</v>
      </c>
      <c r="E39" s="39">
        <v>0</v>
      </c>
      <c r="F39" s="37" t="s">
        <v>50</v>
      </c>
      <c r="G39" s="39">
        <v>2.97845</v>
      </c>
      <c r="H39" s="39">
        <f t="shared" si="3"/>
        <v>2.97845</v>
      </c>
      <c r="I39" s="39">
        <f t="shared" si="4"/>
        <v>0.38276434000000004</v>
      </c>
      <c r="J39" s="39">
        <v>0.74461250000000001</v>
      </c>
      <c r="K39" s="39">
        <f>120983.69/1000000</f>
        <v>0.12098369</v>
      </c>
      <c r="L39" s="39">
        <v>0.74461250000000001</v>
      </c>
      <c r="M39" s="39">
        <v>0.1478179</v>
      </c>
      <c r="N39" s="39">
        <v>0.74461250000000001</v>
      </c>
      <c r="O39" s="37">
        <v>0.11396275</v>
      </c>
      <c r="P39" s="39">
        <v>0.74461250000000001</v>
      </c>
      <c r="Q39" s="37" t="s">
        <v>50</v>
      </c>
      <c r="R39" s="37" t="s">
        <v>50</v>
      </c>
      <c r="S39" s="39">
        <f t="shared" si="2"/>
        <v>2.59568566</v>
      </c>
      <c r="T39" s="39">
        <f t="shared" si="6"/>
        <v>-1.8510731599999999</v>
      </c>
      <c r="U39" s="40">
        <v>100</v>
      </c>
      <c r="V39" s="87"/>
    </row>
    <row r="40" spans="1:22" ht="45" x14ac:dyDescent="0.25">
      <c r="A40" s="10" t="s">
        <v>20</v>
      </c>
      <c r="B40" s="25" t="s">
        <v>665</v>
      </c>
      <c r="C40" s="35" t="s">
        <v>423</v>
      </c>
      <c r="D40" s="39">
        <v>0</v>
      </c>
      <c r="E40" s="39">
        <v>0</v>
      </c>
      <c r="F40" s="37" t="s">
        <v>50</v>
      </c>
      <c r="G40" s="39">
        <v>6.8379300000000001</v>
      </c>
      <c r="H40" s="39">
        <f t="shared" si="3"/>
        <v>6.8379300000000001</v>
      </c>
      <c r="I40" s="39">
        <f t="shared" si="4"/>
        <v>5.1481666599999993</v>
      </c>
      <c r="J40" s="39">
        <v>1.7094825</v>
      </c>
      <c r="K40" s="39">
        <f>5098138.29/1000000</f>
        <v>5.0981382899999996</v>
      </c>
      <c r="L40" s="39">
        <v>1.7094825</v>
      </c>
      <c r="M40" s="39">
        <v>0</v>
      </c>
      <c r="N40" s="39">
        <v>1.7094825</v>
      </c>
      <c r="O40" s="37">
        <v>5.0028370000000003E-2</v>
      </c>
      <c r="P40" s="39">
        <v>1.7094825</v>
      </c>
      <c r="Q40" s="37" t="s">
        <v>50</v>
      </c>
      <c r="R40" s="37" t="s">
        <v>50</v>
      </c>
      <c r="S40" s="39">
        <f t="shared" si="2"/>
        <v>1.6897633400000007</v>
      </c>
      <c r="T40" s="39">
        <f t="shared" si="6"/>
        <v>1.9719159999999292E-2</v>
      </c>
      <c r="U40" s="40">
        <v>100</v>
      </c>
      <c r="V40" s="87"/>
    </row>
    <row r="41" spans="1:22" ht="45" x14ac:dyDescent="0.25">
      <c r="A41" s="10" t="s">
        <v>20</v>
      </c>
      <c r="B41" s="25" t="s">
        <v>666</v>
      </c>
      <c r="C41" s="35" t="s">
        <v>424</v>
      </c>
      <c r="D41" s="39">
        <v>0</v>
      </c>
      <c r="E41" s="39">
        <v>0</v>
      </c>
      <c r="F41" s="37" t="s">
        <v>50</v>
      </c>
      <c r="G41" s="39">
        <v>0</v>
      </c>
      <c r="H41" s="39">
        <f t="shared" si="3"/>
        <v>0</v>
      </c>
      <c r="I41" s="39">
        <f t="shared" si="4"/>
        <v>0.9970170599999999</v>
      </c>
      <c r="J41" s="39">
        <v>0</v>
      </c>
      <c r="K41" s="39">
        <f>142529.45/1000000</f>
        <v>0.14252945</v>
      </c>
      <c r="L41" s="39">
        <v>0</v>
      </c>
      <c r="M41" s="39">
        <v>0</v>
      </c>
      <c r="N41" s="39">
        <v>0</v>
      </c>
      <c r="O41" s="37">
        <v>0.85448760999999995</v>
      </c>
      <c r="P41" s="39">
        <v>0</v>
      </c>
      <c r="Q41" s="37" t="s">
        <v>50</v>
      </c>
      <c r="R41" s="37" t="s">
        <v>50</v>
      </c>
      <c r="S41" s="39">
        <f t="shared" si="2"/>
        <v>-0.9970170599999999</v>
      </c>
      <c r="T41" s="39">
        <f t="shared" si="6"/>
        <v>0.9970170599999999</v>
      </c>
      <c r="U41" s="40">
        <v>100</v>
      </c>
      <c r="V41" s="87"/>
    </row>
    <row r="42" spans="1:22" ht="30" x14ac:dyDescent="0.25">
      <c r="A42" s="10" t="s">
        <v>20</v>
      </c>
      <c r="B42" s="25" t="s">
        <v>425</v>
      </c>
      <c r="C42" s="35" t="s">
        <v>426</v>
      </c>
      <c r="D42" s="39">
        <v>0</v>
      </c>
      <c r="E42" s="39">
        <v>0</v>
      </c>
      <c r="F42" s="37" t="s">
        <v>50</v>
      </c>
      <c r="G42" s="39">
        <v>0</v>
      </c>
      <c r="H42" s="39">
        <f t="shared" si="3"/>
        <v>0</v>
      </c>
      <c r="I42" s="39">
        <f t="shared" si="4"/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7">
        <v>0</v>
      </c>
      <c r="P42" s="39">
        <v>0</v>
      </c>
      <c r="Q42" s="37" t="s">
        <v>50</v>
      </c>
      <c r="R42" s="37" t="s">
        <v>50</v>
      </c>
      <c r="S42" s="39">
        <f t="shared" si="2"/>
        <v>0</v>
      </c>
      <c r="T42" s="39">
        <f t="shared" si="6"/>
        <v>0</v>
      </c>
      <c r="U42" s="40">
        <v>0</v>
      </c>
      <c r="V42" s="87"/>
    </row>
    <row r="43" spans="1:22" ht="71.25" x14ac:dyDescent="0.25">
      <c r="A43" s="7" t="s">
        <v>20</v>
      </c>
      <c r="B43" s="8" t="s">
        <v>71</v>
      </c>
      <c r="C43" s="9" t="s">
        <v>52</v>
      </c>
      <c r="D43" s="41">
        <v>0</v>
      </c>
      <c r="E43" s="41">
        <v>0</v>
      </c>
      <c r="F43" s="36" t="s">
        <v>50</v>
      </c>
      <c r="G43" s="41">
        <v>0</v>
      </c>
      <c r="H43" s="41">
        <f t="shared" si="3"/>
        <v>0</v>
      </c>
      <c r="I43" s="41">
        <v>0</v>
      </c>
      <c r="J43" s="41">
        <v>0</v>
      </c>
      <c r="K43" s="41">
        <v>0</v>
      </c>
      <c r="L43" s="41">
        <v>0</v>
      </c>
      <c r="M43" s="36">
        <v>0</v>
      </c>
      <c r="N43" s="41">
        <v>0</v>
      </c>
      <c r="O43" s="36" t="s">
        <v>50</v>
      </c>
      <c r="P43" s="41">
        <v>0</v>
      </c>
      <c r="Q43" s="36" t="s">
        <v>50</v>
      </c>
      <c r="R43" s="36" t="s">
        <v>50</v>
      </c>
      <c r="S43" s="41">
        <f t="shared" si="2"/>
        <v>0</v>
      </c>
      <c r="T43" s="41">
        <v>0</v>
      </c>
      <c r="U43" s="29">
        <v>0</v>
      </c>
      <c r="V43" s="87"/>
    </row>
    <row r="44" spans="1:22" ht="71.25" x14ac:dyDescent="0.25">
      <c r="A44" s="2" t="s">
        <v>21</v>
      </c>
      <c r="B44" s="5" t="s">
        <v>72</v>
      </c>
      <c r="C44" s="6" t="s">
        <v>52</v>
      </c>
      <c r="D44" s="41">
        <v>0</v>
      </c>
      <c r="E44" s="41">
        <f>SUM(E45:E57)</f>
        <v>5.7439582080000005</v>
      </c>
      <c r="F44" s="36" t="s">
        <v>50</v>
      </c>
      <c r="G44" s="41">
        <v>15.81814</v>
      </c>
      <c r="H44" s="41">
        <f t="shared" si="3"/>
        <v>15.81814</v>
      </c>
      <c r="I44" s="41">
        <f t="shared" si="4"/>
        <v>19.374307860000002</v>
      </c>
      <c r="J44" s="41">
        <f t="shared" ref="J44:P44" si="13">SUM(J45:J57)</f>
        <v>3.9545349999999999</v>
      </c>
      <c r="K44" s="41">
        <f t="shared" si="13"/>
        <v>3.58026899</v>
      </c>
      <c r="L44" s="41">
        <f t="shared" si="13"/>
        <v>3.9545349999999999</v>
      </c>
      <c r="M44" s="41">
        <f t="shared" si="13"/>
        <v>4.8332406799999994</v>
      </c>
      <c r="N44" s="41">
        <f t="shared" si="13"/>
        <v>3.9545349999999999</v>
      </c>
      <c r="O44" s="36">
        <f t="shared" si="13"/>
        <v>10.96079819</v>
      </c>
      <c r="P44" s="41">
        <f t="shared" si="13"/>
        <v>3.9545349999999999</v>
      </c>
      <c r="Q44" s="36" t="s">
        <v>50</v>
      </c>
      <c r="R44" s="36" t="s">
        <v>50</v>
      </c>
      <c r="S44" s="41">
        <f t="shared" si="2"/>
        <v>-3.5561678600000022</v>
      </c>
      <c r="T44" s="41">
        <f t="shared" si="6"/>
        <v>7.5107028600000021</v>
      </c>
      <c r="U44" s="29">
        <v>100</v>
      </c>
      <c r="V44" s="87"/>
    </row>
    <row r="45" spans="1:22" ht="60" x14ac:dyDescent="0.25">
      <c r="A45" s="10" t="s">
        <v>21</v>
      </c>
      <c r="B45" s="25" t="s">
        <v>459</v>
      </c>
      <c r="C45" s="43" t="s">
        <v>460</v>
      </c>
      <c r="D45" s="39">
        <v>0</v>
      </c>
      <c r="E45" s="39">
        <f>7715*1.2/1000000</f>
        <v>9.2580000000000006E-3</v>
      </c>
      <c r="F45" s="37" t="s">
        <v>50</v>
      </c>
      <c r="G45" s="39">
        <v>0</v>
      </c>
      <c r="H45" s="39">
        <f t="shared" si="3"/>
        <v>0</v>
      </c>
      <c r="I45" s="39">
        <f t="shared" si="4"/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7">
        <v>0</v>
      </c>
      <c r="P45" s="39">
        <v>0</v>
      </c>
      <c r="Q45" s="37" t="s">
        <v>50</v>
      </c>
      <c r="R45" s="37" t="s">
        <v>50</v>
      </c>
      <c r="S45" s="39">
        <f t="shared" si="2"/>
        <v>0</v>
      </c>
      <c r="T45" s="39">
        <f t="shared" si="6"/>
        <v>0</v>
      </c>
      <c r="U45" s="40">
        <v>0</v>
      </c>
      <c r="V45" s="87"/>
    </row>
    <row r="46" spans="1:22" ht="60" x14ac:dyDescent="0.25">
      <c r="A46" s="10" t="s">
        <v>21</v>
      </c>
      <c r="B46" s="25" t="s">
        <v>461</v>
      </c>
      <c r="C46" s="43" t="s">
        <v>462</v>
      </c>
      <c r="D46" s="39">
        <v>0</v>
      </c>
      <c r="E46" s="39">
        <f>50949.09*1.2/1000000</f>
        <v>6.1138907999999999E-2</v>
      </c>
      <c r="F46" s="37" t="s">
        <v>50</v>
      </c>
      <c r="G46" s="39">
        <v>0</v>
      </c>
      <c r="H46" s="39">
        <f t="shared" si="3"/>
        <v>0</v>
      </c>
      <c r="I46" s="39">
        <f t="shared" si="4"/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7">
        <v>0</v>
      </c>
      <c r="P46" s="39">
        <v>0</v>
      </c>
      <c r="Q46" s="37" t="s">
        <v>50</v>
      </c>
      <c r="R46" s="37" t="s">
        <v>50</v>
      </c>
      <c r="S46" s="39">
        <f t="shared" si="2"/>
        <v>0</v>
      </c>
      <c r="T46" s="39">
        <f t="shared" si="6"/>
        <v>0</v>
      </c>
      <c r="U46" s="40">
        <v>0</v>
      </c>
      <c r="V46" s="87"/>
    </row>
    <row r="47" spans="1:22" ht="60" x14ac:dyDescent="0.25">
      <c r="A47" s="19" t="s">
        <v>21</v>
      </c>
      <c r="B47" s="22" t="s">
        <v>463</v>
      </c>
      <c r="C47" s="44" t="s">
        <v>464</v>
      </c>
      <c r="D47" s="39">
        <v>0</v>
      </c>
      <c r="E47" s="39">
        <f>(59375.34+63604.02+48121.08+30058.3+78113.76+226278.38+48834.89+43258.23+92)*1.2/1000000</f>
        <v>0.7172831999999999</v>
      </c>
      <c r="F47" s="37" t="s">
        <v>50</v>
      </c>
      <c r="G47" s="39">
        <v>0</v>
      </c>
      <c r="H47" s="39">
        <f t="shared" si="3"/>
        <v>0</v>
      </c>
      <c r="I47" s="39">
        <f t="shared" si="4"/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7">
        <v>0</v>
      </c>
      <c r="P47" s="39">
        <v>0</v>
      </c>
      <c r="Q47" s="37" t="s">
        <v>50</v>
      </c>
      <c r="R47" s="37" t="s">
        <v>50</v>
      </c>
      <c r="S47" s="39">
        <f t="shared" si="2"/>
        <v>0</v>
      </c>
      <c r="T47" s="39">
        <f t="shared" si="6"/>
        <v>0</v>
      </c>
      <c r="U47" s="40">
        <v>0</v>
      </c>
      <c r="V47" s="87"/>
    </row>
    <row r="48" spans="1:22" ht="60" x14ac:dyDescent="0.25">
      <c r="A48" s="19" t="s">
        <v>21</v>
      </c>
      <c r="B48" s="22" t="s">
        <v>465</v>
      </c>
      <c r="C48" s="44" t="s">
        <v>466</v>
      </c>
      <c r="D48" s="39">
        <v>0</v>
      </c>
      <c r="E48" s="39">
        <f>(50278.56+54476.29+32864.11)*1.2/1000000</f>
        <v>0.165142752</v>
      </c>
      <c r="F48" s="37" t="s">
        <v>50</v>
      </c>
      <c r="G48" s="39">
        <v>0</v>
      </c>
      <c r="H48" s="39">
        <f t="shared" si="3"/>
        <v>0</v>
      </c>
      <c r="I48" s="39">
        <f t="shared" si="4"/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7">
        <v>0</v>
      </c>
      <c r="P48" s="39">
        <v>0</v>
      </c>
      <c r="Q48" s="37" t="s">
        <v>50</v>
      </c>
      <c r="R48" s="37" t="s">
        <v>50</v>
      </c>
      <c r="S48" s="39">
        <f t="shared" si="2"/>
        <v>0</v>
      </c>
      <c r="T48" s="39">
        <f t="shared" si="6"/>
        <v>0</v>
      </c>
      <c r="U48" s="40">
        <v>0</v>
      </c>
      <c r="V48" s="87"/>
    </row>
    <row r="49" spans="1:22" ht="45" x14ac:dyDescent="0.25">
      <c r="A49" s="19" t="s">
        <v>21</v>
      </c>
      <c r="B49" s="22" t="s">
        <v>467</v>
      </c>
      <c r="C49" s="44" t="s">
        <v>468</v>
      </c>
      <c r="D49" s="39">
        <v>0</v>
      </c>
      <c r="E49" s="39">
        <f>(22839.33+40645.46+44939.54+98966.1+48469.75+50213.24)*1.2/1000000</f>
        <v>0.367288104</v>
      </c>
      <c r="F49" s="37" t="s">
        <v>50</v>
      </c>
      <c r="G49" s="39">
        <v>0</v>
      </c>
      <c r="H49" s="39">
        <f t="shared" si="3"/>
        <v>0</v>
      </c>
      <c r="I49" s="39">
        <f t="shared" si="4"/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7">
        <v>0</v>
      </c>
      <c r="P49" s="39">
        <v>0</v>
      </c>
      <c r="Q49" s="37" t="s">
        <v>50</v>
      </c>
      <c r="R49" s="37" t="s">
        <v>50</v>
      </c>
      <c r="S49" s="39">
        <f t="shared" si="2"/>
        <v>0</v>
      </c>
      <c r="T49" s="39">
        <f t="shared" si="6"/>
        <v>0</v>
      </c>
      <c r="U49" s="40">
        <v>0</v>
      </c>
      <c r="V49" s="87"/>
    </row>
    <row r="50" spans="1:22" ht="45" x14ac:dyDescent="0.25">
      <c r="A50" s="19" t="s">
        <v>21</v>
      </c>
      <c r="B50" s="22" t="s">
        <v>453</v>
      </c>
      <c r="C50" s="44" t="s">
        <v>454</v>
      </c>
      <c r="D50" s="39">
        <v>0</v>
      </c>
      <c r="E50" s="39">
        <f>(34398.93+3597.36+37057.47+13371.36+30046.44+1700+40393.89+50562.62+47967.03+52433.99+197825.5+38418.6+46700.61+74755.25+19946+18082+48158.64+43668.43+17971+47605.43+33647.77+52880.72+17930+51483.87+69049.64+41047.6+28714.44+15836+17136+46448.8+42252.79+51425.57+17691.08+18153+278786.27+41703.59+36781.78+47965.63+53765.11+49130.03+31283.31)*1.2/1000000</f>
        <v>2.2893282600000009</v>
      </c>
      <c r="F50" s="37" t="s">
        <v>50</v>
      </c>
      <c r="G50" s="39">
        <v>0</v>
      </c>
      <c r="H50" s="39">
        <f t="shared" si="3"/>
        <v>0</v>
      </c>
      <c r="I50" s="39">
        <f t="shared" si="4"/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7">
        <v>0</v>
      </c>
      <c r="P50" s="39">
        <v>0</v>
      </c>
      <c r="Q50" s="37" t="s">
        <v>50</v>
      </c>
      <c r="R50" s="37" t="s">
        <v>50</v>
      </c>
      <c r="S50" s="39">
        <f t="shared" si="2"/>
        <v>0</v>
      </c>
      <c r="T50" s="39">
        <f t="shared" si="6"/>
        <v>0</v>
      </c>
      <c r="U50" s="40">
        <v>0</v>
      </c>
      <c r="V50" s="87"/>
    </row>
    <row r="51" spans="1:22" ht="45" x14ac:dyDescent="0.25">
      <c r="A51" s="19" t="s">
        <v>21</v>
      </c>
      <c r="B51" s="22" t="s">
        <v>469</v>
      </c>
      <c r="C51" s="44" t="s">
        <v>470</v>
      </c>
      <c r="D51" s="39">
        <v>0</v>
      </c>
      <c r="E51" s="39">
        <f>(30110.57+47184.57+22941.38+55189.49+18083+18153+18020+900+54092.65+22994+30110.57+26643.82+30110.57+44941.17+750782.07+383028.2+45904.57+48899.66+41240.38+49812.63)*1.2/1000000</f>
        <v>2.0869707599999994</v>
      </c>
      <c r="F51" s="37" t="s">
        <v>50</v>
      </c>
      <c r="G51" s="39">
        <v>0</v>
      </c>
      <c r="H51" s="39">
        <f t="shared" si="3"/>
        <v>0</v>
      </c>
      <c r="I51" s="39">
        <f t="shared" si="4"/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7">
        <v>0</v>
      </c>
      <c r="P51" s="39">
        <v>0</v>
      </c>
      <c r="Q51" s="37" t="s">
        <v>50</v>
      </c>
      <c r="R51" s="37" t="s">
        <v>50</v>
      </c>
      <c r="S51" s="39">
        <f t="shared" si="2"/>
        <v>0</v>
      </c>
      <c r="T51" s="39">
        <f t="shared" si="6"/>
        <v>0</v>
      </c>
      <c r="U51" s="40">
        <v>0</v>
      </c>
      <c r="V51" s="87"/>
    </row>
    <row r="52" spans="1:22" ht="45" x14ac:dyDescent="0.25">
      <c r="A52" s="19" t="s">
        <v>21</v>
      </c>
      <c r="B52" s="22" t="s">
        <v>471</v>
      </c>
      <c r="C52" s="44" t="s">
        <v>472</v>
      </c>
      <c r="D52" s="39">
        <v>0</v>
      </c>
      <c r="E52" s="39">
        <f>39623.52*1.2/1000000</f>
        <v>4.7548223999999993E-2</v>
      </c>
      <c r="F52" s="37" t="s">
        <v>50</v>
      </c>
      <c r="G52" s="39">
        <v>0</v>
      </c>
      <c r="H52" s="39">
        <f t="shared" si="3"/>
        <v>0</v>
      </c>
      <c r="I52" s="39">
        <f t="shared" si="4"/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7">
        <v>0</v>
      </c>
      <c r="P52" s="39">
        <v>0</v>
      </c>
      <c r="Q52" s="37" t="s">
        <v>50</v>
      </c>
      <c r="R52" s="37" t="s">
        <v>50</v>
      </c>
      <c r="S52" s="39">
        <f t="shared" si="2"/>
        <v>0</v>
      </c>
      <c r="T52" s="39">
        <f t="shared" si="6"/>
        <v>0</v>
      </c>
      <c r="U52" s="40">
        <v>0</v>
      </c>
      <c r="V52" s="87"/>
    </row>
    <row r="53" spans="1:22" ht="45" x14ac:dyDescent="0.25">
      <c r="A53" s="10" t="s">
        <v>21</v>
      </c>
      <c r="B53" s="22" t="s">
        <v>667</v>
      </c>
      <c r="C53" s="35" t="s">
        <v>668</v>
      </c>
      <c r="D53" s="39">
        <v>0</v>
      </c>
      <c r="E53" s="39">
        <v>0</v>
      </c>
      <c r="F53" s="37" t="s">
        <v>50</v>
      </c>
      <c r="G53" s="39">
        <v>1.0171600000000001</v>
      </c>
      <c r="H53" s="39">
        <f t="shared" si="3"/>
        <v>1.0171600000000001</v>
      </c>
      <c r="I53" s="39">
        <f t="shared" si="4"/>
        <v>1.0912146</v>
      </c>
      <c r="J53" s="39">
        <v>0.25429000000000002</v>
      </c>
      <c r="K53" s="39">
        <f>296021.47/1000000</f>
        <v>0.29602146999999995</v>
      </c>
      <c r="L53" s="39">
        <v>0.25429000000000002</v>
      </c>
      <c r="M53" s="39">
        <v>0.38527674000000001</v>
      </c>
      <c r="N53" s="39">
        <v>0.25429000000000002</v>
      </c>
      <c r="O53" s="37">
        <v>0.40991638999999996</v>
      </c>
      <c r="P53" s="39">
        <v>0.25429000000000002</v>
      </c>
      <c r="Q53" s="37" t="s">
        <v>50</v>
      </c>
      <c r="R53" s="37" t="s">
        <v>50</v>
      </c>
      <c r="S53" s="39">
        <f t="shared" si="2"/>
        <v>-7.405459999999997E-2</v>
      </c>
      <c r="T53" s="39">
        <f t="shared" si="6"/>
        <v>0.32834459999999999</v>
      </c>
      <c r="U53" s="40">
        <v>100</v>
      </c>
      <c r="V53" s="87"/>
    </row>
    <row r="54" spans="1:22" ht="45" x14ac:dyDescent="0.25">
      <c r="A54" s="10" t="s">
        <v>21</v>
      </c>
      <c r="B54" s="22" t="s">
        <v>669</v>
      </c>
      <c r="C54" s="35" t="s">
        <v>670</v>
      </c>
      <c r="D54" s="39">
        <v>0</v>
      </c>
      <c r="E54" s="39">
        <v>0</v>
      </c>
      <c r="F54" s="37" t="s">
        <v>50</v>
      </c>
      <c r="G54" s="39">
        <v>9.2442200000000003</v>
      </c>
      <c r="H54" s="39">
        <f t="shared" si="3"/>
        <v>9.2442200000000003</v>
      </c>
      <c r="I54" s="39">
        <f t="shared" si="4"/>
        <v>12.05690654</v>
      </c>
      <c r="J54" s="39">
        <v>2.3110550000000001</v>
      </c>
      <c r="K54" s="39">
        <f>2542018.38/1000000</f>
        <v>2.54201838</v>
      </c>
      <c r="L54" s="39">
        <v>2.3110550000000001</v>
      </c>
      <c r="M54" s="39">
        <v>4.4243623999999997</v>
      </c>
      <c r="N54" s="39">
        <v>2.3110550000000001</v>
      </c>
      <c r="O54" s="37">
        <v>5.0905257600000002</v>
      </c>
      <c r="P54" s="39">
        <v>2.3110550000000001</v>
      </c>
      <c r="Q54" s="37" t="s">
        <v>50</v>
      </c>
      <c r="R54" s="37" t="s">
        <v>50</v>
      </c>
      <c r="S54" s="39">
        <f t="shared" si="2"/>
        <v>-2.8126865399999996</v>
      </c>
      <c r="T54" s="39">
        <f t="shared" si="6"/>
        <v>5.1237415399999993</v>
      </c>
      <c r="U54" s="40">
        <v>100</v>
      </c>
      <c r="V54" s="87"/>
    </row>
    <row r="55" spans="1:22" ht="45" x14ac:dyDescent="0.25">
      <c r="A55" s="10" t="s">
        <v>21</v>
      </c>
      <c r="B55" s="22" t="s">
        <v>671</v>
      </c>
      <c r="C55" s="35" t="s">
        <v>672</v>
      </c>
      <c r="D55" s="39">
        <v>0</v>
      </c>
      <c r="E55" s="39">
        <v>0</v>
      </c>
      <c r="F55" s="37" t="s">
        <v>50</v>
      </c>
      <c r="G55" s="39">
        <v>5.5567599999999997</v>
      </c>
      <c r="H55" s="39">
        <f t="shared" si="3"/>
        <v>5.5567599999999997</v>
      </c>
      <c r="I55" s="39">
        <f t="shared" si="4"/>
        <v>5.7436003700000011</v>
      </c>
      <c r="J55" s="39">
        <v>1.3891899999999999</v>
      </c>
      <c r="K55" s="39">
        <f>742229.14/1000000</f>
        <v>0.74222914000000006</v>
      </c>
      <c r="L55" s="39">
        <v>1.3891899999999999</v>
      </c>
      <c r="M55" s="39">
        <v>2.3601540000000001E-2</v>
      </c>
      <c r="N55" s="39">
        <v>1.3891899999999999</v>
      </c>
      <c r="O55" s="37">
        <v>4.9777696900000006</v>
      </c>
      <c r="P55" s="39">
        <v>1.3891899999999999</v>
      </c>
      <c r="Q55" s="37" t="s">
        <v>50</v>
      </c>
      <c r="R55" s="37" t="s">
        <v>50</v>
      </c>
      <c r="S55" s="39">
        <f t="shared" si="2"/>
        <v>-0.18684037000000142</v>
      </c>
      <c r="T55" s="39">
        <f t="shared" si="6"/>
        <v>1.5760303700000016</v>
      </c>
      <c r="U55" s="40">
        <v>100</v>
      </c>
      <c r="V55" s="87"/>
    </row>
    <row r="56" spans="1:22" ht="30" x14ac:dyDescent="0.25">
      <c r="A56" s="10" t="s">
        <v>21</v>
      </c>
      <c r="B56" s="22" t="s">
        <v>673</v>
      </c>
      <c r="C56" s="35" t="s">
        <v>427</v>
      </c>
      <c r="D56" s="39">
        <v>0</v>
      </c>
      <c r="E56" s="39">
        <v>0</v>
      </c>
      <c r="F56" s="37" t="s">
        <v>50</v>
      </c>
      <c r="G56" s="39">
        <v>0</v>
      </c>
      <c r="H56" s="39">
        <f t="shared" si="3"/>
        <v>0</v>
      </c>
      <c r="I56" s="39">
        <f t="shared" si="4"/>
        <v>0.48258635</v>
      </c>
      <c r="J56" s="39">
        <v>0</v>
      </c>
      <c r="K56" s="39">
        <v>0</v>
      </c>
      <c r="L56" s="39">
        <v>0</v>
      </c>
      <c r="M56" s="37">
        <v>0</v>
      </c>
      <c r="N56" s="39">
        <v>0</v>
      </c>
      <c r="O56" s="37">
        <v>0.48258635</v>
      </c>
      <c r="P56" s="39">
        <v>0</v>
      </c>
      <c r="Q56" s="37" t="s">
        <v>50</v>
      </c>
      <c r="R56" s="37" t="s">
        <v>50</v>
      </c>
      <c r="S56" s="39">
        <f t="shared" si="2"/>
        <v>-0.48258635</v>
      </c>
      <c r="T56" s="39">
        <f t="shared" si="6"/>
        <v>0.48258635</v>
      </c>
      <c r="U56" s="40">
        <v>100</v>
      </c>
      <c r="V56" s="87"/>
    </row>
    <row r="57" spans="1:22" ht="35.25" customHeight="1" x14ac:dyDescent="0.25">
      <c r="A57" s="10" t="s">
        <v>21</v>
      </c>
      <c r="B57" s="22" t="s">
        <v>425</v>
      </c>
      <c r="C57" s="35" t="s">
        <v>428</v>
      </c>
      <c r="D57" s="39">
        <v>0</v>
      </c>
      <c r="E57" s="39">
        <v>0</v>
      </c>
      <c r="F57" s="37" t="s">
        <v>50</v>
      </c>
      <c r="G57" s="39">
        <v>0</v>
      </c>
      <c r="H57" s="39">
        <f t="shared" si="3"/>
        <v>0</v>
      </c>
      <c r="I57" s="39">
        <f t="shared" si="4"/>
        <v>0</v>
      </c>
      <c r="J57" s="39">
        <v>0</v>
      </c>
      <c r="K57" s="39">
        <v>0</v>
      </c>
      <c r="L57" s="39">
        <v>0</v>
      </c>
      <c r="M57" s="37">
        <v>0</v>
      </c>
      <c r="N57" s="39">
        <v>0</v>
      </c>
      <c r="O57" s="37">
        <v>0</v>
      </c>
      <c r="P57" s="39">
        <v>0</v>
      </c>
      <c r="Q57" s="37" t="s">
        <v>50</v>
      </c>
      <c r="R57" s="37" t="s">
        <v>50</v>
      </c>
      <c r="S57" s="39">
        <f t="shared" si="2"/>
        <v>0</v>
      </c>
      <c r="T57" s="39">
        <f t="shared" si="6"/>
        <v>0</v>
      </c>
      <c r="U57" s="40">
        <v>0</v>
      </c>
      <c r="V57" s="87"/>
    </row>
    <row r="58" spans="1:22" ht="71.25" x14ac:dyDescent="0.25">
      <c r="A58" s="7" t="s">
        <v>21</v>
      </c>
      <c r="B58" s="8" t="s">
        <v>73</v>
      </c>
      <c r="C58" s="9" t="s">
        <v>52</v>
      </c>
      <c r="D58" s="41">
        <v>0</v>
      </c>
      <c r="E58" s="41">
        <v>0</v>
      </c>
      <c r="F58" s="36" t="s">
        <v>50</v>
      </c>
      <c r="G58" s="41">
        <v>0</v>
      </c>
      <c r="H58" s="41">
        <f t="shared" si="3"/>
        <v>0</v>
      </c>
      <c r="I58" s="41">
        <f t="shared" si="4"/>
        <v>0</v>
      </c>
      <c r="J58" s="41">
        <v>0</v>
      </c>
      <c r="K58" s="41">
        <v>0</v>
      </c>
      <c r="L58" s="41">
        <v>0</v>
      </c>
      <c r="M58" s="36">
        <v>0</v>
      </c>
      <c r="N58" s="41">
        <v>0</v>
      </c>
      <c r="O58" s="36">
        <v>0</v>
      </c>
      <c r="P58" s="41">
        <v>0</v>
      </c>
      <c r="Q58" s="36" t="s">
        <v>50</v>
      </c>
      <c r="R58" s="36" t="s">
        <v>50</v>
      </c>
      <c r="S58" s="41">
        <f t="shared" si="2"/>
        <v>0</v>
      </c>
      <c r="T58" s="41">
        <f t="shared" si="6"/>
        <v>0</v>
      </c>
      <c r="U58" s="29">
        <v>0</v>
      </c>
      <c r="V58" s="87"/>
    </row>
    <row r="59" spans="1:22" ht="71.25" x14ac:dyDescent="0.25">
      <c r="A59" s="7" t="s">
        <v>21</v>
      </c>
      <c r="B59" s="8" t="s">
        <v>74</v>
      </c>
      <c r="C59" s="9" t="s">
        <v>52</v>
      </c>
      <c r="D59" s="41">
        <v>0</v>
      </c>
      <c r="E59" s="41">
        <v>0</v>
      </c>
      <c r="F59" s="36" t="s">
        <v>50</v>
      </c>
      <c r="G59" s="41">
        <v>0</v>
      </c>
      <c r="H59" s="41">
        <f t="shared" si="3"/>
        <v>0</v>
      </c>
      <c r="I59" s="41">
        <f t="shared" si="4"/>
        <v>0</v>
      </c>
      <c r="J59" s="41">
        <v>0</v>
      </c>
      <c r="K59" s="41">
        <v>0</v>
      </c>
      <c r="L59" s="41">
        <v>0</v>
      </c>
      <c r="M59" s="36">
        <v>0</v>
      </c>
      <c r="N59" s="41">
        <v>0</v>
      </c>
      <c r="O59" s="36">
        <v>0</v>
      </c>
      <c r="P59" s="41">
        <v>0</v>
      </c>
      <c r="Q59" s="36" t="s">
        <v>50</v>
      </c>
      <c r="R59" s="36" t="s">
        <v>50</v>
      </c>
      <c r="S59" s="41">
        <f t="shared" si="2"/>
        <v>0</v>
      </c>
      <c r="T59" s="41">
        <f t="shared" si="6"/>
        <v>0</v>
      </c>
      <c r="U59" s="29">
        <v>0</v>
      </c>
      <c r="V59" s="87"/>
    </row>
    <row r="60" spans="1:22" ht="57" x14ac:dyDescent="0.25">
      <c r="A60" s="2" t="s">
        <v>22</v>
      </c>
      <c r="B60" s="5" t="s">
        <v>75</v>
      </c>
      <c r="C60" s="6" t="s">
        <v>52</v>
      </c>
      <c r="D60" s="41">
        <v>0</v>
      </c>
      <c r="E60" s="41">
        <f>SUM(E61:E83)</f>
        <v>34.984850496</v>
      </c>
      <c r="F60" s="36" t="s">
        <v>50</v>
      </c>
      <c r="G60" s="41">
        <v>51.655990000000003</v>
      </c>
      <c r="H60" s="41">
        <f t="shared" si="3"/>
        <v>51.655994</v>
      </c>
      <c r="I60" s="41">
        <f t="shared" si="4"/>
        <v>30.85253801</v>
      </c>
      <c r="J60" s="41">
        <f t="shared" ref="J60:P60" si="14">SUM(J61:J83)</f>
        <v>12.271808999999999</v>
      </c>
      <c r="K60" s="41">
        <f t="shared" si="14"/>
        <v>1.01383198</v>
      </c>
      <c r="L60" s="41">
        <f t="shared" si="14"/>
        <v>12.271805000000001</v>
      </c>
      <c r="M60" s="41">
        <f>SUM(M61:M97)</f>
        <v>10.178813379999999</v>
      </c>
      <c r="N60" s="41">
        <f t="shared" si="14"/>
        <v>12.271805000000001</v>
      </c>
      <c r="O60" s="36">
        <f>SUM(O61:O97)</f>
        <v>19.65989265</v>
      </c>
      <c r="P60" s="41">
        <f t="shared" si="14"/>
        <v>14.840574999999999</v>
      </c>
      <c r="Q60" s="36" t="s">
        <v>50</v>
      </c>
      <c r="R60" s="36" t="s">
        <v>50</v>
      </c>
      <c r="S60" s="41">
        <f t="shared" si="2"/>
        <v>20.803451990000003</v>
      </c>
      <c r="T60" s="41">
        <f t="shared" si="6"/>
        <v>-5.9628809899999986</v>
      </c>
      <c r="U60" s="29">
        <v>100</v>
      </c>
      <c r="V60" s="87"/>
    </row>
    <row r="61" spans="1:22" ht="60" x14ac:dyDescent="0.25">
      <c r="A61" s="10" t="s">
        <v>22</v>
      </c>
      <c r="B61" s="25" t="s">
        <v>473</v>
      </c>
      <c r="C61" s="35" t="s">
        <v>474</v>
      </c>
      <c r="D61" s="39">
        <v>0</v>
      </c>
      <c r="E61" s="39">
        <f>80919.1*1.2/1000000</f>
        <v>9.7102919999999995E-2</v>
      </c>
      <c r="F61" s="37" t="s">
        <v>50</v>
      </c>
      <c r="G61" s="39">
        <v>0</v>
      </c>
      <c r="H61" s="39">
        <f t="shared" si="3"/>
        <v>0</v>
      </c>
      <c r="I61" s="39">
        <f t="shared" si="4"/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7">
        <v>0</v>
      </c>
      <c r="P61" s="39">
        <v>0</v>
      </c>
      <c r="Q61" s="37" t="s">
        <v>50</v>
      </c>
      <c r="R61" s="37" t="s">
        <v>50</v>
      </c>
      <c r="S61" s="39">
        <f t="shared" si="2"/>
        <v>0</v>
      </c>
      <c r="T61" s="39">
        <f t="shared" si="6"/>
        <v>0</v>
      </c>
      <c r="U61" s="40">
        <v>0</v>
      </c>
      <c r="V61" s="87"/>
    </row>
    <row r="62" spans="1:22" ht="45" x14ac:dyDescent="0.25">
      <c r="A62" s="10" t="s">
        <v>22</v>
      </c>
      <c r="B62" s="25" t="s">
        <v>438</v>
      </c>
      <c r="C62" s="35" t="s">
        <v>439</v>
      </c>
      <c r="D62" s="39">
        <v>0</v>
      </c>
      <c r="E62" s="39">
        <f>652422.93*1.2/1000000</f>
        <v>0.78290751600000008</v>
      </c>
      <c r="F62" s="37" t="s">
        <v>50</v>
      </c>
      <c r="G62" s="39">
        <v>0</v>
      </c>
      <c r="H62" s="39">
        <f t="shared" si="3"/>
        <v>0</v>
      </c>
      <c r="I62" s="39">
        <f t="shared" si="4"/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7">
        <v>0</v>
      </c>
      <c r="P62" s="39">
        <v>0</v>
      </c>
      <c r="Q62" s="37" t="s">
        <v>50</v>
      </c>
      <c r="R62" s="37" t="s">
        <v>50</v>
      </c>
      <c r="S62" s="39">
        <f t="shared" si="2"/>
        <v>0</v>
      </c>
      <c r="T62" s="39">
        <f t="shared" si="6"/>
        <v>0</v>
      </c>
      <c r="U62" s="40">
        <v>0</v>
      </c>
      <c r="V62" s="87"/>
    </row>
    <row r="63" spans="1:22" ht="60" x14ac:dyDescent="0.25">
      <c r="A63" s="10" t="s">
        <v>22</v>
      </c>
      <c r="B63" s="25" t="s">
        <v>440</v>
      </c>
      <c r="C63" s="35" t="s">
        <v>441</v>
      </c>
      <c r="D63" s="39">
        <v>0</v>
      </c>
      <c r="E63" s="39">
        <f>480576.75*1.2/1000000</f>
        <v>0.57669209999999993</v>
      </c>
      <c r="F63" s="37" t="s">
        <v>50</v>
      </c>
      <c r="G63" s="39">
        <v>0</v>
      </c>
      <c r="H63" s="39">
        <f t="shared" si="3"/>
        <v>0</v>
      </c>
      <c r="I63" s="39">
        <f t="shared" si="4"/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7">
        <v>0</v>
      </c>
      <c r="P63" s="39">
        <v>0</v>
      </c>
      <c r="Q63" s="37" t="s">
        <v>50</v>
      </c>
      <c r="R63" s="37" t="s">
        <v>50</v>
      </c>
      <c r="S63" s="39">
        <f t="shared" si="2"/>
        <v>0</v>
      </c>
      <c r="T63" s="39">
        <f t="shared" si="6"/>
        <v>0</v>
      </c>
      <c r="U63" s="40">
        <v>0</v>
      </c>
      <c r="V63" s="87"/>
    </row>
    <row r="64" spans="1:22" ht="45" x14ac:dyDescent="0.25">
      <c r="A64" s="10" t="s">
        <v>22</v>
      </c>
      <c r="B64" s="25" t="s">
        <v>475</v>
      </c>
      <c r="C64" s="35" t="s">
        <v>476</v>
      </c>
      <c r="D64" s="39">
        <v>0</v>
      </c>
      <c r="E64" s="39">
        <f>365082.49*1.2/1000000</f>
        <v>0.43809898799999997</v>
      </c>
      <c r="F64" s="37" t="s">
        <v>50</v>
      </c>
      <c r="G64" s="39">
        <v>0</v>
      </c>
      <c r="H64" s="39">
        <f t="shared" si="3"/>
        <v>0</v>
      </c>
      <c r="I64" s="39">
        <f t="shared" si="4"/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7">
        <v>0</v>
      </c>
      <c r="P64" s="39">
        <v>0</v>
      </c>
      <c r="Q64" s="37" t="s">
        <v>50</v>
      </c>
      <c r="R64" s="37" t="s">
        <v>50</v>
      </c>
      <c r="S64" s="39">
        <f t="shared" si="2"/>
        <v>0</v>
      </c>
      <c r="T64" s="39">
        <f t="shared" si="6"/>
        <v>0</v>
      </c>
      <c r="U64" s="40">
        <v>0</v>
      </c>
      <c r="V64" s="87"/>
    </row>
    <row r="65" spans="1:22" ht="60" x14ac:dyDescent="0.25">
      <c r="A65" s="10" t="s">
        <v>22</v>
      </c>
      <c r="B65" s="25" t="s">
        <v>477</v>
      </c>
      <c r="C65" s="35" t="s">
        <v>478</v>
      </c>
      <c r="D65" s="39">
        <v>0</v>
      </c>
      <c r="E65" s="39">
        <f>1005993.42*1.2/1000000</f>
        <v>1.207192104</v>
      </c>
      <c r="F65" s="37" t="s">
        <v>50</v>
      </c>
      <c r="G65" s="39">
        <v>0</v>
      </c>
      <c r="H65" s="39">
        <f t="shared" si="3"/>
        <v>0</v>
      </c>
      <c r="I65" s="39">
        <f t="shared" si="4"/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7">
        <v>0</v>
      </c>
      <c r="P65" s="39">
        <v>0</v>
      </c>
      <c r="Q65" s="37" t="s">
        <v>50</v>
      </c>
      <c r="R65" s="37" t="s">
        <v>50</v>
      </c>
      <c r="S65" s="39">
        <f t="shared" si="2"/>
        <v>0</v>
      </c>
      <c r="T65" s="39">
        <f t="shared" si="6"/>
        <v>0</v>
      </c>
      <c r="U65" s="40">
        <v>0</v>
      </c>
      <c r="V65" s="87"/>
    </row>
    <row r="66" spans="1:22" ht="60" x14ac:dyDescent="0.25">
      <c r="A66" s="10" t="s">
        <v>22</v>
      </c>
      <c r="B66" s="25" t="s">
        <v>479</v>
      </c>
      <c r="C66" s="35" t="s">
        <v>480</v>
      </c>
      <c r="D66" s="39">
        <v>0</v>
      </c>
      <c r="E66" s="39">
        <f>62236.17*1.2/1000000</f>
        <v>7.4683403999999995E-2</v>
      </c>
      <c r="F66" s="37" t="s">
        <v>50</v>
      </c>
      <c r="G66" s="39">
        <v>0</v>
      </c>
      <c r="H66" s="39">
        <f t="shared" si="3"/>
        <v>0</v>
      </c>
      <c r="I66" s="39">
        <f t="shared" si="4"/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7">
        <v>0</v>
      </c>
      <c r="P66" s="39">
        <v>0</v>
      </c>
      <c r="Q66" s="37" t="s">
        <v>50</v>
      </c>
      <c r="R66" s="37" t="s">
        <v>50</v>
      </c>
      <c r="S66" s="39">
        <f t="shared" si="2"/>
        <v>0</v>
      </c>
      <c r="T66" s="39">
        <f t="shared" si="6"/>
        <v>0</v>
      </c>
      <c r="U66" s="40">
        <v>0</v>
      </c>
      <c r="V66" s="87"/>
    </row>
    <row r="67" spans="1:22" ht="60" x14ac:dyDescent="0.25">
      <c r="A67" s="10" t="s">
        <v>22</v>
      </c>
      <c r="B67" s="25" t="s">
        <v>481</v>
      </c>
      <c r="C67" s="35" t="s">
        <v>482</v>
      </c>
      <c r="D67" s="39">
        <v>0</v>
      </c>
      <c r="E67" s="39">
        <f>45050.44*1.2/1000000</f>
        <v>5.4060527999999997E-2</v>
      </c>
      <c r="F67" s="37" t="s">
        <v>50</v>
      </c>
      <c r="G67" s="39">
        <v>0</v>
      </c>
      <c r="H67" s="39">
        <f t="shared" si="3"/>
        <v>0</v>
      </c>
      <c r="I67" s="39">
        <f t="shared" si="4"/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7">
        <v>0</v>
      </c>
      <c r="P67" s="39">
        <v>0</v>
      </c>
      <c r="Q67" s="37" t="s">
        <v>50</v>
      </c>
      <c r="R67" s="37" t="s">
        <v>50</v>
      </c>
      <c r="S67" s="39">
        <f t="shared" si="2"/>
        <v>0</v>
      </c>
      <c r="T67" s="39">
        <f t="shared" si="6"/>
        <v>0</v>
      </c>
      <c r="U67" s="40">
        <v>0</v>
      </c>
      <c r="V67" s="87"/>
    </row>
    <row r="68" spans="1:22" ht="75" x14ac:dyDescent="0.25">
      <c r="A68" s="10" t="s">
        <v>22</v>
      </c>
      <c r="B68" s="25" t="s">
        <v>483</v>
      </c>
      <c r="C68" s="35" t="s">
        <v>484</v>
      </c>
      <c r="D68" s="39">
        <v>0</v>
      </c>
      <c r="E68" s="39">
        <f>112400.85*1.2/1000000</f>
        <v>0.13488101999999999</v>
      </c>
      <c r="F68" s="37" t="s">
        <v>50</v>
      </c>
      <c r="G68" s="39">
        <v>0</v>
      </c>
      <c r="H68" s="39">
        <f t="shared" si="3"/>
        <v>0</v>
      </c>
      <c r="I68" s="39">
        <f t="shared" si="4"/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7">
        <v>0</v>
      </c>
      <c r="P68" s="39">
        <v>0</v>
      </c>
      <c r="Q68" s="37" t="s">
        <v>50</v>
      </c>
      <c r="R68" s="37" t="s">
        <v>50</v>
      </c>
      <c r="S68" s="39">
        <f t="shared" si="2"/>
        <v>0</v>
      </c>
      <c r="T68" s="39">
        <f t="shared" si="6"/>
        <v>0</v>
      </c>
      <c r="U68" s="40">
        <v>0</v>
      </c>
      <c r="V68" s="87"/>
    </row>
    <row r="69" spans="1:22" ht="60" x14ac:dyDescent="0.25">
      <c r="A69" s="10" t="s">
        <v>22</v>
      </c>
      <c r="B69" s="25" t="s">
        <v>485</v>
      </c>
      <c r="C69" s="35" t="s">
        <v>486</v>
      </c>
      <c r="D69" s="39">
        <v>0</v>
      </c>
      <c r="E69" s="39">
        <f>48181.54*1.2/1000000</f>
        <v>5.7817847999999998E-2</v>
      </c>
      <c r="F69" s="37" t="s">
        <v>50</v>
      </c>
      <c r="G69" s="39">
        <v>0</v>
      </c>
      <c r="H69" s="39">
        <f t="shared" si="3"/>
        <v>0</v>
      </c>
      <c r="I69" s="39">
        <f t="shared" si="4"/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7">
        <v>0</v>
      </c>
      <c r="P69" s="39">
        <v>0</v>
      </c>
      <c r="Q69" s="37" t="s">
        <v>50</v>
      </c>
      <c r="R69" s="37" t="s">
        <v>50</v>
      </c>
      <c r="S69" s="39">
        <f t="shared" si="2"/>
        <v>0</v>
      </c>
      <c r="T69" s="39">
        <f t="shared" si="6"/>
        <v>0</v>
      </c>
      <c r="U69" s="40">
        <v>0</v>
      </c>
      <c r="V69" s="87"/>
    </row>
    <row r="70" spans="1:22" ht="60" x14ac:dyDescent="0.25">
      <c r="A70" s="10" t="s">
        <v>22</v>
      </c>
      <c r="B70" s="25" t="s">
        <v>487</v>
      </c>
      <c r="C70" s="35" t="s">
        <v>488</v>
      </c>
      <c r="D70" s="39">
        <v>0</v>
      </c>
      <c r="E70" s="39">
        <f>52632.41*1.2/1000000</f>
        <v>6.3158891999999994E-2</v>
      </c>
      <c r="F70" s="37" t="s">
        <v>50</v>
      </c>
      <c r="G70" s="39">
        <v>0</v>
      </c>
      <c r="H70" s="39">
        <f t="shared" si="3"/>
        <v>0</v>
      </c>
      <c r="I70" s="39">
        <f t="shared" si="4"/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7">
        <v>0</v>
      </c>
      <c r="P70" s="39">
        <v>0</v>
      </c>
      <c r="Q70" s="37" t="s">
        <v>50</v>
      </c>
      <c r="R70" s="37" t="s">
        <v>50</v>
      </c>
      <c r="S70" s="39">
        <f t="shared" si="2"/>
        <v>0</v>
      </c>
      <c r="T70" s="39">
        <f t="shared" si="6"/>
        <v>0</v>
      </c>
      <c r="U70" s="40">
        <v>0</v>
      </c>
      <c r="V70" s="87"/>
    </row>
    <row r="71" spans="1:22" ht="45" x14ac:dyDescent="0.25">
      <c r="A71" s="10" t="s">
        <v>22</v>
      </c>
      <c r="B71" s="25" t="s">
        <v>489</v>
      </c>
      <c r="C71" s="35" t="s">
        <v>490</v>
      </c>
      <c r="D71" s="39">
        <v>0</v>
      </c>
      <c r="E71" s="39">
        <f>36372.31*1.2/1000000</f>
        <v>4.3646772E-2</v>
      </c>
      <c r="F71" s="37" t="s">
        <v>50</v>
      </c>
      <c r="G71" s="39">
        <v>0</v>
      </c>
      <c r="H71" s="39">
        <f t="shared" si="3"/>
        <v>0</v>
      </c>
      <c r="I71" s="39">
        <f t="shared" si="4"/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7">
        <v>0</v>
      </c>
      <c r="P71" s="39">
        <v>0</v>
      </c>
      <c r="Q71" s="37" t="s">
        <v>50</v>
      </c>
      <c r="R71" s="37" t="s">
        <v>50</v>
      </c>
      <c r="S71" s="39">
        <f t="shared" si="2"/>
        <v>0</v>
      </c>
      <c r="T71" s="39">
        <f t="shared" si="6"/>
        <v>0</v>
      </c>
      <c r="U71" s="40">
        <v>0</v>
      </c>
      <c r="V71" s="87"/>
    </row>
    <row r="72" spans="1:22" ht="75" x14ac:dyDescent="0.25">
      <c r="A72" s="10" t="s">
        <v>22</v>
      </c>
      <c r="B72" s="25" t="s">
        <v>491</v>
      </c>
      <c r="C72" s="35" t="s">
        <v>492</v>
      </c>
      <c r="D72" s="39">
        <v>0</v>
      </c>
      <c r="E72" s="39">
        <f>25496.72*1.2/1000000</f>
        <v>3.0596063999999999E-2</v>
      </c>
      <c r="F72" s="37" t="s">
        <v>50</v>
      </c>
      <c r="G72" s="39">
        <v>0</v>
      </c>
      <c r="H72" s="39">
        <f t="shared" si="3"/>
        <v>0</v>
      </c>
      <c r="I72" s="39">
        <f t="shared" si="4"/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7">
        <v>0</v>
      </c>
      <c r="P72" s="39">
        <v>0</v>
      </c>
      <c r="Q72" s="37" t="s">
        <v>50</v>
      </c>
      <c r="R72" s="37" t="s">
        <v>50</v>
      </c>
      <c r="S72" s="39">
        <f t="shared" si="2"/>
        <v>0</v>
      </c>
      <c r="T72" s="39">
        <f t="shared" si="6"/>
        <v>0</v>
      </c>
      <c r="U72" s="40">
        <v>0</v>
      </c>
      <c r="V72" s="87"/>
    </row>
    <row r="73" spans="1:22" ht="150" x14ac:dyDescent="0.25">
      <c r="A73" s="10" t="s">
        <v>22</v>
      </c>
      <c r="B73" s="25" t="s">
        <v>493</v>
      </c>
      <c r="C73" s="35" t="s">
        <v>494</v>
      </c>
      <c r="D73" s="39">
        <v>0</v>
      </c>
      <c r="E73" s="39">
        <f>25720605.89*1.2/1000000</f>
        <v>30.864727068000001</v>
      </c>
      <c r="F73" s="37" t="s">
        <v>50</v>
      </c>
      <c r="G73" s="39">
        <v>0</v>
      </c>
      <c r="H73" s="39">
        <f t="shared" si="3"/>
        <v>0</v>
      </c>
      <c r="I73" s="39">
        <f t="shared" si="4"/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7">
        <v>0</v>
      </c>
      <c r="P73" s="39">
        <v>0</v>
      </c>
      <c r="Q73" s="37" t="s">
        <v>50</v>
      </c>
      <c r="R73" s="37" t="s">
        <v>50</v>
      </c>
      <c r="S73" s="39">
        <f t="shared" si="2"/>
        <v>0</v>
      </c>
      <c r="T73" s="39">
        <f t="shared" si="6"/>
        <v>0</v>
      </c>
      <c r="U73" s="40">
        <v>0</v>
      </c>
      <c r="V73" s="87"/>
    </row>
    <row r="74" spans="1:22" ht="45" x14ac:dyDescent="0.25">
      <c r="A74" s="10" t="s">
        <v>22</v>
      </c>
      <c r="B74" s="25" t="s">
        <v>495</v>
      </c>
      <c r="C74" s="35" t="s">
        <v>496</v>
      </c>
      <c r="D74" s="39">
        <v>0</v>
      </c>
      <c r="E74" s="39">
        <f>440788.25*1.2/1000000</f>
        <v>0.52894589999999997</v>
      </c>
      <c r="F74" s="37" t="s">
        <v>50</v>
      </c>
      <c r="G74" s="39">
        <v>0</v>
      </c>
      <c r="H74" s="39">
        <f t="shared" si="3"/>
        <v>0</v>
      </c>
      <c r="I74" s="39">
        <f t="shared" si="4"/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7">
        <v>0</v>
      </c>
      <c r="P74" s="39">
        <v>0</v>
      </c>
      <c r="Q74" s="37" t="s">
        <v>50</v>
      </c>
      <c r="R74" s="37" t="s">
        <v>50</v>
      </c>
      <c r="S74" s="39">
        <f t="shared" si="2"/>
        <v>0</v>
      </c>
      <c r="T74" s="39">
        <f t="shared" si="6"/>
        <v>0</v>
      </c>
      <c r="U74" s="40">
        <v>0</v>
      </c>
      <c r="V74" s="87"/>
    </row>
    <row r="75" spans="1:22" ht="45" x14ac:dyDescent="0.25">
      <c r="A75" s="10" t="s">
        <v>22</v>
      </c>
      <c r="B75" s="25" t="s">
        <v>497</v>
      </c>
      <c r="C75" s="35" t="s">
        <v>498</v>
      </c>
      <c r="D75" s="39">
        <v>0</v>
      </c>
      <c r="E75" s="39">
        <f>(67178.81-41896)*1.2/1000000</f>
        <v>3.0339371999999996E-2</v>
      </c>
      <c r="F75" s="37" t="s">
        <v>50</v>
      </c>
      <c r="G75" s="39">
        <v>0</v>
      </c>
      <c r="H75" s="39">
        <f t="shared" si="3"/>
        <v>0</v>
      </c>
      <c r="I75" s="39">
        <f t="shared" si="4"/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7">
        <v>0</v>
      </c>
      <c r="P75" s="39">
        <v>0</v>
      </c>
      <c r="Q75" s="37" t="s">
        <v>50</v>
      </c>
      <c r="R75" s="37" t="s">
        <v>50</v>
      </c>
      <c r="S75" s="39">
        <f t="shared" si="2"/>
        <v>0</v>
      </c>
      <c r="T75" s="39">
        <f t="shared" si="6"/>
        <v>0</v>
      </c>
      <c r="U75" s="40">
        <v>0</v>
      </c>
      <c r="V75" s="87"/>
    </row>
    <row r="76" spans="1:22" ht="75" x14ac:dyDescent="0.25">
      <c r="A76" s="10" t="s">
        <v>22</v>
      </c>
      <c r="B76" s="25" t="s">
        <v>674</v>
      </c>
      <c r="C76" s="35" t="s">
        <v>675</v>
      </c>
      <c r="D76" s="39">
        <v>0</v>
      </c>
      <c r="E76" s="39">
        <v>0</v>
      </c>
      <c r="F76" s="39">
        <v>0</v>
      </c>
      <c r="G76" s="39">
        <v>51.655990000000003</v>
      </c>
      <c r="H76" s="39">
        <f t="shared" si="3"/>
        <v>51.655994</v>
      </c>
      <c r="I76" s="39">
        <f t="shared" si="4"/>
        <v>0</v>
      </c>
      <c r="J76" s="39">
        <v>12.271808999999999</v>
      </c>
      <c r="K76" s="39">
        <v>0</v>
      </c>
      <c r="L76" s="39">
        <v>12.271805000000001</v>
      </c>
      <c r="M76" s="39">
        <v>0</v>
      </c>
      <c r="N76" s="39">
        <v>12.271805000000001</v>
      </c>
      <c r="O76" s="37">
        <v>0</v>
      </c>
      <c r="P76" s="39">
        <v>14.840574999999999</v>
      </c>
      <c r="Q76" s="37" t="s">
        <v>50</v>
      </c>
      <c r="R76" s="37" t="s">
        <v>50</v>
      </c>
      <c r="S76" s="39">
        <f t="shared" si="2"/>
        <v>51.655990000000003</v>
      </c>
      <c r="T76" s="39">
        <f t="shared" si="6"/>
        <v>-36.815418999999999</v>
      </c>
      <c r="U76" s="40">
        <v>0</v>
      </c>
      <c r="V76" s="87"/>
    </row>
    <row r="77" spans="1:22" ht="81.75" customHeight="1" x14ac:dyDescent="0.25">
      <c r="A77" s="10" t="s">
        <v>22</v>
      </c>
      <c r="B77" s="25" t="s">
        <v>429</v>
      </c>
      <c r="C77" s="35" t="s">
        <v>430</v>
      </c>
      <c r="D77" s="39">
        <v>0</v>
      </c>
      <c r="E77" s="39">
        <v>0</v>
      </c>
      <c r="F77" s="37" t="s">
        <v>50</v>
      </c>
      <c r="G77" s="39">
        <v>0</v>
      </c>
      <c r="H77" s="39">
        <f t="shared" si="3"/>
        <v>0</v>
      </c>
      <c r="I77" s="39">
        <f t="shared" si="4"/>
        <v>0</v>
      </c>
      <c r="J77" s="39">
        <v>0</v>
      </c>
      <c r="K77" s="39">
        <v>0</v>
      </c>
      <c r="L77" s="39">
        <v>0</v>
      </c>
      <c r="M77" s="37">
        <v>0</v>
      </c>
      <c r="N77" s="39">
        <v>0</v>
      </c>
      <c r="O77" s="37">
        <v>0</v>
      </c>
      <c r="P77" s="39">
        <v>0</v>
      </c>
      <c r="Q77" s="37" t="s">
        <v>50</v>
      </c>
      <c r="R77" s="37" t="s">
        <v>50</v>
      </c>
      <c r="S77" s="39">
        <f t="shared" si="2"/>
        <v>0</v>
      </c>
      <c r="T77" s="39">
        <f t="shared" si="6"/>
        <v>0</v>
      </c>
      <c r="U77" s="40">
        <v>0</v>
      </c>
      <c r="V77" s="87"/>
    </row>
    <row r="78" spans="1:22" ht="81.75" customHeight="1" x14ac:dyDescent="0.25">
      <c r="A78" s="10" t="s">
        <v>22</v>
      </c>
      <c r="B78" s="25" t="s">
        <v>442</v>
      </c>
      <c r="C78" s="35" t="s">
        <v>431</v>
      </c>
      <c r="D78" s="39">
        <v>0</v>
      </c>
      <c r="E78" s="39">
        <v>0</v>
      </c>
      <c r="F78" s="37" t="s">
        <v>50</v>
      </c>
      <c r="G78" s="39">
        <v>0</v>
      </c>
      <c r="H78" s="39">
        <f t="shared" si="3"/>
        <v>0</v>
      </c>
      <c r="I78" s="39">
        <f t="shared" si="4"/>
        <v>9.7795455699999998</v>
      </c>
      <c r="J78" s="39">
        <v>0</v>
      </c>
      <c r="K78" s="39">
        <v>0</v>
      </c>
      <c r="L78" s="39">
        <v>0</v>
      </c>
      <c r="M78" s="37">
        <v>9.7795455699999998</v>
      </c>
      <c r="N78" s="39">
        <v>0</v>
      </c>
      <c r="O78" s="37">
        <v>0</v>
      </c>
      <c r="P78" s="39">
        <v>0</v>
      </c>
      <c r="Q78" s="37" t="s">
        <v>50</v>
      </c>
      <c r="R78" s="37" t="s">
        <v>50</v>
      </c>
      <c r="S78" s="39">
        <f t="shared" si="2"/>
        <v>-9.7795455699999998</v>
      </c>
      <c r="T78" s="39">
        <f t="shared" si="6"/>
        <v>9.7795455699999998</v>
      </c>
      <c r="U78" s="40">
        <v>100</v>
      </c>
      <c r="V78" s="87"/>
    </row>
    <row r="79" spans="1:22" ht="81.75" customHeight="1" x14ac:dyDescent="0.25">
      <c r="A79" s="10" t="s">
        <v>22</v>
      </c>
      <c r="B79" s="25" t="s">
        <v>432</v>
      </c>
      <c r="C79" s="35" t="s">
        <v>433</v>
      </c>
      <c r="D79" s="39">
        <v>0</v>
      </c>
      <c r="E79" s="39">
        <v>0</v>
      </c>
      <c r="F79" s="37" t="s">
        <v>50</v>
      </c>
      <c r="G79" s="39">
        <v>0</v>
      </c>
      <c r="H79" s="39">
        <f t="shared" si="3"/>
        <v>0</v>
      </c>
      <c r="I79" s="39">
        <f t="shared" si="4"/>
        <v>0.95793236000000004</v>
      </c>
      <c r="J79" s="39">
        <v>0</v>
      </c>
      <c r="K79" s="39">
        <f>957.93236/1000</f>
        <v>0.95793236000000004</v>
      </c>
      <c r="L79" s="39">
        <v>0</v>
      </c>
      <c r="M79" s="37">
        <v>0</v>
      </c>
      <c r="N79" s="39">
        <v>0</v>
      </c>
      <c r="O79" s="37">
        <v>0</v>
      </c>
      <c r="P79" s="39">
        <v>0</v>
      </c>
      <c r="Q79" s="37" t="s">
        <v>50</v>
      </c>
      <c r="R79" s="37" t="s">
        <v>50</v>
      </c>
      <c r="S79" s="39">
        <f t="shared" si="2"/>
        <v>-0.95793236000000004</v>
      </c>
      <c r="T79" s="39">
        <f t="shared" si="6"/>
        <v>0.95793236000000004</v>
      </c>
      <c r="U79" s="40">
        <v>100</v>
      </c>
      <c r="V79" s="87"/>
    </row>
    <row r="80" spans="1:22" ht="81.75" customHeight="1" x14ac:dyDescent="0.25">
      <c r="A80" s="10" t="s">
        <v>22</v>
      </c>
      <c r="B80" s="25" t="s">
        <v>434</v>
      </c>
      <c r="C80" s="35" t="s">
        <v>435</v>
      </c>
      <c r="D80" s="39">
        <v>0</v>
      </c>
      <c r="E80" s="39">
        <v>0</v>
      </c>
      <c r="F80" s="37" t="s">
        <v>50</v>
      </c>
      <c r="G80" s="39">
        <v>0</v>
      </c>
      <c r="H80" s="39">
        <f t="shared" si="3"/>
        <v>0</v>
      </c>
      <c r="I80" s="39">
        <f t="shared" si="4"/>
        <v>5.5899619999999997E-2</v>
      </c>
      <c r="J80" s="39">
        <v>0</v>
      </c>
      <c r="K80" s="39">
        <f>55.89962/1000</f>
        <v>5.5899619999999997E-2</v>
      </c>
      <c r="L80" s="39">
        <v>0</v>
      </c>
      <c r="M80" s="37">
        <v>0</v>
      </c>
      <c r="N80" s="39">
        <v>0</v>
      </c>
      <c r="O80" s="37">
        <v>0</v>
      </c>
      <c r="P80" s="39">
        <v>0</v>
      </c>
      <c r="Q80" s="37" t="s">
        <v>50</v>
      </c>
      <c r="R80" s="37" t="s">
        <v>50</v>
      </c>
      <c r="S80" s="39">
        <f t="shared" si="2"/>
        <v>-5.5899619999999997E-2</v>
      </c>
      <c r="T80" s="39">
        <f t="shared" si="6"/>
        <v>5.5899619999999997E-2</v>
      </c>
      <c r="U80" s="40">
        <v>100</v>
      </c>
      <c r="V80" s="87"/>
    </row>
    <row r="81" spans="1:22" ht="81.75" customHeight="1" x14ac:dyDescent="0.25">
      <c r="A81" s="10" t="s">
        <v>22</v>
      </c>
      <c r="B81" s="25" t="s">
        <v>436</v>
      </c>
      <c r="C81" s="35" t="s">
        <v>437</v>
      </c>
      <c r="D81" s="39">
        <v>0</v>
      </c>
      <c r="E81" s="39">
        <v>0</v>
      </c>
      <c r="F81" s="37" t="s">
        <v>50</v>
      </c>
      <c r="G81" s="39">
        <v>0</v>
      </c>
      <c r="H81" s="39">
        <f t="shared" si="3"/>
        <v>0</v>
      </c>
      <c r="I81" s="39">
        <f t="shared" si="4"/>
        <v>0</v>
      </c>
      <c r="J81" s="39">
        <v>0</v>
      </c>
      <c r="K81" s="39">
        <v>0</v>
      </c>
      <c r="L81" s="39">
        <v>0</v>
      </c>
      <c r="M81" s="37">
        <v>0</v>
      </c>
      <c r="N81" s="39">
        <v>0</v>
      </c>
      <c r="O81" s="37">
        <v>0</v>
      </c>
      <c r="P81" s="39">
        <v>0</v>
      </c>
      <c r="Q81" s="37" t="s">
        <v>50</v>
      </c>
      <c r="R81" s="37" t="s">
        <v>50</v>
      </c>
      <c r="S81" s="39">
        <f t="shared" si="2"/>
        <v>0</v>
      </c>
      <c r="T81" s="39">
        <f t="shared" si="6"/>
        <v>0</v>
      </c>
      <c r="U81" s="40">
        <v>0</v>
      </c>
      <c r="V81" s="87"/>
    </row>
    <row r="82" spans="1:22" ht="81.75" customHeight="1" x14ac:dyDescent="0.25">
      <c r="A82" s="10" t="s">
        <v>22</v>
      </c>
      <c r="B82" s="25" t="s">
        <v>438</v>
      </c>
      <c r="C82" s="35" t="s">
        <v>439</v>
      </c>
      <c r="D82" s="39">
        <v>0</v>
      </c>
      <c r="E82" s="39">
        <v>0</v>
      </c>
      <c r="F82" s="37" t="s">
        <v>50</v>
      </c>
      <c r="G82" s="39">
        <v>0</v>
      </c>
      <c r="H82" s="39">
        <f t="shared" si="3"/>
        <v>0</v>
      </c>
      <c r="I82" s="39">
        <f t="shared" si="4"/>
        <v>0</v>
      </c>
      <c r="J82" s="39">
        <v>0</v>
      </c>
      <c r="K82" s="39">
        <v>0</v>
      </c>
      <c r="L82" s="39">
        <v>0</v>
      </c>
      <c r="M82" s="37">
        <v>0</v>
      </c>
      <c r="N82" s="39">
        <v>0</v>
      </c>
      <c r="O82" s="37">
        <v>0</v>
      </c>
      <c r="P82" s="39">
        <v>0</v>
      </c>
      <c r="Q82" s="37" t="s">
        <v>50</v>
      </c>
      <c r="R82" s="37" t="s">
        <v>50</v>
      </c>
      <c r="S82" s="39">
        <f t="shared" si="2"/>
        <v>0</v>
      </c>
      <c r="T82" s="39">
        <f t="shared" si="6"/>
        <v>0</v>
      </c>
      <c r="U82" s="40">
        <v>0</v>
      </c>
      <c r="V82" s="87"/>
    </row>
    <row r="83" spans="1:22" ht="81.75" customHeight="1" x14ac:dyDescent="0.25">
      <c r="A83" s="10" t="s">
        <v>22</v>
      </c>
      <c r="B83" s="25" t="s">
        <v>440</v>
      </c>
      <c r="C83" s="35" t="s">
        <v>441</v>
      </c>
      <c r="D83" s="39">
        <v>0</v>
      </c>
      <c r="E83" s="39">
        <v>0</v>
      </c>
      <c r="F83" s="37" t="s">
        <v>50</v>
      </c>
      <c r="G83" s="39">
        <v>0</v>
      </c>
      <c r="H83" s="39">
        <f t="shared" ref="H83:H146" si="15">J83+L83+N83+P83</f>
        <v>0</v>
      </c>
      <c r="I83" s="39">
        <f t="shared" ref="I83:I138" si="16">K83+M83+O83</f>
        <v>3.6565081799999999</v>
      </c>
      <c r="J83" s="39">
        <v>0</v>
      </c>
      <c r="K83" s="39">
        <v>0</v>
      </c>
      <c r="L83" s="39">
        <v>0</v>
      </c>
      <c r="M83" s="37">
        <v>0</v>
      </c>
      <c r="N83" s="39">
        <v>0</v>
      </c>
      <c r="O83" s="37">
        <v>3.6565081799999999</v>
      </c>
      <c r="P83" s="39">
        <v>0</v>
      </c>
      <c r="Q83" s="37" t="s">
        <v>50</v>
      </c>
      <c r="R83" s="37" t="s">
        <v>50</v>
      </c>
      <c r="S83" s="39">
        <f t="shared" ref="S83:S138" si="17">G83-I83</f>
        <v>-3.6565081799999999</v>
      </c>
      <c r="T83" s="39">
        <f t="shared" ref="T83:T138" si="18">(K83+M83+O83)-(J83+L83+N83)</f>
        <v>3.6565081799999999</v>
      </c>
      <c r="U83" s="40">
        <v>0</v>
      </c>
      <c r="V83" s="87"/>
    </row>
    <row r="84" spans="1:22" ht="81.75" customHeight="1" x14ac:dyDescent="0.25">
      <c r="A84" s="53" t="s">
        <v>22</v>
      </c>
      <c r="B84" s="25" t="s">
        <v>642</v>
      </c>
      <c r="C84" s="35" t="s">
        <v>651</v>
      </c>
      <c r="D84" s="39">
        <v>0</v>
      </c>
      <c r="E84" s="39">
        <v>0</v>
      </c>
      <c r="F84" s="37" t="s">
        <v>50</v>
      </c>
      <c r="G84" s="39">
        <v>0</v>
      </c>
      <c r="H84" s="39">
        <f t="shared" si="15"/>
        <v>0</v>
      </c>
      <c r="I84" s="39">
        <f t="shared" si="16"/>
        <v>2.611314E-2</v>
      </c>
      <c r="J84" s="39">
        <v>0</v>
      </c>
      <c r="K84" s="39">
        <v>0</v>
      </c>
      <c r="L84" s="39">
        <v>0</v>
      </c>
      <c r="M84" s="37">
        <v>2.611314E-2</v>
      </c>
      <c r="N84" s="39">
        <v>0</v>
      </c>
      <c r="O84" s="37">
        <v>0</v>
      </c>
      <c r="P84" s="39">
        <v>0</v>
      </c>
      <c r="Q84" s="37" t="s">
        <v>50</v>
      </c>
      <c r="R84" s="37" t="s">
        <v>50</v>
      </c>
      <c r="S84" s="39">
        <f t="shared" si="17"/>
        <v>-2.611314E-2</v>
      </c>
      <c r="T84" s="39">
        <f t="shared" si="18"/>
        <v>2.611314E-2</v>
      </c>
      <c r="U84" s="40">
        <v>100</v>
      </c>
      <c r="V84" s="87"/>
    </row>
    <row r="85" spans="1:22" ht="81.75" customHeight="1" x14ac:dyDescent="0.25">
      <c r="A85" s="53" t="s">
        <v>22</v>
      </c>
      <c r="B85" s="25" t="s">
        <v>479</v>
      </c>
      <c r="C85" s="35" t="s">
        <v>480</v>
      </c>
      <c r="D85" s="39">
        <v>0</v>
      </c>
      <c r="E85" s="39">
        <v>0</v>
      </c>
      <c r="F85" s="37" t="s">
        <v>50</v>
      </c>
      <c r="G85" s="39">
        <v>0</v>
      </c>
      <c r="H85" s="39">
        <f t="shared" si="15"/>
        <v>0</v>
      </c>
      <c r="I85" s="39">
        <f t="shared" si="16"/>
        <v>0</v>
      </c>
      <c r="J85" s="39">
        <v>0</v>
      </c>
      <c r="K85" s="39">
        <v>0</v>
      </c>
      <c r="L85" s="39">
        <v>0</v>
      </c>
      <c r="M85" s="37">
        <v>0</v>
      </c>
      <c r="N85" s="39">
        <v>0</v>
      </c>
      <c r="O85" s="37">
        <v>0</v>
      </c>
      <c r="P85" s="39">
        <v>0</v>
      </c>
      <c r="Q85" s="37" t="s">
        <v>50</v>
      </c>
      <c r="R85" s="37" t="s">
        <v>50</v>
      </c>
      <c r="S85" s="39">
        <f t="shared" si="17"/>
        <v>0</v>
      </c>
      <c r="T85" s="39">
        <f t="shared" si="18"/>
        <v>0</v>
      </c>
      <c r="U85" s="40">
        <v>0</v>
      </c>
      <c r="V85" s="87"/>
    </row>
    <row r="86" spans="1:22" ht="81.75" customHeight="1" x14ac:dyDescent="0.25">
      <c r="A86" s="53" t="s">
        <v>22</v>
      </c>
      <c r="B86" s="25" t="s">
        <v>643</v>
      </c>
      <c r="C86" s="35" t="s">
        <v>652</v>
      </c>
      <c r="D86" s="39">
        <v>0</v>
      </c>
      <c r="E86" s="39">
        <v>0</v>
      </c>
      <c r="F86" s="37" t="s">
        <v>50</v>
      </c>
      <c r="G86" s="39">
        <v>0</v>
      </c>
      <c r="H86" s="39">
        <f t="shared" si="15"/>
        <v>0</v>
      </c>
      <c r="I86" s="39">
        <f t="shared" si="16"/>
        <v>0</v>
      </c>
      <c r="J86" s="39">
        <v>0</v>
      </c>
      <c r="K86" s="39">
        <v>0</v>
      </c>
      <c r="L86" s="39">
        <v>0</v>
      </c>
      <c r="M86" s="37">
        <v>0</v>
      </c>
      <c r="N86" s="39">
        <v>0</v>
      </c>
      <c r="O86" s="37">
        <v>0</v>
      </c>
      <c r="P86" s="39">
        <v>0</v>
      </c>
      <c r="Q86" s="37" t="s">
        <v>50</v>
      </c>
      <c r="R86" s="37" t="s">
        <v>50</v>
      </c>
      <c r="S86" s="39">
        <f t="shared" si="17"/>
        <v>0</v>
      </c>
      <c r="T86" s="39">
        <f t="shared" si="18"/>
        <v>0</v>
      </c>
      <c r="U86" s="40">
        <v>0</v>
      </c>
      <c r="V86" s="87"/>
    </row>
    <row r="87" spans="1:22" ht="81.75" customHeight="1" x14ac:dyDescent="0.25">
      <c r="A87" s="53" t="s">
        <v>22</v>
      </c>
      <c r="B87" s="25" t="s">
        <v>644</v>
      </c>
      <c r="C87" s="35" t="s">
        <v>653</v>
      </c>
      <c r="D87" s="39">
        <v>0</v>
      </c>
      <c r="E87" s="39">
        <v>0</v>
      </c>
      <c r="F87" s="37" t="s">
        <v>50</v>
      </c>
      <c r="G87" s="39">
        <v>0</v>
      </c>
      <c r="H87" s="39">
        <f t="shared" si="15"/>
        <v>0</v>
      </c>
      <c r="I87" s="39">
        <f t="shared" si="16"/>
        <v>0</v>
      </c>
      <c r="J87" s="39">
        <v>0</v>
      </c>
      <c r="K87" s="39">
        <v>0</v>
      </c>
      <c r="L87" s="39">
        <v>0</v>
      </c>
      <c r="M87" s="37">
        <v>0</v>
      </c>
      <c r="N87" s="39">
        <v>0</v>
      </c>
      <c r="O87" s="37">
        <v>0</v>
      </c>
      <c r="P87" s="39">
        <v>0</v>
      </c>
      <c r="Q87" s="37" t="s">
        <v>50</v>
      </c>
      <c r="R87" s="37" t="s">
        <v>50</v>
      </c>
      <c r="S87" s="39">
        <f t="shared" si="17"/>
        <v>0</v>
      </c>
      <c r="T87" s="39">
        <f t="shared" si="18"/>
        <v>0</v>
      </c>
      <c r="U87" s="40">
        <v>0</v>
      </c>
      <c r="V87" s="87"/>
    </row>
    <row r="88" spans="1:22" ht="81.75" customHeight="1" x14ac:dyDescent="0.25">
      <c r="A88" s="53" t="s">
        <v>22</v>
      </c>
      <c r="B88" s="25" t="s">
        <v>645</v>
      </c>
      <c r="C88" s="35" t="s">
        <v>654</v>
      </c>
      <c r="D88" s="39">
        <v>0</v>
      </c>
      <c r="E88" s="39">
        <v>0</v>
      </c>
      <c r="F88" s="37" t="s">
        <v>50</v>
      </c>
      <c r="G88" s="39">
        <v>0</v>
      </c>
      <c r="H88" s="39">
        <f t="shared" si="15"/>
        <v>0</v>
      </c>
      <c r="I88" s="39">
        <f t="shared" si="16"/>
        <v>0</v>
      </c>
      <c r="J88" s="39">
        <v>0</v>
      </c>
      <c r="K88" s="39">
        <v>0</v>
      </c>
      <c r="L88" s="39">
        <v>0</v>
      </c>
      <c r="M88" s="37">
        <v>0</v>
      </c>
      <c r="N88" s="39">
        <v>0</v>
      </c>
      <c r="O88" s="37">
        <v>0</v>
      </c>
      <c r="P88" s="39">
        <v>0</v>
      </c>
      <c r="Q88" s="37" t="s">
        <v>50</v>
      </c>
      <c r="R88" s="37" t="s">
        <v>50</v>
      </c>
      <c r="S88" s="39">
        <f t="shared" si="17"/>
        <v>0</v>
      </c>
      <c r="T88" s="39">
        <f t="shared" si="18"/>
        <v>0</v>
      </c>
      <c r="U88" s="40">
        <v>0</v>
      </c>
      <c r="V88" s="87"/>
    </row>
    <row r="89" spans="1:22" ht="81.75" customHeight="1" x14ac:dyDescent="0.25">
      <c r="A89" s="53" t="s">
        <v>22</v>
      </c>
      <c r="B89" s="25" t="s">
        <v>646</v>
      </c>
      <c r="C89" s="35" t="s">
        <v>655</v>
      </c>
      <c r="D89" s="39">
        <v>0</v>
      </c>
      <c r="E89" s="39">
        <v>0</v>
      </c>
      <c r="F89" s="37" t="s">
        <v>50</v>
      </c>
      <c r="G89" s="39">
        <v>0</v>
      </c>
      <c r="H89" s="39">
        <f t="shared" si="15"/>
        <v>0</v>
      </c>
      <c r="I89" s="39">
        <f t="shared" si="16"/>
        <v>0</v>
      </c>
      <c r="J89" s="39">
        <v>0</v>
      </c>
      <c r="K89" s="39">
        <v>0</v>
      </c>
      <c r="L89" s="39">
        <v>0</v>
      </c>
      <c r="M89" s="37">
        <v>0</v>
      </c>
      <c r="N89" s="39">
        <v>0</v>
      </c>
      <c r="O89" s="37">
        <v>0</v>
      </c>
      <c r="P89" s="39">
        <v>0</v>
      </c>
      <c r="Q89" s="37" t="s">
        <v>50</v>
      </c>
      <c r="R89" s="37" t="s">
        <v>50</v>
      </c>
      <c r="S89" s="39">
        <f t="shared" si="17"/>
        <v>0</v>
      </c>
      <c r="T89" s="39">
        <f t="shared" si="18"/>
        <v>0</v>
      </c>
      <c r="U89" s="40">
        <v>0</v>
      </c>
      <c r="V89" s="87"/>
    </row>
    <row r="90" spans="1:22" ht="81.75" customHeight="1" x14ac:dyDescent="0.25">
      <c r="A90" s="53" t="s">
        <v>22</v>
      </c>
      <c r="B90" s="25" t="s">
        <v>647</v>
      </c>
      <c r="C90" s="35" t="s">
        <v>656</v>
      </c>
      <c r="D90" s="39">
        <v>0</v>
      </c>
      <c r="E90" s="39">
        <v>0</v>
      </c>
      <c r="F90" s="37" t="s">
        <v>50</v>
      </c>
      <c r="G90" s="39">
        <v>0</v>
      </c>
      <c r="H90" s="39">
        <f t="shared" si="15"/>
        <v>0</v>
      </c>
      <c r="I90" s="39">
        <f t="shared" si="16"/>
        <v>3.8812589999999994E-2</v>
      </c>
      <c r="J90" s="39">
        <v>0</v>
      </c>
      <c r="K90" s="39">
        <v>0</v>
      </c>
      <c r="L90" s="39">
        <v>0</v>
      </c>
      <c r="M90" s="37">
        <v>3.8812589999999994E-2</v>
      </c>
      <c r="N90" s="39">
        <v>0</v>
      </c>
      <c r="O90" s="37">
        <v>0</v>
      </c>
      <c r="P90" s="39">
        <v>0</v>
      </c>
      <c r="Q90" s="37" t="s">
        <v>50</v>
      </c>
      <c r="R90" s="37" t="s">
        <v>50</v>
      </c>
      <c r="S90" s="39">
        <f t="shared" si="17"/>
        <v>-3.8812589999999994E-2</v>
      </c>
      <c r="T90" s="39">
        <f t="shared" si="18"/>
        <v>3.8812589999999994E-2</v>
      </c>
      <c r="U90" s="40">
        <v>0</v>
      </c>
      <c r="V90" s="87"/>
    </row>
    <row r="91" spans="1:22" ht="81.75" customHeight="1" x14ac:dyDescent="0.25">
      <c r="A91" s="53" t="s">
        <v>22</v>
      </c>
      <c r="B91" s="25" t="s">
        <v>648</v>
      </c>
      <c r="C91" s="35" t="s">
        <v>657</v>
      </c>
      <c r="D91" s="39">
        <v>0</v>
      </c>
      <c r="E91" s="39">
        <v>0</v>
      </c>
      <c r="F91" s="37" t="s">
        <v>50</v>
      </c>
      <c r="G91" s="39">
        <v>0</v>
      </c>
      <c r="H91" s="39">
        <f t="shared" si="15"/>
        <v>0</v>
      </c>
      <c r="I91" s="39">
        <f t="shared" si="16"/>
        <v>5.66106759</v>
      </c>
      <c r="J91" s="39">
        <v>0</v>
      </c>
      <c r="K91" s="39">
        <v>0</v>
      </c>
      <c r="L91" s="39">
        <v>0</v>
      </c>
      <c r="M91" s="37">
        <v>0</v>
      </c>
      <c r="N91" s="39">
        <v>0</v>
      </c>
      <c r="O91" s="37">
        <v>5.66106759</v>
      </c>
      <c r="P91" s="39">
        <v>0</v>
      </c>
      <c r="Q91" s="37" t="s">
        <v>50</v>
      </c>
      <c r="R91" s="37" t="s">
        <v>50</v>
      </c>
      <c r="S91" s="39">
        <f t="shared" si="17"/>
        <v>-5.66106759</v>
      </c>
      <c r="T91" s="39">
        <f t="shared" si="18"/>
        <v>5.66106759</v>
      </c>
      <c r="U91" s="40">
        <v>0</v>
      </c>
      <c r="V91" s="87"/>
    </row>
    <row r="92" spans="1:22" ht="81.75" customHeight="1" x14ac:dyDescent="0.25">
      <c r="A92" s="53" t="s">
        <v>22</v>
      </c>
      <c r="B92" s="25" t="s">
        <v>649</v>
      </c>
      <c r="C92" s="35" t="s">
        <v>658</v>
      </c>
      <c r="D92" s="39">
        <v>0</v>
      </c>
      <c r="E92" s="39">
        <v>0</v>
      </c>
      <c r="F92" s="37" t="s">
        <v>50</v>
      </c>
      <c r="G92" s="39">
        <v>0</v>
      </c>
      <c r="H92" s="39">
        <f t="shared" si="15"/>
        <v>0</v>
      </c>
      <c r="I92" s="39">
        <f t="shared" si="16"/>
        <v>0.33434207999999999</v>
      </c>
      <c r="J92" s="39">
        <v>0</v>
      </c>
      <c r="K92" s="39">
        <v>0</v>
      </c>
      <c r="L92" s="39">
        <v>0</v>
      </c>
      <c r="M92" s="37">
        <v>0.33434207999999999</v>
      </c>
      <c r="N92" s="39">
        <v>0</v>
      </c>
      <c r="O92" s="37">
        <v>0</v>
      </c>
      <c r="P92" s="39">
        <v>0</v>
      </c>
      <c r="Q92" s="37" t="s">
        <v>50</v>
      </c>
      <c r="R92" s="37" t="s">
        <v>50</v>
      </c>
      <c r="S92" s="39">
        <f t="shared" si="17"/>
        <v>-0.33434207999999999</v>
      </c>
      <c r="T92" s="39">
        <f t="shared" si="18"/>
        <v>0.33434207999999999</v>
      </c>
      <c r="U92" s="40">
        <v>100</v>
      </c>
      <c r="V92" s="87"/>
    </row>
    <row r="93" spans="1:22" ht="81.75" customHeight="1" x14ac:dyDescent="0.25">
      <c r="A93" s="53" t="s">
        <v>22</v>
      </c>
      <c r="B93" s="25" t="s">
        <v>650</v>
      </c>
      <c r="C93" s="35" t="s">
        <v>659</v>
      </c>
      <c r="D93" s="39">
        <v>0</v>
      </c>
      <c r="E93" s="39">
        <v>0</v>
      </c>
      <c r="F93" s="37" t="s">
        <v>50</v>
      </c>
      <c r="G93" s="39">
        <v>0</v>
      </c>
      <c r="H93" s="39">
        <f t="shared" si="15"/>
        <v>0</v>
      </c>
      <c r="I93" s="39">
        <f t="shared" si="16"/>
        <v>0</v>
      </c>
      <c r="J93" s="39">
        <v>0</v>
      </c>
      <c r="K93" s="39">
        <v>0</v>
      </c>
      <c r="L93" s="39">
        <v>0</v>
      </c>
      <c r="M93" s="37">
        <v>0</v>
      </c>
      <c r="N93" s="39">
        <v>0</v>
      </c>
      <c r="O93" s="37">
        <v>0</v>
      </c>
      <c r="P93" s="39">
        <v>0</v>
      </c>
      <c r="Q93" s="37" t="s">
        <v>50</v>
      </c>
      <c r="R93" s="37" t="s">
        <v>50</v>
      </c>
      <c r="S93" s="39">
        <f t="shared" si="17"/>
        <v>0</v>
      </c>
      <c r="T93" s="39">
        <f t="shared" si="18"/>
        <v>0</v>
      </c>
      <c r="U93" s="40">
        <v>0</v>
      </c>
      <c r="V93" s="87"/>
    </row>
    <row r="94" spans="1:22" ht="81.75" customHeight="1" x14ac:dyDescent="0.25">
      <c r="A94" s="53"/>
      <c r="B94" s="25" t="s">
        <v>768</v>
      </c>
      <c r="C94" s="35" t="s">
        <v>769</v>
      </c>
      <c r="D94" s="39">
        <v>0</v>
      </c>
      <c r="E94" s="39">
        <v>0</v>
      </c>
      <c r="F94" s="39">
        <v>0</v>
      </c>
      <c r="G94" s="39">
        <v>0</v>
      </c>
      <c r="H94" s="39">
        <f t="shared" si="15"/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7">
        <v>3.9615916200000001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87"/>
    </row>
    <row r="95" spans="1:22" ht="81.75" customHeight="1" x14ac:dyDescent="0.25">
      <c r="A95" s="53"/>
      <c r="B95" s="25" t="s">
        <v>770</v>
      </c>
      <c r="C95" s="35" t="s">
        <v>771</v>
      </c>
      <c r="D95" s="39">
        <v>0</v>
      </c>
      <c r="E95" s="39">
        <v>0</v>
      </c>
      <c r="F95" s="37">
        <v>0</v>
      </c>
      <c r="G95" s="39">
        <v>0</v>
      </c>
      <c r="H95" s="39">
        <f t="shared" si="15"/>
        <v>0</v>
      </c>
      <c r="I95" s="39">
        <v>0</v>
      </c>
      <c r="J95" s="39">
        <v>0</v>
      </c>
      <c r="K95" s="39">
        <v>0</v>
      </c>
      <c r="L95" s="39">
        <v>0</v>
      </c>
      <c r="M95" s="37">
        <v>0</v>
      </c>
      <c r="N95" s="39">
        <v>0</v>
      </c>
      <c r="O95" s="37">
        <v>2.6962482799999998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87"/>
    </row>
    <row r="96" spans="1:22" ht="81.75" customHeight="1" x14ac:dyDescent="0.25">
      <c r="A96" s="53"/>
      <c r="B96" s="25" t="s">
        <v>772</v>
      </c>
      <c r="C96" s="35" t="s">
        <v>773</v>
      </c>
      <c r="D96" s="39">
        <v>0</v>
      </c>
      <c r="E96" s="39">
        <v>0</v>
      </c>
      <c r="F96" s="39">
        <v>0</v>
      </c>
      <c r="G96" s="39">
        <v>0</v>
      </c>
      <c r="H96" s="39">
        <f t="shared" si="15"/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7">
        <v>3.6844769799999999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87"/>
    </row>
    <row r="97" spans="1:22" ht="81.75" customHeight="1" x14ac:dyDescent="0.25">
      <c r="A97" s="53" t="s">
        <v>22</v>
      </c>
      <c r="B97" s="25" t="s">
        <v>473</v>
      </c>
      <c r="C97" s="35" t="s">
        <v>474</v>
      </c>
      <c r="D97" s="39">
        <v>0</v>
      </c>
      <c r="E97" s="39">
        <v>0</v>
      </c>
      <c r="F97" s="37" t="s">
        <v>50</v>
      </c>
      <c r="G97" s="39">
        <v>0</v>
      </c>
      <c r="H97" s="39">
        <f t="shared" si="15"/>
        <v>0</v>
      </c>
      <c r="I97" s="39">
        <f t="shared" si="16"/>
        <v>0</v>
      </c>
      <c r="J97" s="39">
        <v>0</v>
      </c>
      <c r="K97" s="39">
        <v>0</v>
      </c>
      <c r="L97" s="39">
        <v>0</v>
      </c>
      <c r="M97" s="37">
        <v>0</v>
      </c>
      <c r="N97" s="39">
        <v>0</v>
      </c>
      <c r="O97" s="37">
        <v>0</v>
      </c>
      <c r="P97" s="39">
        <v>0</v>
      </c>
      <c r="Q97" s="37" t="s">
        <v>50</v>
      </c>
      <c r="R97" s="37" t="s">
        <v>50</v>
      </c>
      <c r="S97" s="39">
        <f t="shared" si="17"/>
        <v>0</v>
      </c>
      <c r="T97" s="39">
        <f t="shared" si="18"/>
        <v>0</v>
      </c>
      <c r="U97" s="40">
        <v>0</v>
      </c>
      <c r="V97" s="88"/>
    </row>
    <row r="98" spans="1:22" ht="42.75" x14ac:dyDescent="0.25">
      <c r="A98" s="2" t="s">
        <v>23</v>
      </c>
      <c r="B98" s="5" t="s">
        <v>76</v>
      </c>
      <c r="C98" s="6" t="s">
        <v>52</v>
      </c>
      <c r="D98" s="41">
        <v>0</v>
      </c>
      <c r="E98" s="41">
        <v>0</v>
      </c>
      <c r="F98" s="36" t="s">
        <v>50</v>
      </c>
      <c r="G98" s="41">
        <v>0</v>
      </c>
      <c r="H98" s="41">
        <f t="shared" si="15"/>
        <v>0</v>
      </c>
      <c r="I98" s="41">
        <f t="shared" si="16"/>
        <v>0</v>
      </c>
      <c r="J98" s="41">
        <v>0</v>
      </c>
      <c r="K98" s="41">
        <v>0</v>
      </c>
      <c r="L98" s="41">
        <v>0</v>
      </c>
      <c r="M98" s="36">
        <v>0</v>
      </c>
      <c r="N98" s="41">
        <v>0</v>
      </c>
      <c r="O98" s="36">
        <v>0</v>
      </c>
      <c r="P98" s="41">
        <v>0</v>
      </c>
      <c r="Q98" s="36" t="s">
        <v>50</v>
      </c>
      <c r="R98" s="36" t="s">
        <v>50</v>
      </c>
      <c r="S98" s="41">
        <f t="shared" si="17"/>
        <v>0</v>
      </c>
      <c r="T98" s="41">
        <f t="shared" si="18"/>
        <v>0</v>
      </c>
      <c r="U98" s="29">
        <v>0</v>
      </c>
      <c r="V98" s="30" t="s">
        <v>50</v>
      </c>
    </row>
    <row r="99" spans="1:22" ht="71.25" x14ac:dyDescent="0.25">
      <c r="A99" s="2" t="s">
        <v>42</v>
      </c>
      <c r="B99" s="5" t="s">
        <v>77</v>
      </c>
      <c r="C99" s="6" t="s">
        <v>52</v>
      </c>
      <c r="D99" s="41">
        <v>0</v>
      </c>
      <c r="E99" s="41">
        <v>0</v>
      </c>
      <c r="F99" s="36" t="s">
        <v>50</v>
      </c>
      <c r="G99" s="41">
        <v>0</v>
      </c>
      <c r="H99" s="41">
        <f t="shared" si="15"/>
        <v>0</v>
      </c>
      <c r="I99" s="41">
        <f t="shared" si="16"/>
        <v>0</v>
      </c>
      <c r="J99" s="41">
        <v>0</v>
      </c>
      <c r="K99" s="41">
        <v>0</v>
      </c>
      <c r="L99" s="41">
        <v>0</v>
      </c>
      <c r="M99" s="36">
        <v>0</v>
      </c>
      <c r="N99" s="41">
        <v>0</v>
      </c>
      <c r="O99" s="36">
        <v>0</v>
      </c>
      <c r="P99" s="41">
        <v>0</v>
      </c>
      <c r="Q99" s="36" t="s">
        <v>50</v>
      </c>
      <c r="R99" s="36" t="s">
        <v>50</v>
      </c>
      <c r="S99" s="41">
        <f t="shared" si="17"/>
        <v>0</v>
      </c>
      <c r="T99" s="41">
        <f t="shared" si="18"/>
        <v>0</v>
      </c>
      <c r="U99" s="29">
        <v>0</v>
      </c>
      <c r="V99" s="30" t="s">
        <v>50</v>
      </c>
    </row>
    <row r="100" spans="1:22" ht="42.75" x14ac:dyDescent="0.25">
      <c r="A100" s="2" t="s">
        <v>43</v>
      </c>
      <c r="B100" s="5" t="s">
        <v>78</v>
      </c>
      <c r="C100" s="6" t="s">
        <v>52</v>
      </c>
      <c r="D100" s="41">
        <v>0</v>
      </c>
      <c r="E100" s="41">
        <v>0</v>
      </c>
      <c r="F100" s="36" t="s">
        <v>50</v>
      </c>
      <c r="G100" s="41">
        <v>0</v>
      </c>
      <c r="H100" s="41">
        <f t="shared" si="15"/>
        <v>0</v>
      </c>
      <c r="I100" s="41">
        <f t="shared" si="16"/>
        <v>0</v>
      </c>
      <c r="J100" s="41">
        <v>0</v>
      </c>
      <c r="K100" s="41">
        <v>0</v>
      </c>
      <c r="L100" s="41">
        <v>0</v>
      </c>
      <c r="M100" s="36">
        <v>0</v>
      </c>
      <c r="N100" s="41">
        <v>0</v>
      </c>
      <c r="O100" s="36">
        <v>0</v>
      </c>
      <c r="P100" s="41">
        <v>0</v>
      </c>
      <c r="Q100" s="36" t="s">
        <v>50</v>
      </c>
      <c r="R100" s="36" t="s">
        <v>50</v>
      </c>
      <c r="S100" s="41">
        <f t="shared" si="17"/>
        <v>0</v>
      </c>
      <c r="T100" s="41">
        <f t="shared" si="18"/>
        <v>0</v>
      </c>
      <c r="U100" s="29">
        <v>0</v>
      </c>
      <c r="V100" s="30" t="s">
        <v>50</v>
      </c>
    </row>
    <row r="101" spans="1:22" ht="57" x14ac:dyDescent="0.25">
      <c r="A101" s="2" t="s">
        <v>24</v>
      </c>
      <c r="B101" s="5" t="s">
        <v>79</v>
      </c>
      <c r="C101" s="6" t="s">
        <v>52</v>
      </c>
      <c r="D101" s="41">
        <v>0</v>
      </c>
      <c r="E101" s="41">
        <v>0</v>
      </c>
      <c r="F101" s="36" t="s">
        <v>50</v>
      </c>
      <c r="G101" s="41">
        <v>0</v>
      </c>
      <c r="H101" s="41">
        <f t="shared" si="15"/>
        <v>0</v>
      </c>
      <c r="I101" s="41">
        <f t="shared" si="16"/>
        <v>0</v>
      </c>
      <c r="J101" s="41">
        <v>0</v>
      </c>
      <c r="K101" s="41">
        <v>0</v>
      </c>
      <c r="L101" s="41">
        <v>0</v>
      </c>
      <c r="M101" s="36">
        <v>0</v>
      </c>
      <c r="N101" s="41">
        <v>0</v>
      </c>
      <c r="O101" s="36">
        <v>0</v>
      </c>
      <c r="P101" s="41">
        <v>0</v>
      </c>
      <c r="Q101" s="36" t="s">
        <v>50</v>
      </c>
      <c r="R101" s="36" t="s">
        <v>50</v>
      </c>
      <c r="S101" s="41">
        <f t="shared" si="17"/>
        <v>0</v>
      </c>
      <c r="T101" s="41">
        <f t="shared" si="18"/>
        <v>0</v>
      </c>
      <c r="U101" s="29">
        <v>0</v>
      </c>
      <c r="V101" s="30" t="s">
        <v>50</v>
      </c>
    </row>
    <row r="102" spans="1:22" ht="42.75" x14ac:dyDescent="0.25">
      <c r="A102" s="2" t="s">
        <v>80</v>
      </c>
      <c r="B102" s="5" t="s">
        <v>81</v>
      </c>
      <c r="C102" s="6" t="s">
        <v>52</v>
      </c>
      <c r="D102" s="41">
        <v>0</v>
      </c>
      <c r="E102" s="41">
        <v>0</v>
      </c>
      <c r="F102" s="36" t="s">
        <v>50</v>
      </c>
      <c r="G102" s="41">
        <v>0</v>
      </c>
      <c r="H102" s="41">
        <f t="shared" si="15"/>
        <v>0</v>
      </c>
      <c r="I102" s="41">
        <f t="shared" si="16"/>
        <v>0</v>
      </c>
      <c r="J102" s="41">
        <v>0</v>
      </c>
      <c r="K102" s="41">
        <v>0</v>
      </c>
      <c r="L102" s="41">
        <v>0</v>
      </c>
      <c r="M102" s="36">
        <v>0</v>
      </c>
      <c r="N102" s="41">
        <v>0</v>
      </c>
      <c r="O102" s="36">
        <v>0</v>
      </c>
      <c r="P102" s="41">
        <v>0</v>
      </c>
      <c r="Q102" s="36" t="s">
        <v>50</v>
      </c>
      <c r="R102" s="36" t="s">
        <v>50</v>
      </c>
      <c r="S102" s="41">
        <f t="shared" si="17"/>
        <v>0</v>
      </c>
      <c r="T102" s="41">
        <f t="shared" si="18"/>
        <v>0</v>
      </c>
      <c r="U102" s="29">
        <v>0</v>
      </c>
      <c r="V102" s="30" t="s">
        <v>50</v>
      </c>
    </row>
    <row r="103" spans="1:22" ht="128.25" x14ac:dyDescent="0.25">
      <c r="A103" s="2" t="s">
        <v>80</v>
      </c>
      <c r="B103" s="5" t="s">
        <v>82</v>
      </c>
      <c r="C103" s="6" t="s">
        <v>52</v>
      </c>
      <c r="D103" s="41">
        <v>0</v>
      </c>
      <c r="E103" s="41">
        <v>0</v>
      </c>
      <c r="F103" s="36" t="s">
        <v>50</v>
      </c>
      <c r="G103" s="41">
        <v>0</v>
      </c>
      <c r="H103" s="41">
        <f t="shared" si="15"/>
        <v>0</v>
      </c>
      <c r="I103" s="41">
        <f t="shared" si="16"/>
        <v>0</v>
      </c>
      <c r="J103" s="41">
        <v>0</v>
      </c>
      <c r="K103" s="41">
        <v>0</v>
      </c>
      <c r="L103" s="41">
        <v>0</v>
      </c>
      <c r="M103" s="36">
        <v>0</v>
      </c>
      <c r="N103" s="41">
        <v>0</v>
      </c>
      <c r="O103" s="36">
        <v>0</v>
      </c>
      <c r="P103" s="41">
        <v>0</v>
      </c>
      <c r="Q103" s="36" t="s">
        <v>50</v>
      </c>
      <c r="R103" s="36" t="s">
        <v>50</v>
      </c>
      <c r="S103" s="41">
        <f t="shared" si="17"/>
        <v>0</v>
      </c>
      <c r="T103" s="41">
        <f t="shared" si="18"/>
        <v>0</v>
      </c>
      <c r="U103" s="29">
        <v>0</v>
      </c>
      <c r="V103" s="30" t="s">
        <v>50</v>
      </c>
    </row>
    <row r="104" spans="1:22" ht="114" x14ac:dyDescent="0.25">
      <c r="A104" s="2" t="s">
        <v>80</v>
      </c>
      <c r="B104" s="5" t="s">
        <v>83</v>
      </c>
      <c r="C104" s="6" t="s">
        <v>52</v>
      </c>
      <c r="D104" s="41">
        <v>0</v>
      </c>
      <c r="E104" s="41">
        <v>0</v>
      </c>
      <c r="F104" s="36" t="s">
        <v>50</v>
      </c>
      <c r="G104" s="41">
        <v>0</v>
      </c>
      <c r="H104" s="41">
        <f t="shared" si="15"/>
        <v>0</v>
      </c>
      <c r="I104" s="41">
        <f t="shared" si="16"/>
        <v>0</v>
      </c>
      <c r="J104" s="41">
        <v>0</v>
      </c>
      <c r="K104" s="41">
        <v>0</v>
      </c>
      <c r="L104" s="41">
        <v>0</v>
      </c>
      <c r="M104" s="36">
        <v>0</v>
      </c>
      <c r="N104" s="41">
        <v>0</v>
      </c>
      <c r="O104" s="36">
        <v>0</v>
      </c>
      <c r="P104" s="41">
        <v>0</v>
      </c>
      <c r="Q104" s="36" t="s">
        <v>50</v>
      </c>
      <c r="R104" s="36" t="s">
        <v>50</v>
      </c>
      <c r="S104" s="41">
        <f t="shared" si="17"/>
        <v>0</v>
      </c>
      <c r="T104" s="41">
        <f t="shared" si="18"/>
        <v>0</v>
      </c>
      <c r="U104" s="29">
        <v>0</v>
      </c>
      <c r="V104" s="30" t="s">
        <v>50</v>
      </c>
    </row>
    <row r="105" spans="1:22" ht="114" x14ac:dyDescent="0.25">
      <c r="A105" s="2" t="s">
        <v>80</v>
      </c>
      <c r="B105" s="5" t="s">
        <v>84</v>
      </c>
      <c r="C105" s="6" t="s">
        <v>52</v>
      </c>
      <c r="D105" s="41">
        <v>0</v>
      </c>
      <c r="E105" s="41">
        <v>0</v>
      </c>
      <c r="F105" s="36" t="s">
        <v>50</v>
      </c>
      <c r="G105" s="41">
        <v>0</v>
      </c>
      <c r="H105" s="41">
        <f t="shared" si="15"/>
        <v>0</v>
      </c>
      <c r="I105" s="41" t="e">
        <f t="shared" si="16"/>
        <v>#VALUE!</v>
      </c>
      <c r="J105" s="41">
        <v>0</v>
      </c>
      <c r="K105" s="41">
        <v>0</v>
      </c>
      <c r="L105" s="41">
        <v>0</v>
      </c>
      <c r="M105" s="36">
        <v>0</v>
      </c>
      <c r="N105" s="41">
        <v>0</v>
      </c>
      <c r="O105" s="36" t="s">
        <v>50</v>
      </c>
      <c r="P105" s="41">
        <v>0</v>
      </c>
      <c r="Q105" s="36" t="s">
        <v>50</v>
      </c>
      <c r="R105" s="36" t="s">
        <v>50</v>
      </c>
      <c r="S105" s="41">
        <v>0</v>
      </c>
      <c r="T105" s="41">
        <v>0</v>
      </c>
      <c r="U105" s="41">
        <v>0</v>
      </c>
      <c r="V105" s="30" t="s">
        <v>50</v>
      </c>
    </row>
    <row r="106" spans="1:22" ht="42.75" x14ac:dyDescent="0.25">
      <c r="A106" s="2" t="s">
        <v>85</v>
      </c>
      <c r="B106" s="5" t="s">
        <v>81</v>
      </c>
      <c r="C106" s="6" t="s">
        <v>52</v>
      </c>
      <c r="D106" s="41">
        <v>0</v>
      </c>
      <c r="E106" s="41">
        <v>0</v>
      </c>
      <c r="F106" s="36" t="s">
        <v>50</v>
      </c>
      <c r="G106" s="41">
        <v>0</v>
      </c>
      <c r="H106" s="41">
        <f t="shared" si="15"/>
        <v>0</v>
      </c>
      <c r="I106" s="41">
        <v>0</v>
      </c>
      <c r="J106" s="41">
        <v>0</v>
      </c>
      <c r="K106" s="41">
        <v>0</v>
      </c>
      <c r="L106" s="41">
        <v>0</v>
      </c>
      <c r="M106" s="36">
        <v>0</v>
      </c>
      <c r="N106" s="41">
        <v>0</v>
      </c>
      <c r="O106" s="36" t="s">
        <v>50</v>
      </c>
      <c r="P106" s="41">
        <v>0</v>
      </c>
      <c r="Q106" s="36" t="s">
        <v>50</v>
      </c>
      <c r="R106" s="36" t="s">
        <v>50</v>
      </c>
      <c r="S106" s="41">
        <v>0</v>
      </c>
      <c r="T106" s="41">
        <v>0</v>
      </c>
      <c r="U106" s="41">
        <v>0</v>
      </c>
      <c r="V106" s="30" t="s">
        <v>50</v>
      </c>
    </row>
    <row r="107" spans="1:22" ht="128.25" x14ac:dyDescent="0.25">
      <c r="A107" s="2" t="s">
        <v>85</v>
      </c>
      <c r="B107" s="5" t="s">
        <v>82</v>
      </c>
      <c r="C107" s="6" t="s">
        <v>52</v>
      </c>
      <c r="D107" s="41">
        <v>0</v>
      </c>
      <c r="E107" s="41">
        <v>0</v>
      </c>
      <c r="F107" s="36" t="s">
        <v>50</v>
      </c>
      <c r="G107" s="41">
        <v>0</v>
      </c>
      <c r="H107" s="41">
        <f t="shared" si="15"/>
        <v>0</v>
      </c>
      <c r="I107" s="41">
        <f t="shared" si="16"/>
        <v>0</v>
      </c>
      <c r="J107" s="41">
        <v>0</v>
      </c>
      <c r="K107" s="41">
        <v>0</v>
      </c>
      <c r="L107" s="41">
        <v>0</v>
      </c>
      <c r="M107" s="36">
        <v>0</v>
      </c>
      <c r="N107" s="41">
        <v>0</v>
      </c>
      <c r="O107" s="36">
        <v>0</v>
      </c>
      <c r="P107" s="41">
        <v>0</v>
      </c>
      <c r="Q107" s="36" t="s">
        <v>50</v>
      </c>
      <c r="R107" s="36" t="s">
        <v>50</v>
      </c>
      <c r="S107" s="41">
        <f t="shared" si="17"/>
        <v>0</v>
      </c>
      <c r="T107" s="41">
        <f t="shared" si="18"/>
        <v>0</v>
      </c>
      <c r="U107" s="29">
        <v>0</v>
      </c>
      <c r="V107" s="30" t="s">
        <v>50</v>
      </c>
    </row>
    <row r="108" spans="1:22" ht="114" x14ac:dyDescent="0.25">
      <c r="A108" s="2" t="s">
        <v>85</v>
      </c>
      <c r="B108" s="5" t="s">
        <v>83</v>
      </c>
      <c r="C108" s="6" t="s">
        <v>52</v>
      </c>
      <c r="D108" s="41">
        <v>0</v>
      </c>
      <c r="E108" s="41">
        <v>0</v>
      </c>
      <c r="F108" s="36" t="s">
        <v>50</v>
      </c>
      <c r="G108" s="41">
        <v>0</v>
      </c>
      <c r="H108" s="41">
        <f t="shared" si="15"/>
        <v>0</v>
      </c>
      <c r="I108" s="41">
        <f t="shared" si="16"/>
        <v>0</v>
      </c>
      <c r="J108" s="41">
        <v>0</v>
      </c>
      <c r="K108" s="41">
        <v>0</v>
      </c>
      <c r="L108" s="41">
        <v>0</v>
      </c>
      <c r="M108" s="36">
        <v>0</v>
      </c>
      <c r="N108" s="41">
        <v>0</v>
      </c>
      <c r="O108" s="36">
        <v>0</v>
      </c>
      <c r="P108" s="41">
        <v>0</v>
      </c>
      <c r="Q108" s="36" t="s">
        <v>50</v>
      </c>
      <c r="R108" s="36" t="s">
        <v>50</v>
      </c>
      <c r="S108" s="41">
        <f t="shared" si="17"/>
        <v>0</v>
      </c>
      <c r="T108" s="41">
        <f t="shared" si="18"/>
        <v>0</v>
      </c>
      <c r="U108" s="29">
        <v>0</v>
      </c>
      <c r="V108" s="30" t="s">
        <v>50</v>
      </c>
    </row>
    <row r="109" spans="1:22" ht="114" x14ac:dyDescent="0.25">
      <c r="A109" s="2" t="s">
        <v>85</v>
      </c>
      <c r="B109" s="5" t="s">
        <v>86</v>
      </c>
      <c r="C109" s="6" t="s">
        <v>52</v>
      </c>
      <c r="D109" s="41">
        <v>0</v>
      </c>
      <c r="E109" s="41">
        <v>0</v>
      </c>
      <c r="F109" s="36" t="s">
        <v>50</v>
      </c>
      <c r="G109" s="41">
        <v>0</v>
      </c>
      <c r="H109" s="41">
        <f t="shared" si="15"/>
        <v>0</v>
      </c>
      <c r="I109" s="41">
        <f t="shared" si="16"/>
        <v>0</v>
      </c>
      <c r="J109" s="41">
        <v>0</v>
      </c>
      <c r="K109" s="41">
        <v>0</v>
      </c>
      <c r="L109" s="41">
        <v>0</v>
      </c>
      <c r="M109" s="36">
        <v>0</v>
      </c>
      <c r="N109" s="41">
        <v>0</v>
      </c>
      <c r="O109" s="36">
        <v>0</v>
      </c>
      <c r="P109" s="41">
        <v>0</v>
      </c>
      <c r="Q109" s="36" t="s">
        <v>50</v>
      </c>
      <c r="R109" s="36" t="s">
        <v>50</v>
      </c>
      <c r="S109" s="41">
        <f t="shared" si="17"/>
        <v>0</v>
      </c>
      <c r="T109" s="41">
        <f t="shared" si="18"/>
        <v>0</v>
      </c>
      <c r="U109" s="29">
        <v>0</v>
      </c>
      <c r="V109" s="30" t="s">
        <v>50</v>
      </c>
    </row>
    <row r="110" spans="1:22" ht="99.75" x14ac:dyDescent="0.25">
      <c r="A110" s="2" t="s">
        <v>87</v>
      </c>
      <c r="B110" s="5" t="s">
        <v>88</v>
      </c>
      <c r="C110" s="6" t="s">
        <v>52</v>
      </c>
      <c r="D110" s="41">
        <v>0.80914898757497855</v>
      </c>
      <c r="E110" s="41">
        <f>E111+E124</f>
        <v>7.3034652000000005E-2</v>
      </c>
      <c r="F110" s="36" t="s">
        <v>50</v>
      </c>
      <c r="G110" s="41">
        <v>2.4154257283199998</v>
      </c>
      <c r="H110" s="41">
        <f t="shared" si="15"/>
        <v>2.4154257283199998</v>
      </c>
      <c r="I110" s="41">
        <f t="shared" si="16"/>
        <v>0.71498455999999999</v>
      </c>
      <c r="J110" s="41">
        <f>J111</f>
        <v>0.60385643207999995</v>
      </c>
      <c r="K110" s="41">
        <f>K111+K124</f>
        <v>0.36467053999999999</v>
      </c>
      <c r="L110" s="41">
        <f>L111</f>
        <v>0.60385643207999995</v>
      </c>
      <c r="M110" s="36">
        <f>M111+M124</f>
        <v>0.21349897000000001</v>
      </c>
      <c r="N110" s="41">
        <f>N111</f>
        <v>0.60385643207999995</v>
      </c>
      <c r="O110" s="36">
        <f>O111+O124</f>
        <v>0.13681504999999999</v>
      </c>
      <c r="P110" s="41">
        <f>P111</f>
        <v>0.60385643207999995</v>
      </c>
      <c r="Q110" s="36" t="s">
        <v>50</v>
      </c>
      <c r="R110" s="36" t="s">
        <v>50</v>
      </c>
      <c r="S110" s="41">
        <f t="shared" si="17"/>
        <v>1.7004411683199998</v>
      </c>
      <c r="T110" s="41">
        <f t="shared" si="18"/>
        <v>-1.0965847362399999</v>
      </c>
      <c r="U110" s="29">
        <f t="shared" ref="U110:U137" si="19">(K110+M110+O110)/(J110+L110+N110)*100-100</f>
        <v>-60.532309667425629</v>
      </c>
      <c r="V110" s="30" t="s">
        <v>50</v>
      </c>
    </row>
    <row r="111" spans="1:22" ht="85.5" x14ac:dyDescent="0.25">
      <c r="A111" s="2" t="s">
        <v>89</v>
      </c>
      <c r="B111" s="5" t="s">
        <v>90</v>
      </c>
      <c r="C111" s="6" t="s">
        <v>52</v>
      </c>
      <c r="D111" s="41">
        <v>0.38333333333333336</v>
      </c>
      <c r="E111" s="41">
        <f>SUM(E112:E118)</f>
        <v>7.3034652000000005E-2</v>
      </c>
      <c r="F111" s="36" t="s">
        <v>50</v>
      </c>
      <c r="G111" s="41">
        <v>2.4154257283199998</v>
      </c>
      <c r="H111" s="41">
        <f t="shared" si="15"/>
        <v>2.4154257283199998</v>
      </c>
      <c r="I111" s="41">
        <f t="shared" si="16"/>
        <v>0.71498455999999999</v>
      </c>
      <c r="J111" s="41">
        <f>SUM(J112:J122)</f>
        <v>0.60385643207999995</v>
      </c>
      <c r="K111" s="57">
        <f>SUM(K112:K118)</f>
        <v>0.36467053999999999</v>
      </c>
      <c r="L111" s="41">
        <f>L112</f>
        <v>0.60385643207999995</v>
      </c>
      <c r="M111" s="36">
        <f>SUM(M112:M121)</f>
        <v>0.21349897000000001</v>
      </c>
      <c r="N111" s="41">
        <f>N112</f>
        <v>0.60385643207999995</v>
      </c>
      <c r="O111" s="36">
        <f>SUM(O112:O123)</f>
        <v>0.13681504999999999</v>
      </c>
      <c r="P111" s="41">
        <f>P112</f>
        <v>0.60385643207999995</v>
      </c>
      <c r="Q111" s="36" t="s">
        <v>50</v>
      </c>
      <c r="R111" s="36" t="s">
        <v>50</v>
      </c>
      <c r="S111" s="41">
        <f t="shared" si="17"/>
        <v>1.7004411683199998</v>
      </c>
      <c r="T111" s="41">
        <f t="shared" si="18"/>
        <v>-1.0965847362399999</v>
      </c>
      <c r="U111" s="29">
        <f t="shared" si="19"/>
        <v>-60.532309667425629</v>
      </c>
      <c r="V111" s="30" t="s">
        <v>50</v>
      </c>
    </row>
    <row r="112" spans="1:22" ht="45" x14ac:dyDescent="0.25">
      <c r="A112" s="10" t="s">
        <v>89</v>
      </c>
      <c r="B112" s="11" t="s">
        <v>91</v>
      </c>
      <c r="C112" s="12" t="s">
        <v>92</v>
      </c>
      <c r="D112" s="39">
        <v>0.38333333333333336</v>
      </c>
      <c r="E112" s="39">
        <v>0</v>
      </c>
      <c r="F112" s="37" t="s">
        <v>50</v>
      </c>
      <c r="G112" s="39">
        <v>2.4154257283199998</v>
      </c>
      <c r="H112" s="39">
        <f t="shared" si="15"/>
        <v>2.4154257283199998</v>
      </c>
      <c r="I112" s="39">
        <f t="shared" si="16"/>
        <v>0</v>
      </c>
      <c r="J112" s="39">
        <v>0.60385643207999995</v>
      </c>
      <c r="K112" s="39">
        <v>0</v>
      </c>
      <c r="L112" s="39">
        <v>0.60385643207999995</v>
      </c>
      <c r="M112" s="37">
        <v>0</v>
      </c>
      <c r="N112" s="39">
        <v>0.60385643207999995</v>
      </c>
      <c r="O112" s="37">
        <v>0</v>
      </c>
      <c r="P112" s="39">
        <v>0.60385643207999995</v>
      </c>
      <c r="Q112" s="37" t="s">
        <v>50</v>
      </c>
      <c r="R112" s="37" t="s">
        <v>50</v>
      </c>
      <c r="S112" s="39">
        <f t="shared" si="17"/>
        <v>2.4154257283199998</v>
      </c>
      <c r="T112" s="39">
        <f t="shared" si="18"/>
        <v>-1.8115692962399998</v>
      </c>
      <c r="U112" s="40">
        <f t="shared" si="19"/>
        <v>-100</v>
      </c>
      <c r="V112" s="86" t="s">
        <v>721</v>
      </c>
    </row>
    <row r="113" spans="1:22" ht="55.5" customHeight="1" x14ac:dyDescent="0.25">
      <c r="A113" s="10" t="s">
        <v>89</v>
      </c>
      <c r="B113" s="42" t="s">
        <v>326</v>
      </c>
      <c r="C113" s="43" t="s">
        <v>222</v>
      </c>
      <c r="D113" s="39">
        <v>0</v>
      </c>
      <c r="E113" s="39">
        <v>0</v>
      </c>
      <c r="F113" s="37" t="s">
        <v>50</v>
      </c>
      <c r="G113" s="39">
        <v>0</v>
      </c>
      <c r="H113" s="39">
        <f t="shared" si="15"/>
        <v>0</v>
      </c>
      <c r="I113" s="39">
        <f t="shared" si="16"/>
        <v>9.6648110000000009E-2</v>
      </c>
      <c r="J113" s="39">
        <v>0</v>
      </c>
      <c r="K113" s="39">
        <f>96.64811/1000</f>
        <v>9.6648110000000009E-2</v>
      </c>
      <c r="L113" s="39">
        <v>0</v>
      </c>
      <c r="M113" s="37">
        <v>0</v>
      </c>
      <c r="N113" s="39">
        <v>0</v>
      </c>
      <c r="O113" s="37">
        <v>0</v>
      </c>
      <c r="P113" s="39">
        <v>0</v>
      </c>
      <c r="Q113" s="37" t="s">
        <v>50</v>
      </c>
      <c r="R113" s="37" t="s">
        <v>50</v>
      </c>
      <c r="S113" s="39">
        <f t="shared" si="17"/>
        <v>-9.6648110000000009E-2</v>
      </c>
      <c r="T113" s="39">
        <f t="shared" si="18"/>
        <v>9.6648110000000009E-2</v>
      </c>
      <c r="U113" s="40">
        <v>100</v>
      </c>
      <c r="V113" s="87"/>
    </row>
    <row r="114" spans="1:22" ht="54" customHeight="1" x14ac:dyDescent="0.25">
      <c r="A114" s="10" t="s">
        <v>89</v>
      </c>
      <c r="B114" s="42" t="s">
        <v>327</v>
      </c>
      <c r="C114" s="43" t="s">
        <v>256</v>
      </c>
      <c r="D114" s="39">
        <v>0</v>
      </c>
      <c r="E114" s="39">
        <v>0</v>
      </c>
      <c r="F114" s="37" t="s">
        <v>50</v>
      </c>
      <c r="G114" s="39">
        <v>0</v>
      </c>
      <c r="H114" s="39">
        <f t="shared" si="15"/>
        <v>0</v>
      </c>
      <c r="I114" s="39">
        <f t="shared" si="16"/>
        <v>0.16561473000000002</v>
      </c>
      <c r="J114" s="39">
        <v>0</v>
      </c>
      <c r="K114" s="39">
        <f>165.61473/1000</f>
        <v>0.16561473000000002</v>
      </c>
      <c r="L114" s="39">
        <v>0</v>
      </c>
      <c r="M114" s="37">
        <v>0</v>
      </c>
      <c r="N114" s="39">
        <v>0</v>
      </c>
      <c r="O114" s="37">
        <v>0</v>
      </c>
      <c r="P114" s="39">
        <v>0</v>
      </c>
      <c r="Q114" s="37" t="s">
        <v>50</v>
      </c>
      <c r="R114" s="37" t="s">
        <v>50</v>
      </c>
      <c r="S114" s="39">
        <f t="shared" si="17"/>
        <v>-0.16561473000000002</v>
      </c>
      <c r="T114" s="39">
        <f t="shared" si="18"/>
        <v>0.16561473000000002</v>
      </c>
      <c r="U114" s="40">
        <v>100</v>
      </c>
      <c r="V114" s="87"/>
    </row>
    <row r="115" spans="1:22" ht="45" x14ac:dyDescent="0.25">
      <c r="A115" s="10" t="s">
        <v>89</v>
      </c>
      <c r="B115" s="42" t="s">
        <v>328</v>
      </c>
      <c r="C115" s="43" t="s">
        <v>254</v>
      </c>
      <c r="D115" s="39">
        <v>0</v>
      </c>
      <c r="E115" s="39">
        <v>0</v>
      </c>
      <c r="F115" s="37" t="s">
        <v>50</v>
      </c>
      <c r="G115" s="39">
        <v>0</v>
      </c>
      <c r="H115" s="39">
        <f t="shared" si="15"/>
        <v>0</v>
      </c>
      <c r="I115" s="39">
        <f t="shared" si="16"/>
        <v>9.3945459999999995E-2</v>
      </c>
      <c r="J115" s="39">
        <v>0</v>
      </c>
      <c r="K115" s="39">
        <f>93.94546/1000</f>
        <v>9.3945459999999995E-2</v>
      </c>
      <c r="L115" s="39">
        <v>0</v>
      </c>
      <c r="M115" s="37">
        <v>0</v>
      </c>
      <c r="N115" s="39">
        <v>0</v>
      </c>
      <c r="O115" s="37">
        <v>0</v>
      </c>
      <c r="P115" s="39">
        <v>0</v>
      </c>
      <c r="Q115" s="37" t="s">
        <v>50</v>
      </c>
      <c r="R115" s="37" t="s">
        <v>50</v>
      </c>
      <c r="S115" s="39">
        <f t="shared" si="17"/>
        <v>-9.3945459999999995E-2</v>
      </c>
      <c r="T115" s="39">
        <f t="shared" si="18"/>
        <v>9.3945459999999995E-2</v>
      </c>
      <c r="U115" s="40">
        <v>100</v>
      </c>
      <c r="V115" s="87"/>
    </row>
    <row r="116" spans="1:22" ht="45" x14ac:dyDescent="0.25">
      <c r="A116" s="10" t="s">
        <v>89</v>
      </c>
      <c r="B116" s="42" t="s">
        <v>329</v>
      </c>
      <c r="C116" s="43" t="s">
        <v>228</v>
      </c>
      <c r="D116" s="39">
        <v>0</v>
      </c>
      <c r="E116" s="39">
        <v>0</v>
      </c>
      <c r="F116" s="37" t="s">
        <v>50</v>
      </c>
      <c r="G116" s="39">
        <v>0</v>
      </c>
      <c r="H116" s="39">
        <f t="shared" si="15"/>
        <v>0</v>
      </c>
      <c r="I116" s="39">
        <f t="shared" si="16"/>
        <v>8.4622399999999993E-3</v>
      </c>
      <c r="J116" s="39">
        <v>0</v>
      </c>
      <c r="K116" s="39">
        <f>8.46224/1000</f>
        <v>8.4622399999999993E-3</v>
      </c>
      <c r="L116" s="39">
        <v>0</v>
      </c>
      <c r="M116" s="37">
        <v>0</v>
      </c>
      <c r="N116" s="39">
        <v>0</v>
      </c>
      <c r="O116" s="37">
        <v>0</v>
      </c>
      <c r="P116" s="39">
        <v>0</v>
      </c>
      <c r="Q116" s="37" t="s">
        <v>50</v>
      </c>
      <c r="R116" s="37" t="s">
        <v>50</v>
      </c>
      <c r="S116" s="39">
        <f t="shared" si="17"/>
        <v>-8.4622399999999993E-3</v>
      </c>
      <c r="T116" s="39">
        <f t="shared" si="18"/>
        <v>8.4622399999999993E-3</v>
      </c>
      <c r="U116" s="40">
        <v>100</v>
      </c>
      <c r="V116" s="87"/>
    </row>
    <row r="117" spans="1:22" ht="45" x14ac:dyDescent="0.25">
      <c r="A117" s="10" t="s">
        <v>89</v>
      </c>
      <c r="B117" s="42" t="s">
        <v>330</v>
      </c>
      <c r="C117" s="43" t="s">
        <v>230</v>
      </c>
      <c r="D117" s="39">
        <v>0</v>
      </c>
      <c r="E117" s="39">
        <v>0</v>
      </c>
      <c r="F117" s="37" t="s">
        <v>50</v>
      </c>
      <c r="G117" s="39">
        <v>0</v>
      </c>
      <c r="H117" s="39">
        <f t="shared" si="15"/>
        <v>0</v>
      </c>
      <c r="I117" s="39">
        <f t="shared" si="16"/>
        <v>5.1739400000000005E-2</v>
      </c>
      <c r="J117" s="39">
        <v>0</v>
      </c>
      <c r="K117" s="39">
        <v>0</v>
      </c>
      <c r="L117" s="39">
        <v>0</v>
      </c>
      <c r="M117" s="37">
        <v>5.1739400000000005E-2</v>
      </c>
      <c r="N117" s="39">
        <v>0</v>
      </c>
      <c r="O117" s="37">
        <v>0</v>
      </c>
      <c r="P117" s="39">
        <v>0</v>
      </c>
      <c r="Q117" s="37" t="s">
        <v>50</v>
      </c>
      <c r="R117" s="37" t="s">
        <v>50</v>
      </c>
      <c r="S117" s="39">
        <f t="shared" si="17"/>
        <v>-5.1739400000000005E-2</v>
      </c>
      <c r="T117" s="39">
        <f t="shared" si="18"/>
        <v>5.1739400000000005E-2</v>
      </c>
      <c r="U117" s="40">
        <v>100</v>
      </c>
      <c r="V117" s="88"/>
    </row>
    <row r="118" spans="1:22" ht="49.5" customHeight="1" x14ac:dyDescent="0.25">
      <c r="A118" s="10" t="s">
        <v>89</v>
      </c>
      <c r="B118" s="42" t="s">
        <v>331</v>
      </c>
      <c r="C118" s="43" t="s">
        <v>332</v>
      </c>
      <c r="D118" s="39">
        <v>0</v>
      </c>
      <c r="E118" s="39">
        <f>60862.21*1.2/1000000</f>
        <v>7.3034652000000005E-2</v>
      </c>
      <c r="F118" s="37" t="s">
        <v>50</v>
      </c>
      <c r="G118" s="39">
        <v>0</v>
      </c>
      <c r="H118" s="39">
        <f t="shared" si="15"/>
        <v>0</v>
      </c>
      <c r="I118" s="39">
        <f t="shared" si="16"/>
        <v>0</v>
      </c>
      <c r="J118" s="39">
        <v>0</v>
      </c>
      <c r="K118" s="39">
        <v>0</v>
      </c>
      <c r="L118" s="39">
        <v>0</v>
      </c>
      <c r="M118" s="37">
        <v>0</v>
      </c>
      <c r="N118" s="39">
        <v>0</v>
      </c>
      <c r="O118" s="37">
        <v>0</v>
      </c>
      <c r="P118" s="39">
        <v>0</v>
      </c>
      <c r="Q118" s="37" t="s">
        <v>50</v>
      </c>
      <c r="R118" s="37" t="s">
        <v>50</v>
      </c>
      <c r="S118" s="39">
        <f t="shared" si="17"/>
        <v>0</v>
      </c>
      <c r="T118" s="39">
        <f t="shared" si="18"/>
        <v>0</v>
      </c>
      <c r="U118" s="40">
        <v>0</v>
      </c>
      <c r="V118" s="32" t="s">
        <v>50</v>
      </c>
    </row>
    <row r="119" spans="1:22" ht="45" customHeight="1" x14ac:dyDescent="0.25">
      <c r="A119" s="53" t="s">
        <v>89</v>
      </c>
      <c r="B119" s="42" t="s">
        <v>536</v>
      </c>
      <c r="C119" s="43" t="s">
        <v>230</v>
      </c>
      <c r="D119" s="39">
        <v>0</v>
      </c>
      <c r="E119" s="39">
        <v>0</v>
      </c>
      <c r="F119" s="37" t="s">
        <v>50</v>
      </c>
      <c r="G119" s="39">
        <v>0</v>
      </c>
      <c r="H119" s="39">
        <f t="shared" si="15"/>
        <v>0</v>
      </c>
      <c r="I119" s="39">
        <f t="shared" si="16"/>
        <v>7.0547250000000006E-2</v>
      </c>
      <c r="J119" s="39">
        <v>0</v>
      </c>
      <c r="K119" s="39">
        <v>0</v>
      </c>
      <c r="L119" s="39">
        <v>0</v>
      </c>
      <c r="M119" s="37">
        <f>70.54725/1000</f>
        <v>7.0547250000000006E-2</v>
      </c>
      <c r="N119" s="39">
        <v>0</v>
      </c>
      <c r="O119" s="37">
        <v>0</v>
      </c>
      <c r="P119" s="39">
        <v>0</v>
      </c>
      <c r="Q119" s="37" t="s">
        <v>50</v>
      </c>
      <c r="R119" s="37" t="s">
        <v>50</v>
      </c>
      <c r="S119" s="39">
        <f t="shared" si="17"/>
        <v>-7.0547250000000006E-2</v>
      </c>
      <c r="T119" s="39">
        <f t="shared" si="18"/>
        <v>7.0547250000000006E-2</v>
      </c>
      <c r="U119" s="40">
        <v>100</v>
      </c>
      <c r="V119" s="82" t="s">
        <v>721</v>
      </c>
    </row>
    <row r="120" spans="1:22" ht="113.25" customHeight="1" x14ac:dyDescent="0.25">
      <c r="A120" s="53" t="s">
        <v>89</v>
      </c>
      <c r="B120" s="42" t="s">
        <v>676</v>
      </c>
      <c r="C120" s="43" t="s">
        <v>234</v>
      </c>
      <c r="D120" s="39">
        <v>0</v>
      </c>
      <c r="E120" s="39">
        <v>0</v>
      </c>
      <c r="F120" s="37" t="s">
        <v>50</v>
      </c>
      <c r="G120" s="39">
        <v>0</v>
      </c>
      <c r="H120" s="39">
        <f t="shared" si="15"/>
        <v>0</v>
      </c>
      <c r="I120" s="39">
        <f t="shared" si="16"/>
        <v>8.8717099999999997E-3</v>
      </c>
      <c r="J120" s="39">
        <v>0</v>
      </c>
      <c r="K120" s="39">
        <v>0</v>
      </c>
      <c r="L120" s="39">
        <v>0</v>
      </c>
      <c r="M120" s="37">
        <f>8.87171/1000</f>
        <v>8.8717099999999997E-3</v>
      </c>
      <c r="N120" s="39">
        <v>0</v>
      </c>
      <c r="O120" s="37">
        <v>0</v>
      </c>
      <c r="P120" s="39">
        <v>0</v>
      </c>
      <c r="Q120" s="37" t="s">
        <v>50</v>
      </c>
      <c r="R120" s="37" t="s">
        <v>50</v>
      </c>
      <c r="S120" s="39">
        <f t="shared" si="17"/>
        <v>-8.8717099999999997E-3</v>
      </c>
      <c r="T120" s="39">
        <f t="shared" si="18"/>
        <v>8.8717099999999997E-3</v>
      </c>
      <c r="U120" s="40">
        <v>100</v>
      </c>
      <c r="V120" s="84"/>
    </row>
    <row r="121" spans="1:22" ht="45" x14ac:dyDescent="0.25">
      <c r="A121" s="53" t="s">
        <v>89</v>
      </c>
      <c r="B121" s="42" t="s">
        <v>540</v>
      </c>
      <c r="C121" s="43" t="s">
        <v>541</v>
      </c>
      <c r="D121" s="39">
        <v>0</v>
      </c>
      <c r="E121" s="39">
        <v>0</v>
      </c>
      <c r="F121" s="37" t="s">
        <v>50</v>
      </c>
      <c r="G121" s="39">
        <v>0</v>
      </c>
      <c r="H121" s="39">
        <f t="shared" si="15"/>
        <v>0</v>
      </c>
      <c r="I121" s="39">
        <f t="shared" si="16"/>
        <v>8.2340609999999995E-2</v>
      </c>
      <c r="J121" s="39">
        <v>0</v>
      </c>
      <c r="K121" s="39">
        <v>0</v>
      </c>
      <c r="L121" s="39">
        <v>0</v>
      </c>
      <c r="M121" s="37">
        <f>82.34061/1000</f>
        <v>8.2340609999999995E-2</v>
      </c>
      <c r="N121" s="39">
        <v>0</v>
      </c>
      <c r="O121" s="37">
        <v>0</v>
      </c>
      <c r="P121" s="39">
        <v>0</v>
      </c>
      <c r="Q121" s="37" t="s">
        <v>50</v>
      </c>
      <c r="R121" s="37" t="s">
        <v>50</v>
      </c>
      <c r="S121" s="39">
        <f t="shared" si="17"/>
        <v>-8.2340609999999995E-2</v>
      </c>
      <c r="T121" s="39">
        <f t="shared" si="18"/>
        <v>8.2340609999999995E-2</v>
      </c>
      <c r="U121" s="40">
        <v>100</v>
      </c>
      <c r="V121" s="82" t="s">
        <v>721</v>
      </c>
    </row>
    <row r="122" spans="1:22" ht="150" customHeight="1" x14ac:dyDescent="0.25">
      <c r="A122" s="53" t="s">
        <v>89</v>
      </c>
      <c r="B122" s="42" t="s">
        <v>679</v>
      </c>
      <c r="C122" s="43" t="s">
        <v>631</v>
      </c>
      <c r="D122" s="39">
        <v>0</v>
      </c>
      <c r="E122" s="39">
        <v>0</v>
      </c>
      <c r="F122" s="37" t="s">
        <v>50</v>
      </c>
      <c r="G122" s="39">
        <v>0</v>
      </c>
      <c r="H122" s="39">
        <f t="shared" si="15"/>
        <v>0</v>
      </c>
      <c r="I122" s="39">
        <f t="shared" si="16"/>
        <v>6.3493539999999987E-2</v>
      </c>
      <c r="J122" s="39">
        <v>0</v>
      </c>
      <c r="K122" s="39">
        <v>0</v>
      </c>
      <c r="L122" s="39">
        <v>0</v>
      </c>
      <c r="M122" s="37">
        <v>0</v>
      </c>
      <c r="N122" s="39">
        <v>0</v>
      </c>
      <c r="O122" s="37">
        <v>6.3493539999999987E-2</v>
      </c>
      <c r="P122" s="39">
        <v>0</v>
      </c>
      <c r="Q122" s="37" t="s">
        <v>50</v>
      </c>
      <c r="R122" s="37" t="s">
        <v>50</v>
      </c>
      <c r="S122" s="39">
        <f t="shared" si="17"/>
        <v>-6.3493539999999987E-2</v>
      </c>
      <c r="T122" s="39">
        <f t="shared" si="18"/>
        <v>6.3493539999999987E-2</v>
      </c>
      <c r="U122" s="40">
        <v>100</v>
      </c>
      <c r="V122" s="83"/>
    </row>
    <row r="123" spans="1:22" ht="45" x14ac:dyDescent="0.25">
      <c r="A123" s="53" t="s">
        <v>89</v>
      </c>
      <c r="B123" s="42" t="s">
        <v>680</v>
      </c>
      <c r="C123" s="43" t="s">
        <v>633</v>
      </c>
      <c r="D123" s="39">
        <v>0</v>
      </c>
      <c r="E123" s="39">
        <v>0</v>
      </c>
      <c r="F123" s="37" t="s">
        <v>50</v>
      </c>
      <c r="G123" s="39">
        <v>0</v>
      </c>
      <c r="H123" s="39">
        <f t="shared" si="15"/>
        <v>0</v>
      </c>
      <c r="I123" s="39">
        <f t="shared" si="16"/>
        <v>7.3321510000000006E-2</v>
      </c>
      <c r="J123" s="39">
        <v>0</v>
      </c>
      <c r="K123" s="39">
        <v>0</v>
      </c>
      <c r="L123" s="39">
        <v>0</v>
      </c>
      <c r="M123" s="37">
        <v>0</v>
      </c>
      <c r="N123" s="39">
        <v>0</v>
      </c>
      <c r="O123" s="37">
        <v>7.3321510000000006E-2</v>
      </c>
      <c r="P123" s="39">
        <v>0</v>
      </c>
      <c r="Q123" s="37" t="s">
        <v>50</v>
      </c>
      <c r="R123" s="37" t="s">
        <v>50</v>
      </c>
      <c r="S123" s="39">
        <f t="shared" si="17"/>
        <v>-7.3321510000000006E-2</v>
      </c>
      <c r="T123" s="39">
        <f t="shared" si="18"/>
        <v>7.3321510000000006E-2</v>
      </c>
      <c r="U123" s="40">
        <v>100</v>
      </c>
      <c r="V123" s="84"/>
    </row>
    <row r="124" spans="1:22" ht="89.25" customHeight="1" x14ac:dyDescent="0.25">
      <c r="A124" s="2" t="s">
        <v>93</v>
      </c>
      <c r="B124" s="5" t="s">
        <v>94</v>
      </c>
      <c r="C124" s="6" t="s">
        <v>52</v>
      </c>
      <c r="D124" s="41">
        <v>0</v>
      </c>
      <c r="E124" s="41">
        <v>0</v>
      </c>
      <c r="F124" s="36">
        <v>0</v>
      </c>
      <c r="G124" s="41">
        <v>0</v>
      </c>
      <c r="H124" s="41">
        <f t="shared" si="15"/>
        <v>0</v>
      </c>
      <c r="I124" s="41">
        <f t="shared" si="16"/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36">
        <v>0</v>
      </c>
      <c r="P124" s="41">
        <v>0</v>
      </c>
      <c r="Q124" s="36" t="s">
        <v>50</v>
      </c>
      <c r="R124" s="36" t="s">
        <v>50</v>
      </c>
      <c r="S124" s="41">
        <f t="shared" si="17"/>
        <v>0</v>
      </c>
      <c r="T124" s="41">
        <f t="shared" si="18"/>
        <v>0</v>
      </c>
      <c r="U124" s="29">
        <v>0</v>
      </c>
      <c r="V124" s="30" t="s">
        <v>50</v>
      </c>
    </row>
    <row r="125" spans="1:22" ht="42.75" x14ac:dyDescent="0.25">
      <c r="A125" s="2" t="s">
        <v>25</v>
      </c>
      <c r="B125" s="5" t="s">
        <v>95</v>
      </c>
      <c r="C125" s="6" t="s">
        <v>52</v>
      </c>
      <c r="D125" s="41">
        <v>16.520314779488359</v>
      </c>
      <c r="E125" s="41">
        <f>E126+E238</f>
        <v>6.3363848039999997</v>
      </c>
      <c r="F125" s="36" t="s">
        <v>50</v>
      </c>
      <c r="G125" s="41">
        <v>133.95458524213561</v>
      </c>
      <c r="H125" s="41">
        <f t="shared" si="15"/>
        <v>133.95458524213561</v>
      </c>
      <c r="I125" s="41">
        <f t="shared" si="16"/>
        <v>45.644647739999996</v>
      </c>
      <c r="J125" s="41">
        <f t="shared" ref="J125:P125" si="20">J126+J238</f>
        <v>6.5123512313559324</v>
      </c>
      <c r="K125" s="41">
        <f t="shared" si="20"/>
        <v>21.773626309999997</v>
      </c>
      <c r="L125" s="41">
        <f t="shared" si="20"/>
        <v>69.937562292203381</v>
      </c>
      <c r="M125" s="36">
        <f t="shared" si="20"/>
        <v>10.167173069999997</v>
      </c>
      <c r="N125" s="41">
        <f t="shared" si="20"/>
        <v>32.387612374508493</v>
      </c>
      <c r="O125" s="36">
        <f t="shared" si="20"/>
        <v>13.703848360000002</v>
      </c>
      <c r="P125" s="41">
        <f t="shared" si="20"/>
        <v>25.117059344067798</v>
      </c>
      <c r="Q125" s="36" t="s">
        <v>50</v>
      </c>
      <c r="R125" s="36" t="s">
        <v>50</v>
      </c>
      <c r="S125" s="41">
        <f t="shared" si="17"/>
        <v>88.309937502135611</v>
      </c>
      <c r="T125" s="41">
        <f t="shared" si="18"/>
        <v>-63.192878158067813</v>
      </c>
      <c r="U125" s="29">
        <f t="shared" si="19"/>
        <v>-58.061663600522614</v>
      </c>
      <c r="V125" s="30" t="s">
        <v>50</v>
      </c>
    </row>
    <row r="126" spans="1:22" ht="71.25" x14ac:dyDescent="0.25">
      <c r="A126" s="2" t="s">
        <v>26</v>
      </c>
      <c r="B126" s="5" t="s">
        <v>96</v>
      </c>
      <c r="C126" s="6" t="s">
        <v>52</v>
      </c>
      <c r="D126" s="41">
        <v>3.7433373702742676</v>
      </c>
      <c r="E126" s="41">
        <f>E127++E140</f>
        <v>0.15397043999999999</v>
      </c>
      <c r="F126" s="36" t="s">
        <v>50</v>
      </c>
      <c r="G126" s="41">
        <v>43.066782132135614</v>
      </c>
      <c r="H126" s="41">
        <f t="shared" si="15"/>
        <v>43.066782132135614</v>
      </c>
      <c r="I126" s="41">
        <f t="shared" si="16"/>
        <v>23.407940570000001</v>
      </c>
      <c r="J126" s="41">
        <f>J127++J140+J331</f>
        <v>1.1750550513559319</v>
      </c>
      <c r="K126" s="41">
        <f>K127++K140</f>
        <v>15.586592619999998</v>
      </c>
      <c r="L126" s="41">
        <f>L127++L140+L331</f>
        <v>16.346707502203394</v>
      </c>
      <c r="M126" s="36">
        <f>M127++M140</f>
        <v>1.82481157</v>
      </c>
      <c r="N126" s="41">
        <f>SUM(N127+N140)</f>
        <v>20.454803144508489</v>
      </c>
      <c r="O126" s="36">
        <f>O127++O140</f>
        <v>5.9965363800000002</v>
      </c>
      <c r="P126" s="41">
        <f>P127++P140+P331</f>
        <v>5.0902164340677967</v>
      </c>
      <c r="Q126" s="36" t="s">
        <v>50</v>
      </c>
      <c r="R126" s="36" t="s">
        <v>50</v>
      </c>
      <c r="S126" s="41">
        <f t="shared" si="17"/>
        <v>19.658841562135613</v>
      </c>
      <c r="T126" s="41">
        <f t="shared" si="18"/>
        <v>-14.568625128067815</v>
      </c>
      <c r="U126" s="29">
        <f t="shared" si="19"/>
        <v>-38.362144812923518</v>
      </c>
      <c r="V126" s="30" t="s">
        <v>50</v>
      </c>
    </row>
    <row r="127" spans="1:22" ht="42.75" x14ac:dyDescent="0.25">
      <c r="A127" s="2" t="s">
        <v>27</v>
      </c>
      <c r="B127" s="5" t="s">
        <v>97</v>
      </c>
      <c r="C127" s="6" t="s">
        <v>52</v>
      </c>
      <c r="D127" s="41">
        <v>5.2311728260497001E-2</v>
      </c>
      <c r="E127" s="41">
        <f>SUM(E128:E138)</f>
        <v>0</v>
      </c>
      <c r="F127" s="36" t="s">
        <v>50</v>
      </c>
      <c r="G127" s="41">
        <v>0.34664822400000012</v>
      </c>
      <c r="H127" s="41">
        <f t="shared" si="15"/>
        <v>0.34664822400000012</v>
      </c>
      <c r="I127" s="41">
        <f t="shared" si="16"/>
        <v>0.37755216000000003</v>
      </c>
      <c r="J127" s="41">
        <f>SUM(J128:J138)</f>
        <v>0</v>
      </c>
      <c r="K127" s="41">
        <f>SUM(K128:K138)</f>
        <v>6.2472109999999997E-2</v>
      </c>
      <c r="L127" s="41">
        <f>SUM(L128:L138)</f>
        <v>0</v>
      </c>
      <c r="M127" s="36">
        <f>SUM(M128:M138)</f>
        <v>6.4463339999999994E-2</v>
      </c>
      <c r="N127" s="41">
        <f>SUM(N128:N139)</f>
        <v>0.34664822400000012</v>
      </c>
      <c r="O127" s="36">
        <f>SUM(O128:O139)</f>
        <v>0.25061671000000002</v>
      </c>
      <c r="P127" s="41">
        <f>SUM(P128:P138)</f>
        <v>0</v>
      </c>
      <c r="Q127" s="36" t="s">
        <v>50</v>
      </c>
      <c r="R127" s="36" t="s">
        <v>50</v>
      </c>
      <c r="S127" s="41">
        <f t="shared" si="17"/>
        <v>-3.090393599999991E-2</v>
      </c>
      <c r="T127" s="41">
        <f t="shared" si="18"/>
        <v>3.090393599999991E-2</v>
      </c>
      <c r="U127" s="29">
        <f t="shared" si="19"/>
        <v>8.9150712048649865</v>
      </c>
      <c r="V127" s="30" t="s">
        <v>50</v>
      </c>
    </row>
    <row r="128" spans="1:22" ht="45" x14ac:dyDescent="0.25">
      <c r="A128" s="13" t="s">
        <v>27</v>
      </c>
      <c r="B128" s="14" t="s">
        <v>98</v>
      </c>
      <c r="C128" s="15" t="s">
        <v>99</v>
      </c>
      <c r="D128" s="39">
        <v>8.3333333333333332E-3</v>
      </c>
      <c r="E128" s="39">
        <v>0</v>
      </c>
      <c r="F128" s="37" t="s">
        <v>50</v>
      </c>
      <c r="G128" s="39">
        <v>3.4664822400000003E-2</v>
      </c>
      <c r="H128" s="39">
        <f t="shared" si="15"/>
        <v>3.4664822400000003E-2</v>
      </c>
      <c r="I128" s="39">
        <f t="shared" si="16"/>
        <v>3.2859439999999997E-2</v>
      </c>
      <c r="J128" s="39">
        <v>0</v>
      </c>
      <c r="K128" s="39">
        <v>0</v>
      </c>
      <c r="L128" s="39">
        <v>0</v>
      </c>
      <c r="M128" s="37">
        <f>32.85944/1000</f>
        <v>3.2859439999999997E-2</v>
      </c>
      <c r="N128" s="39">
        <v>3.4664822400000003E-2</v>
      </c>
      <c r="O128" s="37">
        <v>0</v>
      </c>
      <c r="P128" s="39">
        <v>0</v>
      </c>
      <c r="Q128" s="37" t="s">
        <v>50</v>
      </c>
      <c r="R128" s="37" t="s">
        <v>50</v>
      </c>
      <c r="S128" s="39">
        <f t="shared" si="17"/>
        <v>1.8053824000000065E-3</v>
      </c>
      <c r="T128" s="39">
        <f t="shared" si="18"/>
        <v>-1.8053824000000065E-3</v>
      </c>
      <c r="U128" s="40">
        <f t="shared" si="19"/>
        <v>-5.2081109176546789</v>
      </c>
      <c r="V128" s="38" t="s">
        <v>50</v>
      </c>
    </row>
    <row r="129" spans="1:22" ht="45" x14ac:dyDescent="0.25">
      <c r="A129" s="13" t="s">
        <v>27</v>
      </c>
      <c r="B129" s="14" t="s">
        <v>100</v>
      </c>
      <c r="C129" s="15" t="s">
        <v>101</v>
      </c>
      <c r="D129" s="39">
        <v>8.3333333333333332E-3</v>
      </c>
      <c r="E129" s="39">
        <v>0</v>
      </c>
      <c r="F129" s="37" t="s">
        <v>50</v>
      </c>
      <c r="G129" s="39">
        <v>3.4664822400000003E-2</v>
      </c>
      <c r="H129" s="39">
        <f t="shared" si="15"/>
        <v>3.4664822400000003E-2</v>
      </c>
      <c r="I129" s="39">
        <f t="shared" si="16"/>
        <v>3.1603899999999997E-2</v>
      </c>
      <c r="J129" s="39">
        <v>0</v>
      </c>
      <c r="K129" s="39">
        <v>0</v>
      </c>
      <c r="L129" s="39">
        <v>0</v>
      </c>
      <c r="M129" s="37">
        <f>31.6039/1000</f>
        <v>3.1603899999999997E-2</v>
      </c>
      <c r="N129" s="39">
        <v>3.4664822400000003E-2</v>
      </c>
      <c r="O129" s="37">
        <v>0</v>
      </c>
      <c r="P129" s="39">
        <v>0</v>
      </c>
      <c r="Q129" s="37" t="s">
        <v>50</v>
      </c>
      <c r="R129" s="37" t="s">
        <v>50</v>
      </c>
      <c r="S129" s="39">
        <f t="shared" si="17"/>
        <v>3.060922400000006E-3</v>
      </c>
      <c r="T129" s="39">
        <f t="shared" si="18"/>
        <v>-3.060922400000006E-3</v>
      </c>
      <c r="U129" s="40">
        <f t="shared" si="19"/>
        <v>-8.8300536050056451</v>
      </c>
      <c r="V129" s="38" t="s">
        <v>50</v>
      </c>
    </row>
    <row r="130" spans="1:22" ht="45" x14ac:dyDescent="0.25">
      <c r="A130" s="13" t="s">
        <v>27</v>
      </c>
      <c r="B130" s="14" t="s">
        <v>102</v>
      </c>
      <c r="C130" s="15" t="s">
        <v>103</v>
      </c>
      <c r="D130" s="39">
        <v>4.4556326992287922E-3</v>
      </c>
      <c r="E130" s="39">
        <v>0</v>
      </c>
      <c r="F130" s="37" t="s">
        <v>50</v>
      </c>
      <c r="G130" s="39">
        <v>3.4664822400000003E-2</v>
      </c>
      <c r="H130" s="39">
        <f t="shared" si="15"/>
        <v>3.4664822400000003E-2</v>
      </c>
      <c r="I130" s="39">
        <f t="shared" si="16"/>
        <v>3.11694E-2</v>
      </c>
      <c r="J130" s="39">
        <v>0</v>
      </c>
      <c r="K130" s="39">
        <v>0</v>
      </c>
      <c r="L130" s="39">
        <v>0</v>
      </c>
      <c r="M130" s="37">
        <v>0</v>
      </c>
      <c r="N130" s="39">
        <v>3.4664822400000003E-2</v>
      </c>
      <c r="O130" s="37">
        <v>3.11694E-2</v>
      </c>
      <c r="P130" s="39">
        <v>0</v>
      </c>
      <c r="Q130" s="37" t="s">
        <v>50</v>
      </c>
      <c r="R130" s="37" t="s">
        <v>50</v>
      </c>
      <c r="S130" s="39">
        <f t="shared" si="17"/>
        <v>3.4954224000000034E-3</v>
      </c>
      <c r="T130" s="39">
        <f t="shared" si="18"/>
        <v>-3.4954224000000034E-3</v>
      </c>
      <c r="U130" s="40">
        <f t="shared" si="19"/>
        <v>-10.083485672207004</v>
      </c>
      <c r="V130" s="32" t="s">
        <v>762</v>
      </c>
    </row>
    <row r="131" spans="1:22" ht="45" x14ac:dyDescent="0.25">
      <c r="A131" s="13" t="s">
        <v>27</v>
      </c>
      <c r="B131" s="14" t="s">
        <v>104</v>
      </c>
      <c r="C131" s="15" t="s">
        <v>105</v>
      </c>
      <c r="D131" s="39">
        <v>4.4556326992287922E-3</v>
      </c>
      <c r="E131" s="39">
        <v>0</v>
      </c>
      <c r="F131" s="37" t="s">
        <v>50</v>
      </c>
      <c r="G131" s="39">
        <v>3.4664822400000003E-2</v>
      </c>
      <c r="H131" s="39">
        <f t="shared" si="15"/>
        <v>3.4664822400000003E-2</v>
      </c>
      <c r="I131" s="39">
        <f t="shared" si="16"/>
        <v>3.1318409999999998E-2</v>
      </c>
      <c r="J131" s="39">
        <v>0</v>
      </c>
      <c r="K131" s="39">
        <v>0</v>
      </c>
      <c r="L131" s="39">
        <v>0</v>
      </c>
      <c r="M131" s="37">
        <v>0</v>
      </c>
      <c r="N131" s="39">
        <v>3.4664822400000003E-2</v>
      </c>
      <c r="O131" s="37">
        <v>3.1318409999999998E-2</v>
      </c>
      <c r="P131" s="39">
        <v>0</v>
      </c>
      <c r="Q131" s="37" t="s">
        <v>50</v>
      </c>
      <c r="R131" s="37" t="s">
        <v>50</v>
      </c>
      <c r="S131" s="39">
        <f t="shared" si="17"/>
        <v>3.3464124000000053E-3</v>
      </c>
      <c r="T131" s="39">
        <f t="shared" si="18"/>
        <v>-3.3464124000000053E-3</v>
      </c>
      <c r="U131" s="40">
        <f t="shared" si="19"/>
        <v>-9.6536262652250144</v>
      </c>
      <c r="V131" s="38" t="s">
        <v>50</v>
      </c>
    </row>
    <row r="132" spans="1:22" ht="45" x14ac:dyDescent="0.25">
      <c r="A132" s="13" t="s">
        <v>27</v>
      </c>
      <c r="B132" s="14" t="s">
        <v>106</v>
      </c>
      <c r="C132" s="15" t="s">
        <v>107</v>
      </c>
      <c r="D132" s="39">
        <v>4.4556326992287922E-3</v>
      </c>
      <c r="E132" s="39">
        <v>0</v>
      </c>
      <c r="F132" s="37" t="s">
        <v>50</v>
      </c>
      <c r="G132" s="39">
        <v>3.4664822400000003E-2</v>
      </c>
      <c r="H132" s="39">
        <f t="shared" si="15"/>
        <v>3.4664822400000003E-2</v>
      </c>
      <c r="I132" s="39">
        <f t="shared" si="16"/>
        <v>3.123561E-2</v>
      </c>
      <c r="J132" s="39">
        <v>0</v>
      </c>
      <c r="K132" s="39">
        <v>0</v>
      </c>
      <c r="L132" s="39">
        <v>0</v>
      </c>
      <c r="M132" s="37">
        <v>0</v>
      </c>
      <c r="N132" s="39">
        <v>3.4664822400000003E-2</v>
      </c>
      <c r="O132" s="37">
        <v>3.123561E-2</v>
      </c>
      <c r="P132" s="39">
        <v>0</v>
      </c>
      <c r="Q132" s="37" t="s">
        <v>50</v>
      </c>
      <c r="R132" s="37" t="s">
        <v>50</v>
      </c>
      <c r="S132" s="39">
        <f t="shared" si="17"/>
        <v>3.4292124000000028E-3</v>
      </c>
      <c r="T132" s="39">
        <f t="shared" si="18"/>
        <v>-3.4292124000000028E-3</v>
      </c>
      <c r="U132" s="40">
        <f t="shared" si="19"/>
        <v>-9.8924851263625726</v>
      </c>
      <c r="V132" s="38" t="s">
        <v>50</v>
      </c>
    </row>
    <row r="133" spans="1:22" ht="45" x14ac:dyDescent="0.25">
      <c r="A133" s="13" t="s">
        <v>27</v>
      </c>
      <c r="B133" s="14" t="s">
        <v>108</v>
      </c>
      <c r="C133" s="15" t="s">
        <v>109</v>
      </c>
      <c r="D133" s="39">
        <v>4.4556326992287922E-3</v>
      </c>
      <c r="E133" s="39">
        <v>0</v>
      </c>
      <c r="F133" s="37" t="s">
        <v>50</v>
      </c>
      <c r="G133" s="39">
        <v>3.4664822400000003E-2</v>
      </c>
      <c r="H133" s="39">
        <f t="shared" si="15"/>
        <v>3.4664822400000003E-2</v>
      </c>
      <c r="I133" s="39">
        <f t="shared" si="16"/>
        <v>3.1408980000000003E-2</v>
      </c>
      <c r="J133" s="39">
        <v>0</v>
      </c>
      <c r="K133" s="39">
        <v>0</v>
      </c>
      <c r="L133" s="39">
        <v>0</v>
      </c>
      <c r="M133" s="37">
        <v>0</v>
      </c>
      <c r="N133" s="39">
        <v>3.4664822400000003E-2</v>
      </c>
      <c r="O133" s="37">
        <v>3.1408980000000003E-2</v>
      </c>
      <c r="P133" s="39">
        <v>0</v>
      </c>
      <c r="Q133" s="37" t="s">
        <v>50</v>
      </c>
      <c r="R133" s="37" t="s">
        <v>50</v>
      </c>
      <c r="S133" s="39">
        <f t="shared" si="17"/>
        <v>3.2558424000000002E-3</v>
      </c>
      <c r="T133" s="39">
        <f t="shared" si="18"/>
        <v>-3.2558424000000002E-3</v>
      </c>
      <c r="U133" s="40">
        <f t="shared" si="19"/>
        <v>-9.3923527500893869</v>
      </c>
      <c r="V133" s="38" t="s">
        <v>50</v>
      </c>
    </row>
    <row r="134" spans="1:22" ht="45" x14ac:dyDescent="0.25">
      <c r="A134" s="13" t="s">
        <v>27</v>
      </c>
      <c r="B134" s="14" t="s">
        <v>110</v>
      </c>
      <c r="C134" s="15" t="s">
        <v>111</v>
      </c>
      <c r="D134" s="39">
        <v>4.4556326992287922E-3</v>
      </c>
      <c r="E134" s="39">
        <v>0</v>
      </c>
      <c r="F134" s="37" t="s">
        <v>50</v>
      </c>
      <c r="G134" s="39">
        <v>3.4664822400000003E-2</v>
      </c>
      <c r="H134" s="39">
        <f t="shared" si="15"/>
        <v>3.4664822400000003E-2</v>
      </c>
      <c r="I134" s="39">
        <f t="shared" si="16"/>
        <v>3.146554E-2</v>
      </c>
      <c r="J134" s="39">
        <v>0</v>
      </c>
      <c r="K134" s="39">
        <v>0</v>
      </c>
      <c r="L134" s="39">
        <v>0</v>
      </c>
      <c r="M134" s="37">
        <v>0</v>
      </c>
      <c r="N134" s="39">
        <v>3.4664822400000003E-2</v>
      </c>
      <c r="O134" s="37">
        <v>3.146554E-2</v>
      </c>
      <c r="P134" s="39">
        <v>0</v>
      </c>
      <c r="Q134" s="37" t="s">
        <v>50</v>
      </c>
      <c r="R134" s="37" t="s">
        <v>50</v>
      </c>
      <c r="S134" s="39">
        <f t="shared" si="17"/>
        <v>3.1992824000000031E-3</v>
      </c>
      <c r="T134" s="39">
        <f t="shared" si="18"/>
        <v>-3.1992824000000031E-3</v>
      </c>
      <c r="U134" s="40">
        <f t="shared" si="19"/>
        <v>-9.2291902236891445</v>
      </c>
      <c r="V134" s="38" t="s">
        <v>50</v>
      </c>
    </row>
    <row r="135" spans="1:22" ht="45" x14ac:dyDescent="0.25">
      <c r="A135" s="13" t="s">
        <v>27</v>
      </c>
      <c r="B135" s="14" t="s">
        <v>112</v>
      </c>
      <c r="C135" s="15" t="s">
        <v>113</v>
      </c>
      <c r="D135" s="39">
        <v>4.4556326992287922E-3</v>
      </c>
      <c r="E135" s="39">
        <v>0</v>
      </c>
      <c r="F135" s="37" t="s">
        <v>50</v>
      </c>
      <c r="G135" s="39">
        <v>3.4664822400000003E-2</v>
      </c>
      <c r="H135" s="39">
        <f t="shared" si="15"/>
        <v>3.4664822400000003E-2</v>
      </c>
      <c r="I135" s="39">
        <f t="shared" si="16"/>
        <v>3.1712810000000001E-2</v>
      </c>
      <c r="J135" s="39">
        <v>0</v>
      </c>
      <c r="K135" s="39">
        <v>0</v>
      </c>
      <c r="L135" s="39">
        <v>0</v>
      </c>
      <c r="M135" s="37">
        <v>0</v>
      </c>
      <c r="N135" s="39">
        <v>3.4664822400000003E-2</v>
      </c>
      <c r="O135" s="37">
        <v>3.1712810000000001E-2</v>
      </c>
      <c r="P135" s="39">
        <v>0</v>
      </c>
      <c r="Q135" s="37" t="s">
        <v>50</v>
      </c>
      <c r="R135" s="37" t="s">
        <v>50</v>
      </c>
      <c r="S135" s="39">
        <f t="shared" si="17"/>
        <v>2.9520124000000023E-3</v>
      </c>
      <c r="T135" s="39">
        <f t="shared" si="18"/>
        <v>-2.9520124000000023E-3</v>
      </c>
      <c r="U135" s="40">
        <f t="shared" si="19"/>
        <v>-8.5158734290818217</v>
      </c>
      <c r="V135" s="38" t="s">
        <v>50</v>
      </c>
    </row>
    <row r="136" spans="1:22" ht="45" x14ac:dyDescent="0.25">
      <c r="A136" s="13" t="s">
        <v>27</v>
      </c>
      <c r="B136" s="14" t="s">
        <v>114</v>
      </c>
      <c r="C136" s="15" t="s">
        <v>115</v>
      </c>
      <c r="D136" s="39">
        <v>4.4556326992287922E-3</v>
      </c>
      <c r="E136" s="39">
        <v>0</v>
      </c>
      <c r="F136" s="37" t="s">
        <v>50</v>
      </c>
      <c r="G136" s="39">
        <v>3.4664822400000003E-2</v>
      </c>
      <c r="H136" s="39">
        <f t="shared" si="15"/>
        <v>3.4664822400000003E-2</v>
      </c>
      <c r="I136" s="39">
        <f t="shared" si="16"/>
        <v>3.13009E-2</v>
      </c>
      <c r="J136" s="39">
        <v>0</v>
      </c>
      <c r="K136" s="39">
        <f>31.3009/1000</f>
        <v>3.13009E-2</v>
      </c>
      <c r="L136" s="39">
        <v>0</v>
      </c>
      <c r="M136" s="37">
        <v>0</v>
      </c>
      <c r="N136" s="39">
        <v>3.4664822400000003E-2</v>
      </c>
      <c r="O136" s="37">
        <v>0</v>
      </c>
      <c r="P136" s="39">
        <v>0</v>
      </c>
      <c r="Q136" s="37" t="s">
        <v>50</v>
      </c>
      <c r="R136" s="37" t="s">
        <v>50</v>
      </c>
      <c r="S136" s="39">
        <f t="shared" si="17"/>
        <v>3.3639224000000037E-3</v>
      </c>
      <c r="T136" s="39">
        <f t="shared" si="18"/>
        <v>-3.3639224000000037E-3</v>
      </c>
      <c r="U136" s="40">
        <f t="shared" si="19"/>
        <v>-9.7041385678641348</v>
      </c>
      <c r="V136" s="33" t="s">
        <v>50</v>
      </c>
    </row>
    <row r="137" spans="1:22" ht="45" x14ac:dyDescent="0.25">
      <c r="A137" s="13" t="s">
        <v>27</v>
      </c>
      <c r="B137" s="14" t="s">
        <v>116</v>
      </c>
      <c r="C137" s="15" t="s">
        <v>117</v>
      </c>
      <c r="D137" s="39">
        <v>4.4556326992287922E-3</v>
      </c>
      <c r="E137" s="39">
        <v>0</v>
      </c>
      <c r="F137" s="37" t="s">
        <v>50</v>
      </c>
      <c r="G137" s="39">
        <v>3.4664822400000003E-2</v>
      </c>
      <c r="H137" s="39">
        <f t="shared" si="15"/>
        <v>3.4664822400000003E-2</v>
      </c>
      <c r="I137" s="39">
        <f t="shared" si="16"/>
        <v>3.1374970000000002E-2</v>
      </c>
      <c r="J137" s="39">
        <v>0</v>
      </c>
      <c r="K137" s="39">
        <v>0</v>
      </c>
      <c r="L137" s="39">
        <v>0</v>
      </c>
      <c r="M137" s="37">
        <v>0</v>
      </c>
      <c r="N137" s="39">
        <v>3.4664822400000003E-2</v>
      </c>
      <c r="O137" s="37">
        <v>3.1374970000000002E-2</v>
      </c>
      <c r="P137" s="39">
        <v>0</v>
      </c>
      <c r="Q137" s="37" t="s">
        <v>50</v>
      </c>
      <c r="R137" s="37" t="s">
        <v>50</v>
      </c>
      <c r="S137" s="39">
        <f t="shared" si="17"/>
        <v>3.2898524000000012E-3</v>
      </c>
      <c r="T137" s="39">
        <f t="shared" si="18"/>
        <v>-3.2898524000000012E-3</v>
      </c>
      <c r="U137" s="40">
        <f t="shared" si="19"/>
        <v>-9.4904637388247437</v>
      </c>
      <c r="V137" s="38" t="s">
        <v>50</v>
      </c>
    </row>
    <row r="138" spans="1:22" ht="30.75" customHeight="1" x14ac:dyDescent="0.25">
      <c r="A138" s="19" t="s">
        <v>27</v>
      </c>
      <c r="B138" s="14" t="s">
        <v>357</v>
      </c>
      <c r="C138" s="44" t="s">
        <v>358</v>
      </c>
      <c r="D138" s="39">
        <v>0</v>
      </c>
      <c r="E138" s="39">
        <v>0</v>
      </c>
      <c r="F138" s="37" t="s">
        <v>50</v>
      </c>
      <c r="G138" s="39">
        <v>0</v>
      </c>
      <c r="H138" s="39">
        <f t="shared" si="15"/>
        <v>0</v>
      </c>
      <c r="I138" s="39">
        <f t="shared" si="16"/>
        <v>3.1171209999999998E-2</v>
      </c>
      <c r="J138" s="39">
        <v>0</v>
      </c>
      <c r="K138" s="39">
        <f>31.17121/1000</f>
        <v>3.1171209999999998E-2</v>
      </c>
      <c r="L138" s="39">
        <v>0</v>
      </c>
      <c r="M138" s="37">
        <v>0</v>
      </c>
      <c r="N138" s="39">
        <v>0</v>
      </c>
      <c r="O138" s="37">
        <v>0</v>
      </c>
      <c r="P138" s="39">
        <v>0</v>
      </c>
      <c r="Q138" s="37" t="s">
        <v>50</v>
      </c>
      <c r="R138" s="37" t="s">
        <v>50</v>
      </c>
      <c r="S138" s="39">
        <f t="shared" si="17"/>
        <v>-3.1171209999999998E-2</v>
      </c>
      <c r="T138" s="39">
        <f t="shared" si="18"/>
        <v>3.1171209999999998E-2</v>
      </c>
      <c r="U138" s="40">
        <v>100</v>
      </c>
      <c r="V138" s="32" t="s">
        <v>720</v>
      </c>
    </row>
    <row r="139" spans="1:22" ht="30.75" customHeight="1" x14ac:dyDescent="0.25">
      <c r="A139" s="58" t="s">
        <v>27</v>
      </c>
      <c r="B139" s="59" t="s">
        <v>681</v>
      </c>
      <c r="C139" s="60" t="s">
        <v>682</v>
      </c>
      <c r="D139" s="39">
        <v>0</v>
      </c>
      <c r="E139" s="39">
        <v>0</v>
      </c>
      <c r="F139" s="37" t="s">
        <v>50</v>
      </c>
      <c r="G139" s="39">
        <v>0</v>
      </c>
      <c r="H139" s="39">
        <f t="shared" si="15"/>
        <v>0</v>
      </c>
      <c r="I139" s="39">
        <f t="shared" ref="I139:I202" si="21">K139+M139+O139</f>
        <v>3.0930990000000002E-2</v>
      </c>
      <c r="J139" s="39">
        <v>0</v>
      </c>
      <c r="K139" s="39">
        <v>0</v>
      </c>
      <c r="L139" s="39">
        <v>0</v>
      </c>
      <c r="M139" s="37">
        <v>0</v>
      </c>
      <c r="N139" s="39">
        <v>0</v>
      </c>
      <c r="O139" s="37">
        <v>3.0930990000000002E-2</v>
      </c>
      <c r="P139" s="39">
        <v>0</v>
      </c>
      <c r="Q139" s="37" t="s">
        <v>50</v>
      </c>
      <c r="R139" s="37" t="s">
        <v>50</v>
      </c>
      <c r="S139" s="39">
        <f t="shared" ref="S139:S202" si="22">G139-I139</f>
        <v>-3.0930990000000002E-2</v>
      </c>
      <c r="T139" s="39">
        <f t="shared" ref="T139:T202" si="23">(K139+M139+O139)-(J139+L139+N139)</f>
        <v>3.0930990000000002E-2</v>
      </c>
      <c r="U139" s="40">
        <v>100</v>
      </c>
      <c r="V139" s="32" t="s">
        <v>720</v>
      </c>
    </row>
    <row r="140" spans="1:22" ht="71.25" x14ac:dyDescent="0.25">
      <c r="A140" s="16" t="s">
        <v>28</v>
      </c>
      <c r="B140" s="17" t="s">
        <v>118</v>
      </c>
      <c r="C140" s="18" t="s">
        <v>52</v>
      </c>
      <c r="D140" s="41">
        <v>3.6910256420137708</v>
      </c>
      <c r="E140" s="41">
        <f>SUM(E141:E206)</f>
        <v>0.15397043999999999</v>
      </c>
      <c r="F140" s="36" t="s">
        <v>50</v>
      </c>
      <c r="G140" s="41">
        <v>32.917709168135616</v>
      </c>
      <c r="H140" s="41">
        <f t="shared" si="15"/>
        <v>32.917709168135616</v>
      </c>
      <c r="I140" s="41">
        <f t="shared" si="21"/>
        <v>23.030388409999997</v>
      </c>
      <c r="J140" s="41">
        <f t="shared" ref="J140:P140" si="24">SUM(J141:J237)</f>
        <v>0.59245688135593189</v>
      </c>
      <c r="K140" s="41">
        <f t="shared" si="24"/>
        <v>15.524120509999998</v>
      </c>
      <c r="L140" s="41">
        <f t="shared" si="24"/>
        <v>7.126880932203397</v>
      </c>
      <c r="M140" s="41">
        <f t="shared" si="24"/>
        <v>1.76034823</v>
      </c>
      <c r="N140" s="41">
        <f t="shared" si="24"/>
        <v>20.10815492050849</v>
      </c>
      <c r="O140" s="36">
        <f t="shared" si="24"/>
        <v>5.7459196700000001</v>
      </c>
      <c r="P140" s="41">
        <f t="shared" si="24"/>
        <v>5.0902164340677967</v>
      </c>
      <c r="Q140" s="36" t="s">
        <v>50</v>
      </c>
      <c r="R140" s="36" t="s">
        <v>50</v>
      </c>
      <c r="S140" s="41">
        <f t="shared" si="22"/>
        <v>9.8873207581356191</v>
      </c>
      <c r="T140" s="41">
        <f t="shared" si="23"/>
        <v>-4.7971043240678206</v>
      </c>
      <c r="U140" s="29">
        <f t="shared" ref="U140:U194" si="25">(K140+M140+O140)/(J140+L140+N140)*100-100</f>
        <v>-17.238722762094056</v>
      </c>
      <c r="V140" s="30" t="s">
        <v>50</v>
      </c>
    </row>
    <row r="141" spans="1:22" ht="32.25" customHeight="1" x14ac:dyDescent="0.25">
      <c r="A141" s="50" t="s">
        <v>28</v>
      </c>
      <c r="B141" s="51" t="s">
        <v>503</v>
      </c>
      <c r="C141" s="49" t="s">
        <v>504</v>
      </c>
      <c r="D141" s="39">
        <v>0</v>
      </c>
      <c r="E141" s="39">
        <f>49132.43*1.2/1000000</f>
        <v>5.8958916E-2</v>
      </c>
      <c r="F141" s="37" t="s">
        <v>50</v>
      </c>
      <c r="G141" s="39">
        <v>0</v>
      </c>
      <c r="H141" s="39">
        <f t="shared" si="15"/>
        <v>0</v>
      </c>
      <c r="I141" s="39">
        <f t="shared" si="21"/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7">
        <v>0</v>
      </c>
      <c r="P141" s="39">
        <v>0</v>
      </c>
      <c r="Q141" s="37" t="s">
        <v>50</v>
      </c>
      <c r="R141" s="37" t="s">
        <v>50</v>
      </c>
      <c r="S141" s="39">
        <f t="shared" si="22"/>
        <v>0</v>
      </c>
      <c r="T141" s="39">
        <f t="shared" si="23"/>
        <v>0</v>
      </c>
      <c r="U141" s="40">
        <v>0</v>
      </c>
      <c r="V141" s="32" t="s">
        <v>50</v>
      </c>
    </row>
    <row r="142" spans="1:22" ht="45" x14ac:dyDescent="0.25">
      <c r="A142" s="48" t="s">
        <v>28</v>
      </c>
      <c r="B142" s="45" t="s">
        <v>359</v>
      </c>
      <c r="C142" s="46" t="s">
        <v>360</v>
      </c>
      <c r="D142" s="39">
        <v>0</v>
      </c>
      <c r="E142" s="39">
        <f>79176.27*1.2/1000000</f>
        <v>9.5011524E-2</v>
      </c>
      <c r="F142" s="37" t="s">
        <v>50</v>
      </c>
      <c r="G142" s="39">
        <v>0</v>
      </c>
      <c r="H142" s="39">
        <f t="shared" si="15"/>
        <v>0</v>
      </c>
      <c r="I142" s="39">
        <f t="shared" si="21"/>
        <v>2.1573411999999998</v>
      </c>
      <c r="J142" s="39">
        <v>0</v>
      </c>
      <c r="K142" s="39">
        <f>2157.3412/1000</f>
        <v>2.1573411999999998</v>
      </c>
      <c r="L142" s="39">
        <v>0</v>
      </c>
      <c r="M142" s="37">
        <v>0</v>
      </c>
      <c r="N142" s="39">
        <v>0</v>
      </c>
      <c r="O142" s="37">
        <v>0</v>
      </c>
      <c r="P142" s="39">
        <v>0</v>
      </c>
      <c r="Q142" s="37" t="s">
        <v>50</v>
      </c>
      <c r="R142" s="37" t="s">
        <v>50</v>
      </c>
      <c r="S142" s="39">
        <f t="shared" si="22"/>
        <v>-2.1573411999999998</v>
      </c>
      <c r="T142" s="39">
        <f t="shared" si="23"/>
        <v>2.1573411999999998</v>
      </c>
      <c r="U142" s="40">
        <v>100</v>
      </c>
      <c r="V142" s="32" t="s">
        <v>722</v>
      </c>
    </row>
    <row r="143" spans="1:22" ht="45" x14ac:dyDescent="0.25">
      <c r="A143" s="19" t="s">
        <v>28</v>
      </c>
      <c r="B143" s="14" t="s">
        <v>119</v>
      </c>
      <c r="C143" s="20" t="s">
        <v>120</v>
      </c>
      <c r="D143" s="39">
        <v>0.56711595330739295</v>
      </c>
      <c r="E143" s="39">
        <v>0</v>
      </c>
      <c r="F143" s="37" t="s">
        <v>50</v>
      </c>
      <c r="G143" s="39">
        <v>4.3724639999999999</v>
      </c>
      <c r="H143" s="39">
        <f t="shared" si="15"/>
        <v>4.3724639999999999</v>
      </c>
      <c r="I143" s="39">
        <f t="shared" si="21"/>
        <v>0</v>
      </c>
      <c r="J143" s="39">
        <v>0</v>
      </c>
      <c r="K143" s="39">
        <v>0</v>
      </c>
      <c r="L143" s="39">
        <v>0</v>
      </c>
      <c r="M143" s="37">
        <v>0</v>
      </c>
      <c r="N143" s="39">
        <v>4.3724639999999999</v>
      </c>
      <c r="O143" s="37">
        <v>0</v>
      </c>
      <c r="P143" s="39">
        <v>0</v>
      </c>
      <c r="Q143" s="37" t="s">
        <v>50</v>
      </c>
      <c r="R143" s="37" t="s">
        <v>50</v>
      </c>
      <c r="S143" s="39">
        <f t="shared" si="22"/>
        <v>4.3724639999999999</v>
      </c>
      <c r="T143" s="39">
        <f t="shared" si="23"/>
        <v>-4.3724639999999999</v>
      </c>
      <c r="U143" s="40">
        <f t="shared" si="25"/>
        <v>-100</v>
      </c>
      <c r="V143" s="33" t="s">
        <v>723</v>
      </c>
    </row>
    <row r="144" spans="1:22" ht="30" x14ac:dyDescent="0.25">
      <c r="A144" s="19" t="s">
        <v>28</v>
      </c>
      <c r="B144" s="14" t="s">
        <v>121</v>
      </c>
      <c r="C144" s="20" t="s">
        <v>122</v>
      </c>
      <c r="D144" s="39">
        <v>0</v>
      </c>
      <c r="E144" s="39">
        <v>0</v>
      </c>
      <c r="F144" s="37" t="s">
        <v>50</v>
      </c>
      <c r="G144" s="39">
        <v>0.92838200000000004</v>
      </c>
      <c r="H144" s="39">
        <f t="shared" si="15"/>
        <v>0.92838200000000004</v>
      </c>
      <c r="I144" s="39">
        <f t="shared" si="21"/>
        <v>0.91187481000000004</v>
      </c>
      <c r="J144" s="39">
        <v>0</v>
      </c>
      <c r="K144" s="39">
        <v>0</v>
      </c>
      <c r="L144" s="39">
        <v>0</v>
      </c>
      <c r="M144" s="37">
        <v>0</v>
      </c>
      <c r="N144" s="39">
        <v>0.92838200000000004</v>
      </c>
      <c r="O144" s="37">
        <v>0.91187481000000004</v>
      </c>
      <c r="P144" s="39">
        <v>0</v>
      </c>
      <c r="Q144" s="37" t="s">
        <v>50</v>
      </c>
      <c r="R144" s="37" t="s">
        <v>50</v>
      </c>
      <c r="S144" s="39">
        <f t="shared" si="22"/>
        <v>1.6507190000000005E-2</v>
      </c>
      <c r="T144" s="39">
        <f t="shared" si="23"/>
        <v>-1.6507190000000005E-2</v>
      </c>
      <c r="U144" s="40">
        <f t="shared" si="25"/>
        <v>-1.7780601088775967</v>
      </c>
      <c r="V144" s="33" t="s">
        <v>50</v>
      </c>
    </row>
    <row r="145" spans="1:22" ht="60" x14ac:dyDescent="0.25">
      <c r="A145" s="21" t="s">
        <v>28</v>
      </c>
      <c r="B145" s="14" t="s">
        <v>361</v>
      </c>
      <c r="C145" s="47" t="s">
        <v>362</v>
      </c>
      <c r="D145" s="39">
        <v>0</v>
      </c>
      <c r="E145" s="39">
        <v>0</v>
      </c>
      <c r="F145" s="37" t="s">
        <v>50</v>
      </c>
      <c r="G145" s="39">
        <v>0</v>
      </c>
      <c r="H145" s="39">
        <f t="shared" si="15"/>
        <v>0</v>
      </c>
      <c r="I145" s="39">
        <f t="shared" si="21"/>
        <v>4.3547729999999993E-2</v>
      </c>
      <c r="J145" s="39">
        <v>0</v>
      </c>
      <c r="K145" s="39">
        <v>4.3547729999999993E-2</v>
      </c>
      <c r="L145" s="39">
        <v>0</v>
      </c>
      <c r="M145" s="37">
        <v>0</v>
      </c>
      <c r="N145" s="39">
        <v>0</v>
      </c>
      <c r="O145" s="37">
        <v>0</v>
      </c>
      <c r="P145" s="39">
        <v>0</v>
      </c>
      <c r="Q145" s="37" t="s">
        <v>50</v>
      </c>
      <c r="R145" s="37" t="s">
        <v>50</v>
      </c>
      <c r="S145" s="39">
        <f t="shared" si="22"/>
        <v>-4.3547729999999993E-2</v>
      </c>
      <c r="T145" s="39">
        <f t="shared" si="23"/>
        <v>4.3547729999999993E-2</v>
      </c>
      <c r="U145" s="40">
        <v>100</v>
      </c>
      <c r="V145" s="32" t="s">
        <v>724</v>
      </c>
    </row>
    <row r="146" spans="1:22" ht="60" x14ac:dyDescent="0.25">
      <c r="A146" s="21" t="s">
        <v>28</v>
      </c>
      <c r="B146" s="14" t="s">
        <v>363</v>
      </c>
      <c r="C146" s="47" t="s">
        <v>364</v>
      </c>
      <c r="D146" s="39">
        <v>0</v>
      </c>
      <c r="E146" s="39">
        <v>0</v>
      </c>
      <c r="F146" s="37" t="s">
        <v>50</v>
      </c>
      <c r="G146" s="39">
        <v>0</v>
      </c>
      <c r="H146" s="39">
        <f t="shared" si="15"/>
        <v>0</v>
      </c>
      <c r="I146" s="39">
        <f t="shared" si="21"/>
        <v>4.6098140000000003E-2</v>
      </c>
      <c r="J146" s="39">
        <v>0</v>
      </c>
      <c r="K146" s="39">
        <v>4.6098140000000003E-2</v>
      </c>
      <c r="L146" s="39">
        <v>0</v>
      </c>
      <c r="M146" s="37">
        <v>0</v>
      </c>
      <c r="N146" s="39">
        <v>0</v>
      </c>
      <c r="O146" s="37">
        <v>0</v>
      </c>
      <c r="P146" s="39">
        <v>0</v>
      </c>
      <c r="Q146" s="37" t="s">
        <v>50</v>
      </c>
      <c r="R146" s="37" t="s">
        <v>50</v>
      </c>
      <c r="S146" s="39">
        <f t="shared" si="22"/>
        <v>-4.6098140000000003E-2</v>
      </c>
      <c r="T146" s="39">
        <f t="shared" si="23"/>
        <v>4.6098140000000003E-2</v>
      </c>
      <c r="U146" s="40">
        <v>100</v>
      </c>
      <c r="V146" s="32" t="s">
        <v>724</v>
      </c>
    </row>
    <row r="147" spans="1:22" ht="60" x14ac:dyDescent="0.25">
      <c r="A147" s="21" t="s">
        <v>28</v>
      </c>
      <c r="B147" s="14" t="s">
        <v>365</v>
      </c>
      <c r="C147" s="47" t="s">
        <v>366</v>
      </c>
      <c r="D147" s="39">
        <v>0</v>
      </c>
      <c r="E147" s="39">
        <v>0</v>
      </c>
      <c r="F147" s="37" t="s">
        <v>50</v>
      </c>
      <c r="G147" s="39">
        <v>0</v>
      </c>
      <c r="H147" s="39">
        <f t="shared" ref="H147:H210" si="26">J147+L147+N147+P147</f>
        <v>0</v>
      </c>
      <c r="I147" s="39">
        <f t="shared" si="21"/>
        <v>5.8646719999999999E-2</v>
      </c>
      <c r="J147" s="39">
        <v>0</v>
      </c>
      <c r="K147" s="39">
        <v>5.8646719999999999E-2</v>
      </c>
      <c r="L147" s="39">
        <v>0</v>
      </c>
      <c r="M147" s="37">
        <v>0</v>
      </c>
      <c r="N147" s="39">
        <v>0</v>
      </c>
      <c r="O147" s="37">
        <v>0</v>
      </c>
      <c r="P147" s="39">
        <v>0</v>
      </c>
      <c r="Q147" s="37" t="s">
        <v>50</v>
      </c>
      <c r="R147" s="37" t="s">
        <v>50</v>
      </c>
      <c r="S147" s="39">
        <f t="shared" si="22"/>
        <v>-5.8646719999999999E-2</v>
      </c>
      <c r="T147" s="39">
        <f t="shared" si="23"/>
        <v>5.8646719999999999E-2</v>
      </c>
      <c r="U147" s="40">
        <v>100</v>
      </c>
      <c r="V147" s="32" t="s">
        <v>725</v>
      </c>
    </row>
    <row r="148" spans="1:22" ht="60" x14ac:dyDescent="0.25">
      <c r="A148" s="21" t="s">
        <v>28</v>
      </c>
      <c r="B148" s="14" t="s">
        <v>367</v>
      </c>
      <c r="C148" s="47" t="s">
        <v>368</v>
      </c>
      <c r="D148" s="39">
        <v>0</v>
      </c>
      <c r="E148" s="39">
        <v>0</v>
      </c>
      <c r="F148" s="37" t="s">
        <v>50</v>
      </c>
      <c r="G148" s="39">
        <v>0</v>
      </c>
      <c r="H148" s="39">
        <f t="shared" si="26"/>
        <v>0</v>
      </c>
      <c r="I148" s="39">
        <f t="shared" si="21"/>
        <v>8.3016569999999998E-2</v>
      </c>
      <c r="J148" s="39">
        <v>0</v>
      </c>
      <c r="K148" s="39">
        <v>4.5851179999999998E-2</v>
      </c>
      <c r="L148" s="39">
        <v>0</v>
      </c>
      <c r="M148" s="37">
        <f>37.16539/1000</f>
        <v>3.716539E-2</v>
      </c>
      <c r="N148" s="39">
        <v>0</v>
      </c>
      <c r="O148" s="37">
        <v>0</v>
      </c>
      <c r="P148" s="39">
        <v>0</v>
      </c>
      <c r="Q148" s="37" t="s">
        <v>50</v>
      </c>
      <c r="R148" s="37" t="s">
        <v>50</v>
      </c>
      <c r="S148" s="39">
        <f t="shared" si="22"/>
        <v>-8.3016569999999998E-2</v>
      </c>
      <c r="T148" s="39">
        <f t="shared" si="23"/>
        <v>8.3016569999999998E-2</v>
      </c>
      <c r="U148" s="40">
        <v>100</v>
      </c>
      <c r="V148" s="32" t="s">
        <v>725</v>
      </c>
    </row>
    <row r="149" spans="1:22" ht="60" x14ac:dyDescent="0.25">
      <c r="A149" s="21" t="s">
        <v>28</v>
      </c>
      <c r="B149" s="14" t="s">
        <v>369</v>
      </c>
      <c r="C149" s="47" t="s">
        <v>370</v>
      </c>
      <c r="D149" s="39">
        <v>0</v>
      </c>
      <c r="E149" s="39">
        <v>0</v>
      </c>
      <c r="F149" s="37" t="s">
        <v>50</v>
      </c>
      <c r="G149" s="39">
        <v>0</v>
      </c>
      <c r="H149" s="39">
        <f t="shared" si="26"/>
        <v>0</v>
      </c>
      <c r="I149" s="39">
        <f t="shared" si="21"/>
        <v>6.1632609999999997E-2</v>
      </c>
      <c r="J149" s="39">
        <v>0</v>
      </c>
      <c r="K149" s="39">
        <v>6.1632609999999997E-2</v>
      </c>
      <c r="L149" s="39">
        <v>0</v>
      </c>
      <c r="M149" s="37">
        <v>0</v>
      </c>
      <c r="N149" s="39">
        <v>0</v>
      </c>
      <c r="O149" s="37">
        <v>0</v>
      </c>
      <c r="P149" s="39">
        <v>0</v>
      </c>
      <c r="Q149" s="37" t="s">
        <v>50</v>
      </c>
      <c r="R149" s="37" t="s">
        <v>50</v>
      </c>
      <c r="S149" s="39">
        <f t="shared" si="22"/>
        <v>-6.1632609999999997E-2</v>
      </c>
      <c r="T149" s="39">
        <f t="shared" si="23"/>
        <v>6.1632609999999997E-2</v>
      </c>
      <c r="U149" s="40">
        <v>100</v>
      </c>
      <c r="V149" s="32" t="s">
        <v>725</v>
      </c>
    </row>
    <row r="150" spans="1:22" ht="60" x14ac:dyDescent="0.25">
      <c r="A150" s="21" t="s">
        <v>28</v>
      </c>
      <c r="B150" s="14" t="s">
        <v>371</v>
      </c>
      <c r="C150" s="47" t="s">
        <v>372</v>
      </c>
      <c r="D150" s="39">
        <v>0</v>
      </c>
      <c r="E150" s="39">
        <v>0</v>
      </c>
      <c r="F150" s="37" t="s">
        <v>50</v>
      </c>
      <c r="G150" s="39">
        <v>0</v>
      </c>
      <c r="H150" s="39">
        <f t="shared" si="26"/>
        <v>0</v>
      </c>
      <c r="I150" s="39">
        <f t="shared" si="21"/>
        <v>0</v>
      </c>
      <c r="J150" s="39">
        <v>0</v>
      </c>
      <c r="K150" s="39">
        <v>0</v>
      </c>
      <c r="L150" s="39">
        <v>0</v>
      </c>
      <c r="M150" s="37">
        <v>0</v>
      </c>
      <c r="N150" s="39">
        <v>0</v>
      </c>
      <c r="O150" s="37">
        <v>0</v>
      </c>
      <c r="P150" s="39">
        <v>0</v>
      </c>
      <c r="Q150" s="37" t="s">
        <v>50</v>
      </c>
      <c r="R150" s="37" t="s">
        <v>50</v>
      </c>
      <c r="S150" s="39">
        <f t="shared" si="22"/>
        <v>0</v>
      </c>
      <c r="T150" s="39">
        <f t="shared" si="23"/>
        <v>0</v>
      </c>
      <c r="U150" s="40">
        <v>100</v>
      </c>
      <c r="V150" s="32" t="s">
        <v>725</v>
      </c>
    </row>
    <row r="151" spans="1:22" ht="45" x14ac:dyDescent="0.25">
      <c r="A151" s="21" t="s">
        <v>28</v>
      </c>
      <c r="B151" s="14" t="s">
        <v>373</v>
      </c>
      <c r="C151" s="47" t="s">
        <v>374</v>
      </c>
      <c r="D151" s="39">
        <v>0</v>
      </c>
      <c r="E151" s="39">
        <v>0</v>
      </c>
      <c r="F151" s="37" t="s">
        <v>50</v>
      </c>
      <c r="G151" s="39">
        <v>0</v>
      </c>
      <c r="H151" s="39">
        <f t="shared" si="26"/>
        <v>0</v>
      </c>
      <c r="I151" s="39">
        <f t="shared" si="21"/>
        <v>5.8039760000000003E-2</v>
      </c>
      <c r="J151" s="39">
        <v>0</v>
      </c>
      <c r="K151" s="39">
        <v>5.8039760000000003E-2</v>
      </c>
      <c r="L151" s="39">
        <v>0</v>
      </c>
      <c r="M151" s="37">
        <v>0</v>
      </c>
      <c r="N151" s="39">
        <v>0</v>
      </c>
      <c r="O151" s="37">
        <v>0</v>
      </c>
      <c r="P151" s="39">
        <v>0</v>
      </c>
      <c r="Q151" s="37" t="s">
        <v>50</v>
      </c>
      <c r="R151" s="37" t="s">
        <v>50</v>
      </c>
      <c r="S151" s="39">
        <f t="shared" si="22"/>
        <v>-5.8039760000000003E-2</v>
      </c>
      <c r="T151" s="39">
        <f t="shared" si="23"/>
        <v>5.8039760000000003E-2</v>
      </c>
      <c r="U151" s="40">
        <v>100</v>
      </c>
      <c r="V151" s="32" t="s">
        <v>726</v>
      </c>
    </row>
    <row r="152" spans="1:22" ht="30" x14ac:dyDescent="0.25">
      <c r="A152" s="21" t="s">
        <v>28</v>
      </c>
      <c r="B152" s="14" t="s">
        <v>375</v>
      </c>
      <c r="C152" s="47" t="s">
        <v>376</v>
      </c>
      <c r="D152" s="39">
        <v>0</v>
      </c>
      <c r="E152" s="39">
        <v>0</v>
      </c>
      <c r="F152" s="37" t="s">
        <v>50</v>
      </c>
      <c r="G152" s="39">
        <v>0</v>
      </c>
      <c r="H152" s="39">
        <f t="shared" si="26"/>
        <v>0</v>
      </c>
      <c r="I152" s="39">
        <f t="shared" si="21"/>
        <v>6.3006199999999998E-2</v>
      </c>
      <c r="J152" s="39">
        <v>0</v>
      </c>
      <c r="K152" s="39">
        <v>6.3006199999999998E-2</v>
      </c>
      <c r="L152" s="39">
        <v>0</v>
      </c>
      <c r="M152" s="37">
        <v>0</v>
      </c>
      <c r="N152" s="39">
        <v>0</v>
      </c>
      <c r="O152" s="37">
        <v>0</v>
      </c>
      <c r="P152" s="39">
        <v>0</v>
      </c>
      <c r="Q152" s="37" t="s">
        <v>50</v>
      </c>
      <c r="R152" s="37" t="s">
        <v>50</v>
      </c>
      <c r="S152" s="39">
        <f t="shared" si="22"/>
        <v>-6.3006199999999998E-2</v>
      </c>
      <c r="T152" s="39">
        <f t="shared" si="23"/>
        <v>6.3006199999999998E-2</v>
      </c>
      <c r="U152" s="40">
        <v>100</v>
      </c>
      <c r="V152" s="32" t="s">
        <v>727</v>
      </c>
    </row>
    <row r="153" spans="1:22" ht="45" x14ac:dyDescent="0.25">
      <c r="A153" s="21" t="s">
        <v>28</v>
      </c>
      <c r="B153" s="14" t="s">
        <v>377</v>
      </c>
      <c r="C153" s="47" t="s">
        <v>378</v>
      </c>
      <c r="D153" s="39">
        <v>0</v>
      </c>
      <c r="E153" s="39">
        <v>0</v>
      </c>
      <c r="F153" s="37" t="s">
        <v>50</v>
      </c>
      <c r="G153" s="39">
        <v>0</v>
      </c>
      <c r="H153" s="39">
        <f t="shared" si="26"/>
        <v>0</v>
      </c>
      <c r="I153" s="39">
        <f t="shared" si="21"/>
        <v>2.8230139999999997E-2</v>
      </c>
      <c r="J153" s="39">
        <v>0</v>
      </c>
      <c r="K153" s="39">
        <v>2.8230139999999997E-2</v>
      </c>
      <c r="L153" s="39">
        <v>0</v>
      </c>
      <c r="M153" s="37">
        <v>0</v>
      </c>
      <c r="N153" s="39">
        <v>0</v>
      </c>
      <c r="O153" s="37">
        <v>0</v>
      </c>
      <c r="P153" s="39">
        <v>0</v>
      </c>
      <c r="Q153" s="37" t="s">
        <v>50</v>
      </c>
      <c r="R153" s="37" t="s">
        <v>50</v>
      </c>
      <c r="S153" s="39">
        <f t="shared" si="22"/>
        <v>-2.8230139999999997E-2</v>
      </c>
      <c r="T153" s="39">
        <f t="shared" si="23"/>
        <v>2.8230139999999997E-2</v>
      </c>
      <c r="U153" s="40">
        <v>100</v>
      </c>
      <c r="V153" s="32" t="s">
        <v>726</v>
      </c>
    </row>
    <row r="154" spans="1:22" ht="45" x14ac:dyDescent="0.25">
      <c r="A154" s="21" t="s">
        <v>28</v>
      </c>
      <c r="B154" s="14" t="s">
        <v>379</v>
      </c>
      <c r="C154" s="47" t="s">
        <v>380</v>
      </c>
      <c r="D154" s="39">
        <v>0</v>
      </c>
      <c r="E154" s="39">
        <v>0</v>
      </c>
      <c r="F154" s="37" t="s">
        <v>50</v>
      </c>
      <c r="G154" s="39">
        <v>0</v>
      </c>
      <c r="H154" s="39">
        <f t="shared" si="26"/>
        <v>0</v>
      </c>
      <c r="I154" s="39">
        <f t="shared" si="21"/>
        <v>1.5737669999999999E-2</v>
      </c>
      <c r="J154" s="39">
        <v>0</v>
      </c>
      <c r="K154" s="39">
        <v>1.5737669999999999E-2</v>
      </c>
      <c r="L154" s="39">
        <v>0</v>
      </c>
      <c r="M154" s="37">
        <v>0</v>
      </c>
      <c r="N154" s="39">
        <v>0</v>
      </c>
      <c r="O154" s="37">
        <v>0</v>
      </c>
      <c r="P154" s="39">
        <v>0</v>
      </c>
      <c r="Q154" s="37" t="s">
        <v>50</v>
      </c>
      <c r="R154" s="37" t="s">
        <v>50</v>
      </c>
      <c r="S154" s="39">
        <f t="shared" si="22"/>
        <v>-1.5737669999999999E-2</v>
      </c>
      <c r="T154" s="39">
        <f t="shared" si="23"/>
        <v>1.5737669999999999E-2</v>
      </c>
      <c r="U154" s="40">
        <v>100</v>
      </c>
      <c r="V154" s="32" t="s">
        <v>726</v>
      </c>
    </row>
    <row r="155" spans="1:22" ht="45" x14ac:dyDescent="0.25">
      <c r="A155" s="21" t="s">
        <v>28</v>
      </c>
      <c r="B155" s="14" t="s">
        <v>381</v>
      </c>
      <c r="C155" s="47" t="s">
        <v>382</v>
      </c>
      <c r="D155" s="39">
        <v>0</v>
      </c>
      <c r="E155" s="39">
        <v>0</v>
      </c>
      <c r="F155" s="37" t="s">
        <v>50</v>
      </c>
      <c r="G155" s="39">
        <v>0</v>
      </c>
      <c r="H155" s="39">
        <f t="shared" si="26"/>
        <v>0</v>
      </c>
      <c r="I155" s="39">
        <f t="shared" si="21"/>
        <v>8.7198059999999994E-2</v>
      </c>
      <c r="J155" s="39">
        <v>0</v>
      </c>
      <c r="K155" s="39">
        <v>1.426588E-2</v>
      </c>
      <c r="L155" s="39">
        <v>0</v>
      </c>
      <c r="M155" s="37">
        <f>72.93218/1000</f>
        <v>7.2932179999999999E-2</v>
      </c>
      <c r="N155" s="39">
        <v>0</v>
      </c>
      <c r="O155" s="37">
        <v>0</v>
      </c>
      <c r="P155" s="39">
        <v>0</v>
      </c>
      <c r="Q155" s="37" t="s">
        <v>50</v>
      </c>
      <c r="R155" s="37" t="s">
        <v>50</v>
      </c>
      <c r="S155" s="39">
        <f t="shared" si="22"/>
        <v>-8.7198059999999994E-2</v>
      </c>
      <c r="T155" s="39">
        <f t="shared" si="23"/>
        <v>8.7198059999999994E-2</v>
      </c>
      <c r="U155" s="40">
        <v>100</v>
      </c>
      <c r="V155" s="32" t="s">
        <v>728</v>
      </c>
    </row>
    <row r="156" spans="1:22" ht="45" x14ac:dyDescent="0.25">
      <c r="A156" s="21" t="s">
        <v>28</v>
      </c>
      <c r="B156" s="14" t="s">
        <v>554</v>
      </c>
      <c r="C156" s="47" t="s">
        <v>555</v>
      </c>
      <c r="D156" s="39">
        <v>0</v>
      </c>
      <c r="E156" s="39">
        <v>0</v>
      </c>
      <c r="F156" s="37" t="s">
        <v>50</v>
      </c>
      <c r="G156" s="39">
        <v>0</v>
      </c>
      <c r="H156" s="39">
        <f t="shared" si="26"/>
        <v>0</v>
      </c>
      <c r="I156" s="39">
        <f t="shared" si="21"/>
        <v>5.896245E-2</v>
      </c>
      <c r="J156" s="39">
        <v>0</v>
      </c>
      <c r="K156" s="39">
        <v>0</v>
      </c>
      <c r="L156" s="39">
        <v>0</v>
      </c>
      <c r="M156" s="37">
        <f>58.96245/1000</f>
        <v>5.896245E-2</v>
      </c>
      <c r="N156" s="39">
        <v>0</v>
      </c>
      <c r="O156" s="37">
        <v>0</v>
      </c>
      <c r="P156" s="39">
        <v>0</v>
      </c>
      <c r="Q156" s="37" t="s">
        <v>50</v>
      </c>
      <c r="R156" s="37" t="s">
        <v>50</v>
      </c>
      <c r="S156" s="39">
        <f t="shared" si="22"/>
        <v>-5.896245E-2</v>
      </c>
      <c r="T156" s="39">
        <f t="shared" si="23"/>
        <v>5.896245E-2</v>
      </c>
      <c r="U156" s="40">
        <v>100</v>
      </c>
      <c r="V156" s="32" t="s">
        <v>729</v>
      </c>
    </row>
    <row r="157" spans="1:22" ht="60" x14ac:dyDescent="0.25">
      <c r="A157" s="21" t="s">
        <v>28</v>
      </c>
      <c r="B157" s="14" t="s">
        <v>556</v>
      </c>
      <c r="C157" s="47" t="s">
        <v>557</v>
      </c>
      <c r="D157" s="39">
        <v>0</v>
      </c>
      <c r="E157" s="39">
        <v>0</v>
      </c>
      <c r="F157" s="37" t="s">
        <v>50</v>
      </c>
      <c r="G157" s="39">
        <v>0</v>
      </c>
      <c r="H157" s="39">
        <f t="shared" si="26"/>
        <v>0</v>
      </c>
      <c r="I157" s="39">
        <f t="shared" si="21"/>
        <v>4.1311219999999996E-2</v>
      </c>
      <c r="J157" s="39">
        <v>0</v>
      </c>
      <c r="K157" s="39">
        <v>0</v>
      </c>
      <c r="L157" s="39">
        <v>0</v>
      </c>
      <c r="M157" s="37">
        <f>41.31122/1000</f>
        <v>4.1311219999999996E-2</v>
      </c>
      <c r="N157" s="39">
        <v>0</v>
      </c>
      <c r="O157" s="37">
        <v>0</v>
      </c>
      <c r="P157" s="39">
        <v>0</v>
      </c>
      <c r="Q157" s="37" t="s">
        <v>50</v>
      </c>
      <c r="R157" s="37" t="s">
        <v>50</v>
      </c>
      <c r="S157" s="39">
        <f t="shared" si="22"/>
        <v>-4.1311219999999996E-2</v>
      </c>
      <c r="T157" s="39">
        <f t="shared" si="23"/>
        <v>4.1311219999999996E-2</v>
      </c>
      <c r="U157" s="40">
        <v>100</v>
      </c>
      <c r="V157" s="32" t="s">
        <v>730</v>
      </c>
    </row>
    <row r="158" spans="1:22" ht="60" x14ac:dyDescent="0.25">
      <c r="A158" s="21" t="s">
        <v>28</v>
      </c>
      <c r="B158" s="14" t="s">
        <v>558</v>
      </c>
      <c r="C158" s="47" t="s">
        <v>559</v>
      </c>
      <c r="D158" s="39">
        <v>0</v>
      </c>
      <c r="E158" s="39">
        <v>0</v>
      </c>
      <c r="F158" s="37" t="s">
        <v>50</v>
      </c>
      <c r="G158" s="39">
        <v>0</v>
      </c>
      <c r="H158" s="39">
        <f t="shared" si="26"/>
        <v>0</v>
      </c>
      <c r="I158" s="39">
        <f t="shared" si="21"/>
        <v>1.9120460000000002E-2</v>
      </c>
      <c r="J158" s="39">
        <v>0</v>
      </c>
      <c r="K158" s="39">
        <v>0</v>
      </c>
      <c r="L158" s="39">
        <v>0</v>
      </c>
      <c r="M158" s="37">
        <f>19.12046/1000</f>
        <v>1.9120460000000002E-2</v>
      </c>
      <c r="N158" s="39">
        <v>0</v>
      </c>
      <c r="O158" s="37">
        <v>0</v>
      </c>
      <c r="P158" s="39">
        <v>0</v>
      </c>
      <c r="Q158" s="37" t="s">
        <v>50</v>
      </c>
      <c r="R158" s="37" t="s">
        <v>50</v>
      </c>
      <c r="S158" s="39">
        <f t="shared" si="22"/>
        <v>-1.9120460000000002E-2</v>
      </c>
      <c r="T158" s="39">
        <f t="shared" si="23"/>
        <v>1.9120460000000002E-2</v>
      </c>
      <c r="U158" s="40">
        <v>100</v>
      </c>
      <c r="V158" s="32" t="s">
        <v>730</v>
      </c>
    </row>
    <row r="159" spans="1:22" ht="45" x14ac:dyDescent="0.25">
      <c r="A159" s="21" t="s">
        <v>28</v>
      </c>
      <c r="B159" s="14" t="s">
        <v>560</v>
      </c>
      <c r="C159" s="47" t="s">
        <v>561</v>
      </c>
      <c r="D159" s="39">
        <v>0</v>
      </c>
      <c r="E159" s="39">
        <v>0</v>
      </c>
      <c r="F159" s="37" t="s">
        <v>50</v>
      </c>
      <c r="G159" s="39">
        <v>0</v>
      </c>
      <c r="H159" s="39">
        <f t="shared" si="26"/>
        <v>0</v>
      </c>
      <c r="I159" s="39">
        <f t="shared" si="21"/>
        <v>2.584792E-2</v>
      </c>
      <c r="J159" s="39">
        <v>0</v>
      </c>
      <c r="K159" s="39">
        <v>0</v>
      </c>
      <c r="L159" s="39">
        <v>0</v>
      </c>
      <c r="M159" s="37">
        <f>25.84792/1000</f>
        <v>2.584792E-2</v>
      </c>
      <c r="N159" s="39">
        <v>0</v>
      </c>
      <c r="O159" s="37">
        <v>0</v>
      </c>
      <c r="P159" s="39">
        <v>0</v>
      </c>
      <c r="Q159" s="37" t="s">
        <v>50</v>
      </c>
      <c r="R159" s="37" t="s">
        <v>50</v>
      </c>
      <c r="S159" s="39">
        <f t="shared" si="22"/>
        <v>-2.584792E-2</v>
      </c>
      <c r="T159" s="39">
        <f t="shared" si="23"/>
        <v>2.584792E-2</v>
      </c>
      <c r="U159" s="40">
        <v>100</v>
      </c>
      <c r="V159" s="32" t="s">
        <v>731</v>
      </c>
    </row>
    <row r="160" spans="1:22" ht="60" x14ac:dyDescent="0.25">
      <c r="A160" s="21" t="s">
        <v>28</v>
      </c>
      <c r="B160" s="14" t="s">
        <v>562</v>
      </c>
      <c r="C160" s="47" t="s">
        <v>563</v>
      </c>
      <c r="D160" s="39">
        <v>0</v>
      </c>
      <c r="E160" s="39">
        <v>0</v>
      </c>
      <c r="F160" s="37" t="s">
        <v>50</v>
      </c>
      <c r="G160" s="39">
        <v>0</v>
      </c>
      <c r="H160" s="39">
        <f t="shared" si="26"/>
        <v>0</v>
      </c>
      <c r="I160" s="39">
        <f t="shared" si="21"/>
        <v>0.11474817</v>
      </c>
      <c r="J160" s="39">
        <v>0</v>
      </c>
      <c r="K160" s="39">
        <v>0</v>
      </c>
      <c r="L160" s="39">
        <v>0</v>
      </c>
      <c r="M160" s="37">
        <f>114.74817/1000</f>
        <v>0.11474817</v>
      </c>
      <c r="N160" s="39">
        <v>0</v>
      </c>
      <c r="O160" s="37">
        <v>0</v>
      </c>
      <c r="P160" s="39">
        <v>0</v>
      </c>
      <c r="Q160" s="37" t="s">
        <v>50</v>
      </c>
      <c r="R160" s="37" t="s">
        <v>50</v>
      </c>
      <c r="S160" s="39">
        <f t="shared" si="22"/>
        <v>-0.11474817</v>
      </c>
      <c r="T160" s="39">
        <f t="shared" si="23"/>
        <v>0.11474817</v>
      </c>
      <c r="U160" s="40">
        <v>100</v>
      </c>
      <c r="V160" s="32" t="s">
        <v>730</v>
      </c>
    </row>
    <row r="161" spans="1:22" ht="45" x14ac:dyDescent="0.25">
      <c r="A161" s="21" t="s">
        <v>28</v>
      </c>
      <c r="B161" s="14" t="s">
        <v>123</v>
      </c>
      <c r="C161" s="15" t="s">
        <v>124</v>
      </c>
      <c r="D161" s="39">
        <v>3.2713493965404565E-2</v>
      </c>
      <c r="E161" s="39">
        <v>0</v>
      </c>
      <c r="F161" s="37" t="s">
        <v>50</v>
      </c>
      <c r="G161" s="39">
        <v>0.25451098305084757</v>
      </c>
      <c r="H161" s="39">
        <f t="shared" si="26"/>
        <v>0.25451098305084757</v>
      </c>
      <c r="I161" s="39">
        <f t="shared" si="21"/>
        <v>0.17882941000000002</v>
      </c>
      <c r="J161" s="39">
        <v>0</v>
      </c>
      <c r="K161" s="39">
        <v>0</v>
      </c>
      <c r="L161" s="39">
        <v>0</v>
      </c>
      <c r="M161" s="37">
        <v>0</v>
      </c>
      <c r="N161" s="39">
        <v>0.25451098305084757</v>
      </c>
      <c r="O161" s="37">
        <v>0.17882941000000002</v>
      </c>
      <c r="P161" s="39">
        <v>0</v>
      </c>
      <c r="Q161" s="37" t="s">
        <v>50</v>
      </c>
      <c r="R161" s="37" t="s">
        <v>50</v>
      </c>
      <c r="S161" s="39">
        <f t="shared" si="22"/>
        <v>7.568157305084755E-2</v>
      </c>
      <c r="T161" s="39">
        <f t="shared" si="23"/>
        <v>-7.568157305084755E-2</v>
      </c>
      <c r="U161" s="40">
        <f t="shared" si="25"/>
        <v>-29.736073525647214</v>
      </c>
      <c r="V161" s="32" t="s">
        <v>759</v>
      </c>
    </row>
    <row r="162" spans="1:22" ht="45" x14ac:dyDescent="0.25">
      <c r="A162" s="21" t="s">
        <v>28</v>
      </c>
      <c r="B162" s="14" t="s">
        <v>125</v>
      </c>
      <c r="C162" s="15" t="s">
        <v>126</v>
      </c>
      <c r="D162" s="39">
        <v>2.4535120474053429E-2</v>
      </c>
      <c r="E162" s="39">
        <v>0</v>
      </c>
      <c r="F162" s="37" t="s">
        <v>50</v>
      </c>
      <c r="G162" s="39">
        <v>0.19088323728813569</v>
      </c>
      <c r="H162" s="39">
        <f t="shared" si="26"/>
        <v>0.19088323728813569</v>
      </c>
      <c r="I162" s="39">
        <f t="shared" si="21"/>
        <v>0.15416858</v>
      </c>
      <c r="J162" s="39">
        <v>0</v>
      </c>
      <c r="K162" s="39">
        <v>0</v>
      </c>
      <c r="L162" s="39">
        <v>0</v>
      </c>
      <c r="M162" s="37">
        <v>0</v>
      </c>
      <c r="N162" s="39">
        <v>0.19088323728813569</v>
      </c>
      <c r="O162" s="37">
        <v>0.15416858</v>
      </c>
      <c r="P162" s="39">
        <v>0</v>
      </c>
      <c r="Q162" s="37" t="s">
        <v>50</v>
      </c>
      <c r="R162" s="37" t="s">
        <v>50</v>
      </c>
      <c r="S162" s="39">
        <f t="shared" si="22"/>
        <v>3.6714657288135694E-2</v>
      </c>
      <c r="T162" s="39">
        <f t="shared" si="23"/>
        <v>-3.6714657288135694E-2</v>
      </c>
      <c r="U162" s="40">
        <f t="shared" si="25"/>
        <v>-19.234091903374107</v>
      </c>
      <c r="V162" s="32" t="s">
        <v>759</v>
      </c>
    </row>
    <row r="163" spans="1:22" ht="45" x14ac:dyDescent="0.25">
      <c r="A163" s="21" t="s">
        <v>28</v>
      </c>
      <c r="B163" s="14" t="s">
        <v>127</v>
      </c>
      <c r="C163" s="15" t="s">
        <v>128</v>
      </c>
      <c r="D163" s="39">
        <v>2.4535120474053429E-2</v>
      </c>
      <c r="E163" s="39">
        <v>0</v>
      </c>
      <c r="F163" s="37" t="s">
        <v>50</v>
      </c>
      <c r="G163" s="39">
        <v>0.19088323728813569</v>
      </c>
      <c r="H163" s="39">
        <f t="shared" si="26"/>
        <v>0.19088323728813569</v>
      </c>
      <c r="I163" s="39">
        <f t="shared" si="21"/>
        <v>0.14446676</v>
      </c>
      <c r="J163" s="39">
        <v>0</v>
      </c>
      <c r="K163" s="39">
        <v>0</v>
      </c>
      <c r="L163" s="39">
        <v>0</v>
      </c>
      <c r="M163" s="37">
        <v>0</v>
      </c>
      <c r="N163" s="39">
        <v>0.19088323728813569</v>
      </c>
      <c r="O163" s="37">
        <v>0.14446676</v>
      </c>
      <c r="P163" s="39">
        <v>0</v>
      </c>
      <c r="Q163" s="37" t="s">
        <v>50</v>
      </c>
      <c r="R163" s="37" t="s">
        <v>50</v>
      </c>
      <c r="S163" s="39">
        <f t="shared" si="22"/>
        <v>4.6416477288135694E-2</v>
      </c>
      <c r="T163" s="39">
        <f t="shared" si="23"/>
        <v>-4.6416477288135694E-2</v>
      </c>
      <c r="U163" s="40">
        <f t="shared" si="25"/>
        <v>-24.3166859214938</v>
      </c>
      <c r="V163" s="32" t="s">
        <v>759</v>
      </c>
    </row>
    <row r="164" spans="1:22" ht="45" x14ac:dyDescent="0.25">
      <c r="A164" s="21" t="s">
        <v>28</v>
      </c>
      <c r="B164" s="14" t="s">
        <v>129</v>
      </c>
      <c r="C164" s="15" t="s">
        <v>130</v>
      </c>
      <c r="D164" s="39">
        <v>2.4535120474053429E-2</v>
      </c>
      <c r="E164" s="39">
        <v>0</v>
      </c>
      <c r="F164" s="37" t="s">
        <v>50</v>
      </c>
      <c r="G164" s="39">
        <v>0.19088323728813569</v>
      </c>
      <c r="H164" s="39">
        <f t="shared" si="26"/>
        <v>0.19088323728813569</v>
      </c>
      <c r="I164" s="39">
        <f t="shared" si="21"/>
        <v>0.13954817</v>
      </c>
      <c r="J164" s="39">
        <v>0</v>
      </c>
      <c r="K164" s="39">
        <v>0</v>
      </c>
      <c r="L164" s="39">
        <v>0</v>
      </c>
      <c r="M164" s="37">
        <v>0</v>
      </c>
      <c r="N164" s="39">
        <v>0.19088323728813569</v>
      </c>
      <c r="O164" s="37">
        <v>0.13954817</v>
      </c>
      <c r="P164" s="39">
        <v>0</v>
      </c>
      <c r="Q164" s="37" t="s">
        <v>50</v>
      </c>
      <c r="R164" s="37" t="s">
        <v>50</v>
      </c>
      <c r="S164" s="39">
        <f t="shared" si="22"/>
        <v>5.1335067288135694E-2</v>
      </c>
      <c r="T164" s="39">
        <f t="shared" si="23"/>
        <v>-5.1335067288135694E-2</v>
      </c>
      <c r="U164" s="40">
        <f t="shared" si="25"/>
        <v>-26.893439160739973</v>
      </c>
      <c r="V164" s="32" t="s">
        <v>759</v>
      </c>
    </row>
    <row r="165" spans="1:22" ht="45" x14ac:dyDescent="0.25">
      <c r="A165" s="21" t="s">
        <v>28</v>
      </c>
      <c r="B165" s="14" t="s">
        <v>131</v>
      </c>
      <c r="C165" s="15" t="s">
        <v>132</v>
      </c>
      <c r="D165" s="39">
        <v>3.2713493965404565E-2</v>
      </c>
      <c r="E165" s="39">
        <v>0</v>
      </c>
      <c r="F165" s="37" t="s">
        <v>50</v>
      </c>
      <c r="G165" s="39">
        <v>0.25451098305084757</v>
      </c>
      <c r="H165" s="39">
        <f t="shared" si="26"/>
        <v>0.25451098305084757</v>
      </c>
      <c r="I165" s="39">
        <f t="shared" si="21"/>
        <v>0.17970696</v>
      </c>
      <c r="J165" s="39">
        <v>0</v>
      </c>
      <c r="K165" s="39">
        <v>0</v>
      </c>
      <c r="L165" s="39">
        <v>0</v>
      </c>
      <c r="M165" s="37">
        <v>0</v>
      </c>
      <c r="N165" s="39">
        <v>0.25451098305084757</v>
      </c>
      <c r="O165" s="37">
        <v>0.17970696</v>
      </c>
      <c r="P165" s="39">
        <v>0</v>
      </c>
      <c r="Q165" s="37" t="s">
        <v>50</v>
      </c>
      <c r="R165" s="37" t="s">
        <v>50</v>
      </c>
      <c r="S165" s="39">
        <f t="shared" si="22"/>
        <v>7.4804023050847573E-2</v>
      </c>
      <c r="T165" s="39">
        <f t="shared" si="23"/>
        <v>-7.4804023050847573E-2</v>
      </c>
      <c r="U165" s="40">
        <f t="shared" si="25"/>
        <v>-29.391275046037137</v>
      </c>
      <c r="V165" s="32" t="s">
        <v>759</v>
      </c>
    </row>
    <row r="166" spans="1:22" ht="45" x14ac:dyDescent="0.25">
      <c r="A166" s="21" t="s">
        <v>28</v>
      </c>
      <c r="B166" s="14" t="s">
        <v>133</v>
      </c>
      <c r="C166" s="15" t="s">
        <v>134</v>
      </c>
      <c r="D166" s="39">
        <v>2.4535120474053429E-2</v>
      </c>
      <c r="E166" s="39">
        <v>0</v>
      </c>
      <c r="F166" s="37" t="s">
        <v>50</v>
      </c>
      <c r="G166" s="39">
        <v>0.19088323728813569</v>
      </c>
      <c r="H166" s="39">
        <f t="shared" si="26"/>
        <v>0.19088323728813569</v>
      </c>
      <c r="I166" s="39">
        <f t="shared" si="21"/>
        <v>0.15218722999999998</v>
      </c>
      <c r="J166" s="39">
        <v>0</v>
      </c>
      <c r="K166" s="39">
        <v>0</v>
      </c>
      <c r="L166" s="39">
        <v>0</v>
      </c>
      <c r="M166" s="37">
        <v>0</v>
      </c>
      <c r="N166" s="39">
        <v>0.19088323728813569</v>
      </c>
      <c r="O166" s="37">
        <v>0.15218722999999998</v>
      </c>
      <c r="P166" s="39">
        <v>0</v>
      </c>
      <c r="Q166" s="37" t="s">
        <v>50</v>
      </c>
      <c r="R166" s="37" t="s">
        <v>50</v>
      </c>
      <c r="S166" s="39">
        <f t="shared" si="22"/>
        <v>3.8696007288135714E-2</v>
      </c>
      <c r="T166" s="39">
        <f t="shared" si="23"/>
        <v>-3.8696007288135714E-2</v>
      </c>
      <c r="U166" s="40">
        <f t="shared" si="25"/>
        <v>-20.272082471927391</v>
      </c>
      <c r="V166" s="32" t="s">
        <v>759</v>
      </c>
    </row>
    <row r="167" spans="1:22" ht="45" x14ac:dyDescent="0.25">
      <c r="A167" s="21" t="s">
        <v>28</v>
      </c>
      <c r="B167" s="22" t="s">
        <v>135</v>
      </c>
      <c r="C167" s="35" t="s">
        <v>136</v>
      </c>
      <c r="D167" s="39">
        <v>1.3384710905842865E-2</v>
      </c>
      <c r="E167" s="39">
        <v>0</v>
      </c>
      <c r="F167" s="37" t="s">
        <v>50</v>
      </c>
      <c r="G167" s="39">
        <v>0.1041330508474575</v>
      </c>
      <c r="H167" s="39">
        <f t="shared" si="26"/>
        <v>0.1041330508474575</v>
      </c>
      <c r="I167" s="39">
        <f t="shared" si="21"/>
        <v>0.13700403999999999</v>
      </c>
      <c r="J167" s="39">
        <v>0</v>
      </c>
      <c r="K167" s="39">
        <v>0</v>
      </c>
      <c r="L167" s="39">
        <v>0</v>
      </c>
      <c r="M167" s="37">
        <v>0</v>
      </c>
      <c r="N167" s="39">
        <v>0.1041330508474575</v>
      </c>
      <c r="O167" s="37">
        <v>0.13700403999999999</v>
      </c>
      <c r="P167" s="39">
        <v>0</v>
      </c>
      <c r="Q167" s="37" t="s">
        <v>50</v>
      </c>
      <c r="R167" s="37" t="s">
        <v>50</v>
      </c>
      <c r="S167" s="39">
        <f t="shared" si="22"/>
        <v>-3.2870989152542496E-2</v>
      </c>
      <c r="T167" s="39">
        <f t="shared" si="23"/>
        <v>3.2870989152542496E-2</v>
      </c>
      <c r="U167" s="40">
        <f t="shared" si="25"/>
        <v>31.566336417718674</v>
      </c>
      <c r="V167" s="32" t="s">
        <v>760</v>
      </c>
    </row>
    <row r="168" spans="1:22" ht="45" x14ac:dyDescent="0.25">
      <c r="A168" s="21" t="s">
        <v>28</v>
      </c>
      <c r="B168" s="14" t="s">
        <v>137</v>
      </c>
      <c r="C168" s="15" t="s">
        <v>138</v>
      </c>
      <c r="D168" s="39">
        <v>4.049431205611953E-2</v>
      </c>
      <c r="E168" s="39">
        <v>0</v>
      </c>
      <c r="F168" s="37" t="s">
        <v>50</v>
      </c>
      <c r="G168" s="39">
        <v>0.31504574779660999</v>
      </c>
      <c r="H168" s="39">
        <f t="shared" si="26"/>
        <v>0.31504574779660999</v>
      </c>
      <c r="I168" s="39">
        <f t="shared" si="21"/>
        <v>0.22509220999999999</v>
      </c>
      <c r="J168" s="39">
        <v>0</v>
      </c>
      <c r="K168" s="39">
        <v>0</v>
      </c>
      <c r="L168" s="39">
        <v>0</v>
      </c>
      <c r="M168" s="37">
        <v>0</v>
      </c>
      <c r="N168" s="39">
        <v>0.31504574779660999</v>
      </c>
      <c r="O168" s="37">
        <v>0.22509220999999999</v>
      </c>
      <c r="P168" s="39">
        <v>0</v>
      </c>
      <c r="Q168" s="37" t="s">
        <v>50</v>
      </c>
      <c r="R168" s="37" t="s">
        <v>50</v>
      </c>
      <c r="S168" s="39">
        <f t="shared" si="22"/>
        <v>8.995353779661E-2</v>
      </c>
      <c r="T168" s="39">
        <f t="shared" si="23"/>
        <v>-8.995353779661E-2</v>
      </c>
      <c r="U168" s="40">
        <f t="shared" si="25"/>
        <v>-28.552531949957626</v>
      </c>
      <c r="V168" s="32" t="s">
        <v>759</v>
      </c>
    </row>
    <row r="169" spans="1:22" ht="45" x14ac:dyDescent="0.25">
      <c r="A169" s="21" t="s">
        <v>28</v>
      </c>
      <c r="B169" s="14" t="s">
        <v>139</v>
      </c>
      <c r="C169" s="15" t="s">
        <v>140</v>
      </c>
      <c r="D169" s="39">
        <v>1.4800770423946664E-2</v>
      </c>
      <c r="E169" s="39">
        <v>0</v>
      </c>
      <c r="F169" s="37" t="s">
        <v>50</v>
      </c>
      <c r="G169" s="39">
        <v>0.11514999389830502</v>
      </c>
      <c r="H169" s="39">
        <f t="shared" si="26"/>
        <v>0.11514999389830502</v>
      </c>
      <c r="I169" s="39">
        <f t="shared" si="21"/>
        <v>0.13291152000000001</v>
      </c>
      <c r="J169" s="39">
        <v>0</v>
      </c>
      <c r="K169" s="39">
        <v>0</v>
      </c>
      <c r="L169" s="39">
        <v>0</v>
      </c>
      <c r="M169" s="37">
        <v>0</v>
      </c>
      <c r="N169" s="39">
        <v>0.11514999389830502</v>
      </c>
      <c r="O169" s="37">
        <v>0.13291152000000001</v>
      </c>
      <c r="P169" s="39">
        <v>0</v>
      </c>
      <c r="Q169" s="37" t="s">
        <v>50</v>
      </c>
      <c r="R169" s="37" t="s">
        <v>50</v>
      </c>
      <c r="S169" s="39">
        <f t="shared" si="22"/>
        <v>-1.7761526101694985E-2</v>
      </c>
      <c r="T169" s="39">
        <f t="shared" si="23"/>
        <v>1.7761526101694985E-2</v>
      </c>
      <c r="U169" s="40">
        <f t="shared" si="25"/>
        <v>15.42468696731423</v>
      </c>
      <c r="V169" s="32" t="s">
        <v>760</v>
      </c>
    </row>
    <row r="170" spans="1:22" ht="45" x14ac:dyDescent="0.25">
      <c r="A170" s="21" t="s">
        <v>28</v>
      </c>
      <c r="B170" s="14" t="s">
        <v>141</v>
      </c>
      <c r="C170" s="15" t="s">
        <v>142</v>
      </c>
      <c r="D170" s="39">
        <v>1.5563265282558485E-2</v>
      </c>
      <c r="E170" s="39">
        <v>0</v>
      </c>
      <c r="F170" s="37" t="s">
        <v>50</v>
      </c>
      <c r="G170" s="39">
        <v>0.12108220389830503</v>
      </c>
      <c r="H170" s="39">
        <f t="shared" si="26"/>
        <v>0.12108220389830503</v>
      </c>
      <c r="I170" s="39">
        <f t="shared" si="21"/>
        <v>0.10832872000000002</v>
      </c>
      <c r="J170" s="39">
        <v>0</v>
      </c>
      <c r="K170" s="39">
        <v>0</v>
      </c>
      <c r="L170" s="39">
        <v>0</v>
      </c>
      <c r="M170" s="37">
        <v>0</v>
      </c>
      <c r="N170" s="39">
        <v>0.12108220389830503</v>
      </c>
      <c r="O170" s="37">
        <v>0.10832872000000002</v>
      </c>
      <c r="P170" s="39">
        <v>0</v>
      </c>
      <c r="Q170" s="37" t="s">
        <v>50</v>
      </c>
      <c r="R170" s="37" t="s">
        <v>50</v>
      </c>
      <c r="S170" s="39">
        <f t="shared" si="22"/>
        <v>1.275348389830501E-2</v>
      </c>
      <c r="T170" s="39">
        <f t="shared" si="23"/>
        <v>-1.275348389830501E-2</v>
      </c>
      <c r="U170" s="40">
        <f t="shared" si="25"/>
        <v>-10.532913580773979</v>
      </c>
      <c r="V170" s="32" t="s">
        <v>759</v>
      </c>
    </row>
    <row r="171" spans="1:22" ht="45" x14ac:dyDescent="0.25">
      <c r="A171" s="21" t="s">
        <v>28</v>
      </c>
      <c r="B171" s="14" t="s">
        <v>143</v>
      </c>
      <c r="C171" s="15" t="s">
        <v>144</v>
      </c>
      <c r="D171" s="39">
        <v>3.7167551522809442E-2</v>
      </c>
      <c r="E171" s="39">
        <v>0</v>
      </c>
      <c r="F171" s="37" t="s">
        <v>50</v>
      </c>
      <c r="G171" s="39">
        <v>0.28916355084745748</v>
      </c>
      <c r="H171" s="39">
        <f t="shared" si="26"/>
        <v>0.28916355084745748</v>
      </c>
      <c r="I171" s="39">
        <f t="shared" si="21"/>
        <v>0.26969995000000002</v>
      </c>
      <c r="J171" s="39">
        <v>0</v>
      </c>
      <c r="K171" s="39">
        <v>0</v>
      </c>
      <c r="L171" s="39">
        <v>0</v>
      </c>
      <c r="M171" s="37">
        <v>0</v>
      </c>
      <c r="N171" s="39">
        <v>0.28916355084745748</v>
      </c>
      <c r="O171" s="37">
        <v>0.26969995000000002</v>
      </c>
      <c r="P171" s="39">
        <v>0</v>
      </c>
      <c r="Q171" s="37" t="s">
        <v>50</v>
      </c>
      <c r="R171" s="37" t="s">
        <v>50</v>
      </c>
      <c r="S171" s="39">
        <f t="shared" si="22"/>
        <v>1.9463600847457463E-2</v>
      </c>
      <c r="T171" s="39">
        <f t="shared" si="23"/>
        <v>-1.9463600847457463E-2</v>
      </c>
      <c r="U171" s="40">
        <f t="shared" si="25"/>
        <v>-6.7310007746187495</v>
      </c>
      <c r="V171" s="38" t="s">
        <v>50</v>
      </c>
    </row>
    <row r="172" spans="1:22" ht="45" x14ac:dyDescent="0.25">
      <c r="A172" s="21" t="s">
        <v>28</v>
      </c>
      <c r="B172" s="14" t="s">
        <v>145</v>
      </c>
      <c r="C172" s="15" t="s">
        <v>146</v>
      </c>
      <c r="D172" s="39">
        <v>5.8776298200514136E-3</v>
      </c>
      <c r="E172" s="39">
        <v>0</v>
      </c>
      <c r="F172" s="37" t="s">
        <v>50</v>
      </c>
      <c r="G172" s="39">
        <v>4.5727959999999998E-2</v>
      </c>
      <c r="H172" s="39">
        <f t="shared" si="26"/>
        <v>4.5727959999999998E-2</v>
      </c>
      <c r="I172" s="39">
        <f t="shared" si="21"/>
        <v>6.0496640000000004E-2</v>
      </c>
      <c r="J172" s="39">
        <v>0</v>
      </c>
      <c r="K172" s="39">
        <v>0</v>
      </c>
      <c r="L172" s="39">
        <v>0</v>
      </c>
      <c r="M172" s="37">
        <v>0</v>
      </c>
      <c r="N172" s="39">
        <v>4.5727959999999998E-2</v>
      </c>
      <c r="O172" s="37">
        <v>6.0496640000000004E-2</v>
      </c>
      <c r="P172" s="39">
        <v>0</v>
      </c>
      <c r="Q172" s="37" t="s">
        <v>50</v>
      </c>
      <c r="R172" s="37" t="s">
        <v>50</v>
      </c>
      <c r="S172" s="39">
        <f t="shared" si="22"/>
        <v>-1.4768680000000006E-2</v>
      </c>
      <c r="T172" s="39">
        <f t="shared" si="23"/>
        <v>1.4768680000000006E-2</v>
      </c>
      <c r="U172" s="40">
        <f t="shared" si="25"/>
        <v>32.296826711709883</v>
      </c>
      <c r="V172" s="32" t="s">
        <v>760</v>
      </c>
    </row>
    <row r="173" spans="1:22" ht="45" x14ac:dyDescent="0.25">
      <c r="A173" s="21" t="s">
        <v>28</v>
      </c>
      <c r="B173" s="14" t="s">
        <v>147</v>
      </c>
      <c r="C173" s="15" t="s">
        <v>148</v>
      </c>
      <c r="D173" s="39">
        <v>1.4909698444512207E-2</v>
      </c>
      <c r="E173" s="39">
        <v>0</v>
      </c>
      <c r="F173" s="37" t="s">
        <v>50</v>
      </c>
      <c r="G173" s="39">
        <v>0.11599745389830501</v>
      </c>
      <c r="H173" s="39">
        <f t="shared" si="26"/>
        <v>0.11599745389830501</v>
      </c>
      <c r="I173" s="39">
        <f t="shared" si="21"/>
        <v>0.11477983999999999</v>
      </c>
      <c r="J173" s="39">
        <v>0</v>
      </c>
      <c r="K173" s="39">
        <v>0</v>
      </c>
      <c r="L173" s="39">
        <v>0</v>
      </c>
      <c r="M173" s="37">
        <v>0</v>
      </c>
      <c r="N173" s="39">
        <v>0.11599745389830501</v>
      </c>
      <c r="O173" s="37">
        <v>0.11477983999999999</v>
      </c>
      <c r="P173" s="39">
        <v>0</v>
      </c>
      <c r="Q173" s="37" t="s">
        <v>50</v>
      </c>
      <c r="R173" s="37" t="s">
        <v>50</v>
      </c>
      <c r="S173" s="39">
        <f t="shared" si="22"/>
        <v>1.21761389830502E-3</v>
      </c>
      <c r="T173" s="39">
        <f t="shared" si="23"/>
        <v>-1.21761389830502E-3</v>
      </c>
      <c r="U173" s="40">
        <f t="shared" si="25"/>
        <v>-1.0496901935213998</v>
      </c>
      <c r="V173" s="38" t="s">
        <v>50</v>
      </c>
    </row>
    <row r="174" spans="1:22" ht="45" x14ac:dyDescent="0.25">
      <c r="A174" s="21" t="s">
        <v>28</v>
      </c>
      <c r="B174" s="14" t="s">
        <v>149</v>
      </c>
      <c r="C174" s="15" t="s">
        <v>150</v>
      </c>
      <c r="D174" s="39">
        <v>2.0787328656703404E-2</v>
      </c>
      <c r="E174" s="39">
        <v>0</v>
      </c>
      <c r="F174" s="37" t="s">
        <v>50</v>
      </c>
      <c r="G174" s="39">
        <v>0.16172541694915246</v>
      </c>
      <c r="H174" s="39">
        <f t="shared" si="26"/>
        <v>0.16172541694915246</v>
      </c>
      <c r="I174" s="39">
        <f t="shared" si="21"/>
        <v>0.16344110000000001</v>
      </c>
      <c r="J174" s="39">
        <v>0</v>
      </c>
      <c r="K174" s="39">
        <v>0</v>
      </c>
      <c r="L174" s="39">
        <v>0</v>
      </c>
      <c r="M174" s="37">
        <v>0</v>
      </c>
      <c r="N174" s="39">
        <v>0.16172541694915246</v>
      </c>
      <c r="O174" s="37">
        <v>0.16344110000000001</v>
      </c>
      <c r="P174" s="39">
        <v>0</v>
      </c>
      <c r="Q174" s="37" t="s">
        <v>50</v>
      </c>
      <c r="R174" s="37" t="s">
        <v>50</v>
      </c>
      <c r="S174" s="39">
        <f t="shared" si="22"/>
        <v>-1.715683050847544E-3</v>
      </c>
      <c r="T174" s="39">
        <f t="shared" si="23"/>
        <v>1.715683050847544E-3</v>
      </c>
      <c r="U174" s="40">
        <f t="shared" si="25"/>
        <v>1.0608617267544105</v>
      </c>
      <c r="V174" s="38" t="s">
        <v>50</v>
      </c>
    </row>
    <row r="175" spans="1:22" ht="60" x14ac:dyDescent="0.25">
      <c r="A175" s="21" t="s">
        <v>28</v>
      </c>
      <c r="B175" s="14" t="s">
        <v>151</v>
      </c>
      <c r="C175" s="15" t="s">
        <v>152</v>
      </c>
      <c r="D175" s="39">
        <v>0.12200776218901153</v>
      </c>
      <c r="E175" s="39">
        <v>0</v>
      </c>
      <c r="F175" s="37" t="s">
        <v>50</v>
      </c>
      <c r="G175" s="39">
        <v>0.94922038983051005</v>
      </c>
      <c r="H175" s="39">
        <f t="shared" si="26"/>
        <v>0.94922038983051005</v>
      </c>
      <c r="I175" s="39">
        <f t="shared" si="21"/>
        <v>0</v>
      </c>
      <c r="J175" s="39">
        <v>0</v>
      </c>
      <c r="K175" s="39">
        <v>0</v>
      </c>
      <c r="L175" s="39">
        <v>0.94922038983051005</v>
      </c>
      <c r="M175" s="37">
        <v>0</v>
      </c>
      <c r="N175" s="39">
        <v>0</v>
      </c>
      <c r="O175" s="37">
        <v>0</v>
      </c>
      <c r="P175" s="39">
        <v>0</v>
      </c>
      <c r="Q175" s="37" t="s">
        <v>50</v>
      </c>
      <c r="R175" s="37" t="s">
        <v>50</v>
      </c>
      <c r="S175" s="39">
        <f t="shared" si="22"/>
        <v>0.94922038983051005</v>
      </c>
      <c r="T175" s="39">
        <f t="shared" si="23"/>
        <v>-0.94922038983051005</v>
      </c>
      <c r="U175" s="40">
        <f t="shared" si="25"/>
        <v>-100</v>
      </c>
      <c r="V175" s="32" t="s">
        <v>732</v>
      </c>
    </row>
    <row r="176" spans="1:22" ht="60" x14ac:dyDescent="0.25">
      <c r="A176" s="21" t="s">
        <v>28</v>
      </c>
      <c r="B176" s="14" t="s">
        <v>153</v>
      </c>
      <c r="C176" s="15" t="s">
        <v>154</v>
      </c>
      <c r="D176" s="39">
        <v>0.48803104875604614</v>
      </c>
      <c r="E176" s="39">
        <v>0</v>
      </c>
      <c r="F176" s="37" t="s">
        <v>50</v>
      </c>
      <c r="G176" s="39">
        <v>3.7968815593220402</v>
      </c>
      <c r="H176" s="39">
        <f t="shared" si="26"/>
        <v>3.7968815593220402</v>
      </c>
      <c r="I176" s="39">
        <f t="shared" si="21"/>
        <v>0</v>
      </c>
      <c r="J176" s="39">
        <v>0</v>
      </c>
      <c r="K176" s="39">
        <v>0</v>
      </c>
      <c r="L176" s="39">
        <v>3.7968815593220402</v>
      </c>
      <c r="M176" s="37">
        <v>0</v>
      </c>
      <c r="N176" s="39">
        <v>0</v>
      </c>
      <c r="O176" s="37">
        <v>0</v>
      </c>
      <c r="P176" s="39">
        <v>0</v>
      </c>
      <c r="Q176" s="37" t="s">
        <v>50</v>
      </c>
      <c r="R176" s="37" t="s">
        <v>50</v>
      </c>
      <c r="S176" s="39">
        <f t="shared" si="22"/>
        <v>3.7968815593220402</v>
      </c>
      <c r="T176" s="39">
        <f t="shared" si="23"/>
        <v>-3.7968815593220402</v>
      </c>
      <c r="U176" s="40">
        <f t="shared" si="25"/>
        <v>-100</v>
      </c>
      <c r="V176" s="32" t="s">
        <v>732</v>
      </c>
    </row>
    <row r="177" spans="1:22" ht="60" x14ac:dyDescent="0.25">
      <c r="A177" s="21" t="s">
        <v>28</v>
      </c>
      <c r="B177" s="14" t="s">
        <v>155</v>
      </c>
      <c r="C177" s="15" t="s">
        <v>156</v>
      </c>
      <c r="D177" s="39">
        <v>0.40669254063003851</v>
      </c>
      <c r="E177" s="39">
        <v>0</v>
      </c>
      <c r="F177" s="37" t="s">
        <v>50</v>
      </c>
      <c r="G177" s="39">
        <v>3.1640679661016997</v>
      </c>
      <c r="H177" s="39">
        <f t="shared" si="26"/>
        <v>3.1640679661016997</v>
      </c>
      <c r="I177" s="39">
        <f t="shared" si="21"/>
        <v>0</v>
      </c>
      <c r="J177" s="39">
        <v>0</v>
      </c>
      <c r="K177" s="39">
        <v>0</v>
      </c>
      <c r="L177" s="39">
        <v>0</v>
      </c>
      <c r="M177" s="37">
        <v>0</v>
      </c>
      <c r="N177" s="39">
        <v>3.1640679661016997</v>
      </c>
      <c r="O177" s="37">
        <v>0</v>
      </c>
      <c r="P177" s="39">
        <v>0</v>
      </c>
      <c r="Q177" s="37" t="s">
        <v>50</v>
      </c>
      <c r="R177" s="37" t="s">
        <v>50</v>
      </c>
      <c r="S177" s="39">
        <f t="shared" si="22"/>
        <v>3.1640679661016997</v>
      </c>
      <c r="T177" s="39">
        <f t="shared" si="23"/>
        <v>-3.1640679661016997</v>
      </c>
      <c r="U177" s="40">
        <f t="shared" si="25"/>
        <v>-100</v>
      </c>
      <c r="V177" s="32" t="s">
        <v>732</v>
      </c>
    </row>
    <row r="178" spans="1:22" ht="60" x14ac:dyDescent="0.25">
      <c r="A178" s="21" t="s">
        <v>28</v>
      </c>
      <c r="B178" s="14" t="s">
        <v>157</v>
      </c>
      <c r="C178" s="15" t="s">
        <v>158</v>
      </c>
      <c r="D178" s="39">
        <v>0.40669254063003851</v>
      </c>
      <c r="E178" s="39">
        <v>0</v>
      </c>
      <c r="F178" s="37" t="s">
        <v>50</v>
      </c>
      <c r="G178" s="39">
        <v>3.1640679661016997</v>
      </c>
      <c r="H178" s="39">
        <f t="shared" si="26"/>
        <v>3.1640679661016997</v>
      </c>
      <c r="I178" s="39">
        <f t="shared" si="21"/>
        <v>0</v>
      </c>
      <c r="J178" s="39">
        <v>0</v>
      </c>
      <c r="K178" s="39">
        <v>0</v>
      </c>
      <c r="L178" s="39">
        <v>0</v>
      </c>
      <c r="M178" s="37">
        <v>0</v>
      </c>
      <c r="N178" s="39">
        <v>3.1640679661016997</v>
      </c>
      <c r="O178" s="37">
        <v>0</v>
      </c>
      <c r="P178" s="39">
        <v>0</v>
      </c>
      <c r="Q178" s="37" t="s">
        <v>50</v>
      </c>
      <c r="R178" s="37" t="s">
        <v>50</v>
      </c>
      <c r="S178" s="39">
        <f t="shared" si="22"/>
        <v>3.1640679661016997</v>
      </c>
      <c r="T178" s="39">
        <f t="shared" si="23"/>
        <v>-3.1640679661016997</v>
      </c>
      <c r="U178" s="40">
        <f t="shared" si="25"/>
        <v>-100</v>
      </c>
      <c r="V178" s="32" t="s">
        <v>732</v>
      </c>
    </row>
    <row r="179" spans="1:22" ht="60" x14ac:dyDescent="0.25">
      <c r="A179" s="21" t="s">
        <v>28</v>
      </c>
      <c r="B179" s="14" t="s">
        <v>159</v>
      </c>
      <c r="C179" s="15" t="s">
        <v>160</v>
      </c>
      <c r="D179" s="39">
        <v>0.20334627031501926</v>
      </c>
      <c r="E179" s="39">
        <v>0</v>
      </c>
      <c r="F179" s="37" t="s">
        <v>50</v>
      </c>
      <c r="G179" s="39">
        <v>1.5820339830508499</v>
      </c>
      <c r="H179" s="39">
        <f t="shared" si="26"/>
        <v>1.5820339830508499</v>
      </c>
      <c r="I179" s="39">
        <f t="shared" si="21"/>
        <v>0</v>
      </c>
      <c r="J179" s="39">
        <v>0</v>
      </c>
      <c r="K179" s="39">
        <v>0</v>
      </c>
      <c r="L179" s="39">
        <v>0</v>
      </c>
      <c r="M179" s="37">
        <v>0</v>
      </c>
      <c r="N179" s="39">
        <v>1.5820339830508499</v>
      </c>
      <c r="O179" s="37">
        <v>0</v>
      </c>
      <c r="P179" s="39">
        <v>0</v>
      </c>
      <c r="Q179" s="37" t="s">
        <v>50</v>
      </c>
      <c r="R179" s="37" t="s">
        <v>50</v>
      </c>
      <c r="S179" s="39">
        <f t="shared" si="22"/>
        <v>1.5820339830508499</v>
      </c>
      <c r="T179" s="39">
        <f t="shared" si="23"/>
        <v>-1.5820339830508499</v>
      </c>
      <c r="U179" s="40">
        <f t="shared" si="25"/>
        <v>-100</v>
      </c>
      <c r="V179" s="32" t="s">
        <v>732</v>
      </c>
    </row>
    <row r="180" spans="1:22" ht="60" x14ac:dyDescent="0.25">
      <c r="A180" s="21" t="s">
        <v>28</v>
      </c>
      <c r="B180" s="14" t="s">
        <v>161</v>
      </c>
      <c r="C180" s="15" t="s">
        <v>162</v>
      </c>
      <c r="D180" s="39">
        <v>4.0669254063003847E-2</v>
      </c>
      <c r="E180" s="39">
        <v>0</v>
      </c>
      <c r="F180" s="37" t="s">
        <v>50</v>
      </c>
      <c r="G180" s="39">
        <v>0.31640679661016996</v>
      </c>
      <c r="H180" s="39">
        <f t="shared" si="26"/>
        <v>0.31640679661016996</v>
      </c>
      <c r="I180" s="39">
        <f t="shared" si="21"/>
        <v>0</v>
      </c>
      <c r="J180" s="39">
        <v>0</v>
      </c>
      <c r="K180" s="39">
        <v>0</v>
      </c>
      <c r="L180" s="39">
        <v>0</v>
      </c>
      <c r="M180" s="37">
        <v>0</v>
      </c>
      <c r="N180" s="39">
        <v>0.31640679661016996</v>
      </c>
      <c r="O180" s="37">
        <v>0</v>
      </c>
      <c r="P180" s="39">
        <v>0</v>
      </c>
      <c r="Q180" s="37" t="s">
        <v>50</v>
      </c>
      <c r="R180" s="37" t="s">
        <v>50</v>
      </c>
      <c r="S180" s="39">
        <f t="shared" si="22"/>
        <v>0.31640679661016996</v>
      </c>
      <c r="T180" s="39">
        <f t="shared" si="23"/>
        <v>-0.31640679661016996</v>
      </c>
      <c r="U180" s="40">
        <f t="shared" si="25"/>
        <v>-100</v>
      </c>
      <c r="V180" s="32" t="s">
        <v>732</v>
      </c>
    </row>
    <row r="181" spans="1:22" ht="45" x14ac:dyDescent="0.25">
      <c r="A181" s="21" t="s">
        <v>28</v>
      </c>
      <c r="B181" s="14" t="s">
        <v>383</v>
      </c>
      <c r="C181" s="47" t="s">
        <v>384</v>
      </c>
      <c r="D181" s="39">
        <v>0</v>
      </c>
      <c r="E181" s="39">
        <v>0</v>
      </c>
      <c r="F181" s="37" t="s">
        <v>50</v>
      </c>
      <c r="G181" s="39">
        <v>0</v>
      </c>
      <c r="H181" s="39">
        <f t="shared" si="26"/>
        <v>0</v>
      </c>
      <c r="I181" s="39">
        <f t="shared" si="21"/>
        <v>3.49842846</v>
      </c>
      <c r="J181" s="39">
        <v>0</v>
      </c>
      <c r="K181" s="39">
        <v>3.49842846</v>
      </c>
      <c r="L181" s="39">
        <v>0</v>
      </c>
      <c r="M181" s="37">
        <v>0</v>
      </c>
      <c r="N181" s="39">
        <v>0</v>
      </c>
      <c r="O181" s="37">
        <v>0</v>
      </c>
      <c r="P181" s="39">
        <v>0</v>
      </c>
      <c r="Q181" s="37" t="s">
        <v>50</v>
      </c>
      <c r="R181" s="37" t="s">
        <v>50</v>
      </c>
      <c r="S181" s="39">
        <f t="shared" si="22"/>
        <v>-3.49842846</v>
      </c>
      <c r="T181" s="39">
        <f t="shared" si="23"/>
        <v>3.49842846</v>
      </c>
      <c r="U181" s="40">
        <v>100</v>
      </c>
      <c r="V181" s="68" t="s">
        <v>733</v>
      </c>
    </row>
    <row r="182" spans="1:22" ht="30" x14ac:dyDescent="0.25">
      <c r="A182" s="21" t="s">
        <v>28</v>
      </c>
      <c r="B182" s="14" t="s">
        <v>385</v>
      </c>
      <c r="C182" s="47" t="s">
        <v>386</v>
      </c>
      <c r="D182" s="39">
        <v>0</v>
      </c>
      <c r="E182" s="39">
        <v>0</v>
      </c>
      <c r="F182" s="37" t="s">
        <v>50</v>
      </c>
      <c r="G182" s="39">
        <v>0</v>
      </c>
      <c r="H182" s="39">
        <f t="shared" si="26"/>
        <v>0</v>
      </c>
      <c r="I182" s="39">
        <f t="shared" si="21"/>
        <v>2.7902363599999997</v>
      </c>
      <c r="J182" s="39">
        <v>0</v>
      </c>
      <c r="K182" s="39">
        <v>2.7902363599999997</v>
      </c>
      <c r="L182" s="39">
        <v>0</v>
      </c>
      <c r="M182" s="37">
        <v>0</v>
      </c>
      <c r="N182" s="39">
        <v>0</v>
      </c>
      <c r="O182" s="37">
        <v>0</v>
      </c>
      <c r="P182" s="39">
        <v>0</v>
      </c>
      <c r="Q182" s="37" t="s">
        <v>50</v>
      </c>
      <c r="R182" s="37" t="s">
        <v>50</v>
      </c>
      <c r="S182" s="39">
        <f t="shared" si="22"/>
        <v>-2.7902363599999997</v>
      </c>
      <c r="T182" s="39">
        <f t="shared" si="23"/>
        <v>2.7902363599999997</v>
      </c>
      <c r="U182" s="40">
        <v>100</v>
      </c>
      <c r="V182" s="69"/>
    </row>
    <row r="183" spans="1:22" ht="45" x14ac:dyDescent="0.25">
      <c r="A183" s="21" t="s">
        <v>28</v>
      </c>
      <c r="B183" s="14" t="s">
        <v>387</v>
      </c>
      <c r="C183" s="47" t="s">
        <v>388</v>
      </c>
      <c r="D183" s="39">
        <v>0</v>
      </c>
      <c r="E183" s="39">
        <v>0</v>
      </c>
      <c r="F183" s="37" t="s">
        <v>50</v>
      </c>
      <c r="G183" s="39">
        <v>0</v>
      </c>
      <c r="H183" s="39">
        <f t="shared" si="26"/>
        <v>0</v>
      </c>
      <c r="I183" s="39">
        <f t="shared" si="21"/>
        <v>3.3363009500000005</v>
      </c>
      <c r="J183" s="39">
        <v>0</v>
      </c>
      <c r="K183" s="39">
        <v>3.3363009500000005</v>
      </c>
      <c r="L183" s="39">
        <v>0</v>
      </c>
      <c r="M183" s="37">
        <v>0</v>
      </c>
      <c r="N183" s="39">
        <v>0</v>
      </c>
      <c r="O183" s="37">
        <v>0</v>
      </c>
      <c r="P183" s="39">
        <v>0</v>
      </c>
      <c r="Q183" s="37" t="s">
        <v>50</v>
      </c>
      <c r="R183" s="37" t="s">
        <v>50</v>
      </c>
      <c r="S183" s="39">
        <f t="shared" si="22"/>
        <v>-3.3363009500000005</v>
      </c>
      <c r="T183" s="39">
        <f t="shared" si="23"/>
        <v>3.3363009500000005</v>
      </c>
      <c r="U183" s="40">
        <v>100</v>
      </c>
      <c r="V183" s="69"/>
    </row>
    <row r="184" spans="1:22" ht="30" x14ac:dyDescent="0.25">
      <c r="A184" s="21" t="s">
        <v>28</v>
      </c>
      <c r="B184" s="14" t="s">
        <v>389</v>
      </c>
      <c r="C184" s="47" t="s">
        <v>390</v>
      </c>
      <c r="D184" s="39">
        <v>0</v>
      </c>
      <c r="E184" s="39">
        <v>0</v>
      </c>
      <c r="F184" s="37" t="s">
        <v>50</v>
      </c>
      <c r="G184" s="39">
        <v>0</v>
      </c>
      <c r="H184" s="39">
        <f t="shared" si="26"/>
        <v>0</v>
      </c>
      <c r="I184" s="39">
        <f t="shared" si="21"/>
        <v>2.7961439599999998</v>
      </c>
      <c r="J184" s="39">
        <v>0</v>
      </c>
      <c r="K184" s="39">
        <v>2.7961439599999998</v>
      </c>
      <c r="L184" s="39">
        <v>0</v>
      </c>
      <c r="M184" s="37">
        <v>0</v>
      </c>
      <c r="N184" s="39">
        <v>0</v>
      </c>
      <c r="O184" s="37">
        <v>0</v>
      </c>
      <c r="P184" s="39">
        <v>0</v>
      </c>
      <c r="Q184" s="37" t="s">
        <v>50</v>
      </c>
      <c r="R184" s="37" t="s">
        <v>50</v>
      </c>
      <c r="S184" s="39">
        <f t="shared" si="22"/>
        <v>-2.7961439599999998</v>
      </c>
      <c r="T184" s="39">
        <f t="shared" si="23"/>
        <v>2.7961439599999998</v>
      </c>
      <c r="U184" s="40">
        <v>100</v>
      </c>
      <c r="V184" s="70"/>
    </row>
    <row r="185" spans="1:22" ht="60" x14ac:dyDescent="0.25">
      <c r="A185" s="21" t="s">
        <v>28</v>
      </c>
      <c r="B185" s="14" t="s">
        <v>564</v>
      </c>
      <c r="C185" s="47" t="s">
        <v>565</v>
      </c>
      <c r="D185" s="39">
        <v>0</v>
      </c>
      <c r="E185" s="39">
        <v>0</v>
      </c>
      <c r="F185" s="37" t="s">
        <v>50</v>
      </c>
      <c r="G185" s="39">
        <v>0</v>
      </c>
      <c r="H185" s="39">
        <f t="shared" si="26"/>
        <v>0</v>
      </c>
      <c r="I185" s="39">
        <f t="shared" si="21"/>
        <v>4.983514E-2</v>
      </c>
      <c r="J185" s="39">
        <v>0</v>
      </c>
      <c r="K185" s="39">
        <v>0</v>
      </c>
      <c r="L185" s="39">
        <v>0</v>
      </c>
      <c r="M185" s="37">
        <f>49.83514/1000</f>
        <v>4.983514E-2</v>
      </c>
      <c r="N185" s="39">
        <v>0</v>
      </c>
      <c r="O185" s="37">
        <v>0</v>
      </c>
      <c r="P185" s="39">
        <v>0</v>
      </c>
      <c r="Q185" s="37" t="s">
        <v>50</v>
      </c>
      <c r="R185" s="37" t="s">
        <v>50</v>
      </c>
      <c r="S185" s="39">
        <f t="shared" si="22"/>
        <v>-4.983514E-2</v>
      </c>
      <c r="T185" s="39">
        <f t="shared" si="23"/>
        <v>4.983514E-2</v>
      </c>
      <c r="U185" s="40">
        <v>100</v>
      </c>
      <c r="V185" s="32" t="s">
        <v>734</v>
      </c>
    </row>
    <row r="186" spans="1:22" ht="30" x14ac:dyDescent="0.25">
      <c r="A186" s="21" t="s">
        <v>28</v>
      </c>
      <c r="B186" s="22" t="s">
        <v>163</v>
      </c>
      <c r="C186" s="35" t="s">
        <v>164</v>
      </c>
      <c r="D186" s="39">
        <v>3.8779456232843963E-2</v>
      </c>
      <c r="E186" s="39">
        <v>0</v>
      </c>
      <c r="F186" s="37" t="s">
        <v>50</v>
      </c>
      <c r="G186" s="39">
        <v>0.30170416949152606</v>
      </c>
      <c r="H186" s="39">
        <f t="shared" si="26"/>
        <v>0.30170416949152606</v>
      </c>
      <c r="I186" s="39">
        <f t="shared" si="21"/>
        <v>0</v>
      </c>
      <c r="J186" s="39">
        <v>0</v>
      </c>
      <c r="K186" s="39">
        <v>0</v>
      </c>
      <c r="L186" s="39">
        <v>0.30170416949152606</v>
      </c>
      <c r="M186" s="37">
        <v>0</v>
      </c>
      <c r="N186" s="39">
        <v>0</v>
      </c>
      <c r="O186" s="37">
        <v>0</v>
      </c>
      <c r="P186" s="39">
        <v>0</v>
      </c>
      <c r="Q186" s="37" t="s">
        <v>50</v>
      </c>
      <c r="R186" s="37" t="s">
        <v>50</v>
      </c>
      <c r="S186" s="39">
        <f t="shared" si="22"/>
        <v>0.30170416949152606</v>
      </c>
      <c r="T186" s="39">
        <f t="shared" si="23"/>
        <v>-0.30170416949152606</v>
      </c>
      <c r="U186" s="40">
        <f t="shared" si="25"/>
        <v>-100</v>
      </c>
      <c r="V186" s="33" t="s">
        <v>419</v>
      </c>
    </row>
    <row r="187" spans="1:22" ht="30" x14ac:dyDescent="0.25">
      <c r="A187" s="21" t="s">
        <v>28</v>
      </c>
      <c r="B187" s="22" t="s">
        <v>165</v>
      </c>
      <c r="C187" s="35" t="s">
        <v>166</v>
      </c>
      <c r="D187" s="39">
        <v>3.8779456232843963E-2</v>
      </c>
      <c r="E187" s="39">
        <v>0</v>
      </c>
      <c r="F187" s="37" t="s">
        <v>50</v>
      </c>
      <c r="G187" s="39">
        <v>0.30170416949152606</v>
      </c>
      <c r="H187" s="39">
        <f t="shared" si="26"/>
        <v>0.30170416949152606</v>
      </c>
      <c r="I187" s="39">
        <f t="shared" si="21"/>
        <v>0</v>
      </c>
      <c r="J187" s="39">
        <v>0</v>
      </c>
      <c r="K187" s="39">
        <v>0</v>
      </c>
      <c r="L187" s="39">
        <v>0.30170416949152606</v>
      </c>
      <c r="M187" s="37">
        <v>0</v>
      </c>
      <c r="N187" s="39">
        <v>0</v>
      </c>
      <c r="O187" s="37">
        <v>0</v>
      </c>
      <c r="P187" s="39">
        <v>0</v>
      </c>
      <c r="Q187" s="37" t="s">
        <v>50</v>
      </c>
      <c r="R187" s="37" t="s">
        <v>50</v>
      </c>
      <c r="S187" s="39">
        <f t="shared" si="22"/>
        <v>0.30170416949152606</v>
      </c>
      <c r="T187" s="39">
        <f t="shared" si="23"/>
        <v>-0.30170416949152606</v>
      </c>
      <c r="U187" s="40">
        <f t="shared" si="25"/>
        <v>-100</v>
      </c>
      <c r="V187" s="33" t="s">
        <v>419</v>
      </c>
    </row>
    <row r="188" spans="1:22" ht="30" x14ac:dyDescent="0.25">
      <c r="A188" s="21" t="s">
        <v>28</v>
      </c>
      <c r="B188" s="22" t="s">
        <v>167</v>
      </c>
      <c r="C188" s="35" t="s">
        <v>168</v>
      </c>
      <c r="D188" s="39">
        <v>3.8779456232843963E-2</v>
      </c>
      <c r="E188" s="39">
        <v>0</v>
      </c>
      <c r="F188" s="37" t="s">
        <v>50</v>
      </c>
      <c r="G188" s="39">
        <v>0.30170416949152606</v>
      </c>
      <c r="H188" s="39">
        <f t="shared" si="26"/>
        <v>0.30170416949152606</v>
      </c>
      <c r="I188" s="39">
        <f t="shared" si="21"/>
        <v>0.32471220000000001</v>
      </c>
      <c r="J188" s="39">
        <v>0</v>
      </c>
      <c r="K188" s="39">
        <v>0</v>
      </c>
      <c r="L188" s="39">
        <v>0</v>
      </c>
      <c r="M188" s="37">
        <v>0</v>
      </c>
      <c r="N188" s="39">
        <v>0.30170416949152606</v>
      </c>
      <c r="O188" s="37">
        <v>0.32471220000000001</v>
      </c>
      <c r="P188" s="39">
        <v>0</v>
      </c>
      <c r="Q188" s="37" t="s">
        <v>50</v>
      </c>
      <c r="R188" s="37" t="s">
        <v>50</v>
      </c>
      <c r="S188" s="39">
        <f t="shared" si="22"/>
        <v>-2.3008030508473942E-2</v>
      </c>
      <c r="T188" s="39">
        <f t="shared" si="23"/>
        <v>2.3008030508473942E-2</v>
      </c>
      <c r="U188" s="40">
        <f t="shared" si="25"/>
        <v>7.6260233815297624</v>
      </c>
      <c r="V188" s="38" t="s">
        <v>50</v>
      </c>
    </row>
    <row r="189" spans="1:22" ht="30" x14ac:dyDescent="0.25">
      <c r="A189" s="21" t="s">
        <v>28</v>
      </c>
      <c r="B189" s="22" t="s">
        <v>169</v>
      </c>
      <c r="C189" s="35" t="s">
        <v>170</v>
      </c>
      <c r="D189" s="39">
        <v>3.8779456232843963E-2</v>
      </c>
      <c r="E189" s="39">
        <v>0</v>
      </c>
      <c r="F189" s="37" t="s">
        <v>50</v>
      </c>
      <c r="G189" s="39">
        <v>0.30170416949152606</v>
      </c>
      <c r="H189" s="39">
        <f t="shared" si="26"/>
        <v>0.30170416949152606</v>
      </c>
      <c r="I189" s="39">
        <f t="shared" si="21"/>
        <v>0.32687486999999998</v>
      </c>
      <c r="J189" s="39">
        <v>0</v>
      </c>
      <c r="K189" s="39">
        <v>0</v>
      </c>
      <c r="L189" s="39">
        <v>0</v>
      </c>
      <c r="M189" s="37">
        <v>0</v>
      </c>
      <c r="N189" s="39">
        <v>0.30170416949152606</v>
      </c>
      <c r="O189" s="37">
        <v>0.32687486999999998</v>
      </c>
      <c r="P189" s="39">
        <v>0</v>
      </c>
      <c r="Q189" s="37" t="s">
        <v>50</v>
      </c>
      <c r="R189" s="37" t="s">
        <v>50</v>
      </c>
      <c r="S189" s="39">
        <f t="shared" si="22"/>
        <v>-2.517070050847392E-2</v>
      </c>
      <c r="T189" s="39">
        <f t="shared" si="23"/>
        <v>2.517070050847392E-2</v>
      </c>
      <c r="U189" s="40">
        <f t="shared" si="25"/>
        <v>8.3428414499193195</v>
      </c>
      <c r="V189" s="38" t="s">
        <v>50</v>
      </c>
    </row>
    <row r="190" spans="1:22" ht="60" customHeight="1" x14ac:dyDescent="0.25">
      <c r="A190" s="21" t="s">
        <v>28</v>
      </c>
      <c r="B190" s="22" t="s">
        <v>171</v>
      </c>
      <c r="C190" s="35" t="s">
        <v>172</v>
      </c>
      <c r="D190" s="39">
        <v>3.8779456232843963E-2</v>
      </c>
      <c r="E190" s="39">
        <v>0</v>
      </c>
      <c r="F190" s="37" t="s">
        <v>50</v>
      </c>
      <c r="G190" s="39">
        <v>0.30170416949152606</v>
      </c>
      <c r="H190" s="39">
        <f t="shared" si="26"/>
        <v>0.30170416949152606</v>
      </c>
      <c r="I190" s="39">
        <f t="shared" si="21"/>
        <v>0</v>
      </c>
      <c r="J190" s="39">
        <v>0</v>
      </c>
      <c r="K190" s="39">
        <v>0</v>
      </c>
      <c r="L190" s="39">
        <v>0</v>
      </c>
      <c r="M190" s="37">
        <v>0</v>
      </c>
      <c r="N190" s="39">
        <v>0.30170416949152606</v>
      </c>
      <c r="O190" s="37">
        <v>0</v>
      </c>
      <c r="P190" s="39">
        <v>0</v>
      </c>
      <c r="Q190" s="37" t="s">
        <v>50</v>
      </c>
      <c r="R190" s="37" t="s">
        <v>50</v>
      </c>
      <c r="S190" s="39">
        <f t="shared" si="22"/>
        <v>0.30170416949152606</v>
      </c>
      <c r="T190" s="39">
        <f t="shared" si="23"/>
        <v>-0.30170416949152606</v>
      </c>
      <c r="U190" s="40">
        <f t="shared" si="25"/>
        <v>-100</v>
      </c>
      <c r="V190" s="82" t="s">
        <v>732</v>
      </c>
    </row>
    <row r="191" spans="1:22" ht="30" x14ac:dyDescent="0.25">
      <c r="A191" s="21" t="s">
        <v>28</v>
      </c>
      <c r="B191" s="22" t="s">
        <v>173</v>
      </c>
      <c r="C191" s="35" t="s">
        <v>174</v>
      </c>
      <c r="D191" s="39">
        <v>3.8779456232843963E-2</v>
      </c>
      <c r="E191" s="39">
        <v>0</v>
      </c>
      <c r="F191" s="37" t="s">
        <v>50</v>
      </c>
      <c r="G191" s="39">
        <v>0.30170416949152606</v>
      </c>
      <c r="H191" s="39">
        <f t="shared" si="26"/>
        <v>0.30170416949152606</v>
      </c>
      <c r="I191" s="39">
        <f t="shared" si="21"/>
        <v>0</v>
      </c>
      <c r="J191" s="39">
        <v>0</v>
      </c>
      <c r="K191" s="39">
        <v>0</v>
      </c>
      <c r="L191" s="39">
        <v>0</v>
      </c>
      <c r="M191" s="37">
        <v>0</v>
      </c>
      <c r="N191" s="39">
        <v>0.30170416949152606</v>
      </c>
      <c r="O191" s="37">
        <v>0</v>
      </c>
      <c r="P191" s="39">
        <v>0</v>
      </c>
      <c r="Q191" s="37" t="s">
        <v>50</v>
      </c>
      <c r="R191" s="37" t="s">
        <v>50</v>
      </c>
      <c r="S191" s="39">
        <f t="shared" si="22"/>
        <v>0.30170416949152606</v>
      </c>
      <c r="T191" s="39">
        <f t="shared" si="23"/>
        <v>-0.30170416949152606</v>
      </c>
      <c r="U191" s="40">
        <f t="shared" si="25"/>
        <v>-100</v>
      </c>
      <c r="V191" s="83"/>
    </row>
    <row r="192" spans="1:22" ht="30" x14ac:dyDescent="0.25">
      <c r="A192" s="21" t="s">
        <v>28</v>
      </c>
      <c r="B192" s="22" t="s">
        <v>175</v>
      </c>
      <c r="C192" s="35" t="s">
        <v>176</v>
      </c>
      <c r="D192" s="39">
        <v>9.6948640582109891E-2</v>
      </c>
      <c r="E192" s="39">
        <v>0</v>
      </c>
      <c r="F192" s="37" t="s">
        <v>50</v>
      </c>
      <c r="G192" s="39">
        <v>0.75426042372881497</v>
      </c>
      <c r="H192" s="39">
        <f t="shared" si="26"/>
        <v>0.75426042372881497</v>
      </c>
      <c r="I192" s="39">
        <f t="shared" si="21"/>
        <v>0</v>
      </c>
      <c r="J192" s="39">
        <v>0</v>
      </c>
      <c r="K192" s="39">
        <v>0</v>
      </c>
      <c r="L192" s="39">
        <v>0</v>
      </c>
      <c r="M192" s="37">
        <v>0</v>
      </c>
      <c r="N192" s="39">
        <v>0.75426042372881497</v>
      </c>
      <c r="O192" s="37">
        <v>0</v>
      </c>
      <c r="P192" s="39">
        <v>0</v>
      </c>
      <c r="Q192" s="37" t="s">
        <v>50</v>
      </c>
      <c r="R192" s="37" t="s">
        <v>50</v>
      </c>
      <c r="S192" s="39">
        <f t="shared" si="22"/>
        <v>0.75426042372881497</v>
      </c>
      <c r="T192" s="39">
        <f t="shared" si="23"/>
        <v>-0.75426042372881497</v>
      </c>
      <c r="U192" s="40">
        <f t="shared" si="25"/>
        <v>-100</v>
      </c>
      <c r="V192" s="83"/>
    </row>
    <row r="193" spans="1:22" ht="30" x14ac:dyDescent="0.25">
      <c r="A193" s="21" t="s">
        <v>28</v>
      </c>
      <c r="B193" s="22" t="s">
        <v>177</v>
      </c>
      <c r="C193" s="35" t="s">
        <v>178</v>
      </c>
      <c r="D193" s="39">
        <v>3.8779456232843963E-2</v>
      </c>
      <c r="E193" s="39">
        <v>0</v>
      </c>
      <c r="F193" s="37" t="s">
        <v>50</v>
      </c>
      <c r="G193" s="39">
        <v>0.30170416949152606</v>
      </c>
      <c r="H193" s="39">
        <f t="shared" si="26"/>
        <v>0.30170416949152606</v>
      </c>
      <c r="I193" s="39">
        <f t="shared" si="21"/>
        <v>0</v>
      </c>
      <c r="J193" s="39">
        <v>0</v>
      </c>
      <c r="K193" s="39">
        <v>0</v>
      </c>
      <c r="L193" s="39">
        <v>0</v>
      </c>
      <c r="M193" s="37">
        <v>0</v>
      </c>
      <c r="N193" s="39">
        <v>0.30170416949152606</v>
      </c>
      <c r="O193" s="37">
        <v>0</v>
      </c>
      <c r="P193" s="39">
        <v>0</v>
      </c>
      <c r="Q193" s="37" t="s">
        <v>50</v>
      </c>
      <c r="R193" s="37" t="s">
        <v>50</v>
      </c>
      <c r="S193" s="39">
        <f t="shared" si="22"/>
        <v>0.30170416949152606</v>
      </c>
      <c r="T193" s="39">
        <f t="shared" si="23"/>
        <v>-0.30170416949152606</v>
      </c>
      <c r="U193" s="40">
        <f t="shared" si="25"/>
        <v>-100</v>
      </c>
      <c r="V193" s="84"/>
    </row>
    <row r="194" spans="1:22" ht="45" x14ac:dyDescent="0.25">
      <c r="A194" s="21" t="s">
        <v>28</v>
      </c>
      <c r="B194" s="22" t="s">
        <v>179</v>
      </c>
      <c r="C194" s="35" t="s">
        <v>180</v>
      </c>
      <c r="D194" s="39">
        <v>0.35352442159383035</v>
      </c>
      <c r="E194" s="39">
        <v>0</v>
      </c>
      <c r="F194" s="37" t="s">
        <v>50</v>
      </c>
      <c r="G194" s="39">
        <v>2.7504200000000001</v>
      </c>
      <c r="H194" s="39">
        <f t="shared" si="26"/>
        <v>2.7504200000000001</v>
      </c>
      <c r="I194" s="39">
        <f t="shared" si="21"/>
        <v>0</v>
      </c>
      <c r="J194" s="39">
        <v>0.27504200000000001</v>
      </c>
      <c r="K194" s="39">
        <v>0</v>
      </c>
      <c r="L194" s="39">
        <v>0.82512600000000003</v>
      </c>
      <c r="M194" s="37">
        <v>0</v>
      </c>
      <c r="N194" s="39">
        <v>0.82512600000000003</v>
      </c>
      <c r="O194" s="37">
        <v>0</v>
      </c>
      <c r="P194" s="39">
        <v>0.82512600000000003</v>
      </c>
      <c r="Q194" s="37" t="s">
        <v>50</v>
      </c>
      <c r="R194" s="37" t="s">
        <v>50</v>
      </c>
      <c r="S194" s="39">
        <f t="shared" si="22"/>
        <v>2.7504200000000001</v>
      </c>
      <c r="T194" s="39">
        <f t="shared" si="23"/>
        <v>-1.9252940000000001</v>
      </c>
      <c r="U194" s="40">
        <f t="shared" si="25"/>
        <v>-100</v>
      </c>
      <c r="V194" s="89" t="s">
        <v>774</v>
      </c>
    </row>
    <row r="195" spans="1:22" ht="45" x14ac:dyDescent="0.25">
      <c r="A195" s="19" t="s">
        <v>28</v>
      </c>
      <c r="B195" s="14" t="s">
        <v>391</v>
      </c>
      <c r="C195" s="44" t="s">
        <v>182</v>
      </c>
      <c r="D195" s="39">
        <v>0</v>
      </c>
      <c r="E195" s="39">
        <v>0</v>
      </c>
      <c r="F195" s="37" t="s">
        <v>50</v>
      </c>
      <c r="G195" s="39">
        <v>0</v>
      </c>
      <c r="H195" s="39">
        <f t="shared" si="26"/>
        <v>0</v>
      </c>
      <c r="I195" s="39">
        <f t="shared" si="21"/>
        <v>0.22664614</v>
      </c>
      <c r="J195" s="39">
        <v>0</v>
      </c>
      <c r="K195" s="39">
        <f>226.64614/1000</f>
        <v>0.22664614</v>
      </c>
      <c r="L195" s="39">
        <v>0</v>
      </c>
      <c r="M195" s="37">
        <v>0</v>
      </c>
      <c r="N195" s="39">
        <v>0</v>
      </c>
      <c r="O195" s="37">
        <v>0</v>
      </c>
      <c r="P195" s="39">
        <v>0</v>
      </c>
      <c r="Q195" s="37" t="s">
        <v>50</v>
      </c>
      <c r="R195" s="37" t="s">
        <v>50</v>
      </c>
      <c r="S195" s="39">
        <f t="shared" si="22"/>
        <v>-0.22664614</v>
      </c>
      <c r="T195" s="39">
        <f t="shared" si="23"/>
        <v>0.22664614</v>
      </c>
      <c r="U195" s="40">
        <v>100</v>
      </c>
      <c r="V195" s="90"/>
    </row>
    <row r="196" spans="1:22" ht="45" x14ac:dyDescent="0.25">
      <c r="A196" s="19" t="s">
        <v>28</v>
      </c>
      <c r="B196" s="14" t="s">
        <v>566</v>
      </c>
      <c r="C196" s="44" t="s">
        <v>567</v>
      </c>
      <c r="D196" s="39">
        <v>0</v>
      </c>
      <c r="E196" s="39">
        <v>0</v>
      </c>
      <c r="F196" s="37" t="s">
        <v>50</v>
      </c>
      <c r="G196" s="39">
        <v>0</v>
      </c>
      <c r="H196" s="39">
        <f t="shared" si="26"/>
        <v>0</v>
      </c>
      <c r="I196" s="39">
        <f t="shared" si="21"/>
        <v>0.21229489000000001</v>
      </c>
      <c r="J196" s="39">
        <v>0</v>
      </c>
      <c r="K196" s="39">
        <v>0</v>
      </c>
      <c r="L196" s="39">
        <v>0</v>
      </c>
      <c r="M196" s="37">
        <f>212.29489/1000</f>
        <v>0.21229489000000001</v>
      </c>
      <c r="N196" s="39">
        <v>0</v>
      </c>
      <c r="O196" s="37">
        <v>0</v>
      </c>
      <c r="P196" s="39">
        <v>0</v>
      </c>
      <c r="Q196" s="37" t="s">
        <v>50</v>
      </c>
      <c r="R196" s="37" t="s">
        <v>50</v>
      </c>
      <c r="S196" s="39">
        <f t="shared" si="22"/>
        <v>-0.21229489000000001</v>
      </c>
      <c r="T196" s="39">
        <f t="shared" si="23"/>
        <v>0.21229489000000001</v>
      </c>
      <c r="U196" s="40">
        <v>100</v>
      </c>
      <c r="V196" s="90"/>
    </row>
    <row r="197" spans="1:22" ht="45" x14ac:dyDescent="0.25">
      <c r="A197" s="19" t="s">
        <v>28</v>
      </c>
      <c r="B197" s="14" t="s">
        <v>568</v>
      </c>
      <c r="C197" s="44" t="s">
        <v>569</v>
      </c>
      <c r="D197" s="39">
        <v>0</v>
      </c>
      <c r="E197" s="39">
        <v>0</v>
      </c>
      <c r="F197" s="37" t="s">
        <v>50</v>
      </c>
      <c r="G197" s="39">
        <v>0</v>
      </c>
      <c r="H197" s="39">
        <f t="shared" si="26"/>
        <v>0</v>
      </c>
      <c r="I197" s="39">
        <f t="shared" si="21"/>
        <v>0.21394033999999998</v>
      </c>
      <c r="J197" s="39">
        <v>0</v>
      </c>
      <c r="K197" s="39">
        <v>0</v>
      </c>
      <c r="L197" s="39">
        <v>0</v>
      </c>
      <c r="M197" s="37">
        <f>213.94034/1000</f>
        <v>0.21394033999999998</v>
      </c>
      <c r="N197" s="39">
        <v>0</v>
      </c>
      <c r="O197" s="37">
        <v>0</v>
      </c>
      <c r="P197" s="39">
        <v>0</v>
      </c>
      <c r="Q197" s="37" t="s">
        <v>50</v>
      </c>
      <c r="R197" s="37" t="s">
        <v>50</v>
      </c>
      <c r="S197" s="39">
        <f t="shared" si="22"/>
        <v>-0.21394033999999998</v>
      </c>
      <c r="T197" s="39">
        <f t="shared" si="23"/>
        <v>0.21394033999999998</v>
      </c>
      <c r="U197" s="40">
        <v>100</v>
      </c>
      <c r="V197" s="90"/>
    </row>
    <row r="198" spans="1:22" ht="45" x14ac:dyDescent="0.25">
      <c r="A198" s="19" t="s">
        <v>28</v>
      </c>
      <c r="B198" s="14" t="s">
        <v>570</v>
      </c>
      <c r="C198" s="44" t="s">
        <v>571</v>
      </c>
      <c r="D198" s="39">
        <v>0</v>
      </c>
      <c r="E198" s="39">
        <v>0</v>
      </c>
      <c r="F198" s="37" t="s">
        <v>50</v>
      </c>
      <c r="G198" s="39">
        <v>0</v>
      </c>
      <c r="H198" s="39">
        <f t="shared" si="26"/>
        <v>0</v>
      </c>
      <c r="I198" s="39">
        <f t="shared" si="21"/>
        <v>0.22107779999999999</v>
      </c>
      <c r="J198" s="39">
        <v>0</v>
      </c>
      <c r="K198" s="39">
        <v>0</v>
      </c>
      <c r="L198" s="39">
        <v>0</v>
      </c>
      <c r="M198" s="37">
        <f>221.0778/1000</f>
        <v>0.22107779999999999</v>
      </c>
      <c r="N198" s="39">
        <v>0</v>
      </c>
      <c r="O198" s="37">
        <v>0</v>
      </c>
      <c r="P198" s="39">
        <v>0</v>
      </c>
      <c r="Q198" s="37" t="s">
        <v>50</v>
      </c>
      <c r="R198" s="37" t="s">
        <v>50</v>
      </c>
      <c r="S198" s="39">
        <f t="shared" si="22"/>
        <v>-0.22107779999999999</v>
      </c>
      <c r="T198" s="39">
        <f t="shared" si="23"/>
        <v>0.22107779999999999</v>
      </c>
      <c r="U198" s="40">
        <v>100</v>
      </c>
      <c r="V198" s="90"/>
    </row>
    <row r="199" spans="1:22" ht="45" x14ac:dyDescent="0.25">
      <c r="A199" s="19" t="s">
        <v>28</v>
      </c>
      <c r="B199" s="14" t="s">
        <v>572</v>
      </c>
      <c r="C199" s="44" t="s">
        <v>573</v>
      </c>
      <c r="D199" s="39">
        <v>0</v>
      </c>
      <c r="E199" s="39">
        <v>0</v>
      </c>
      <c r="F199" s="37" t="s">
        <v>50</v>
      </c>
      <c r="G199" s="39">
        <v>0</v>
      </c>
      <c r="H199" s="39">
        <f t="shared" si="26"/>
        <v>0</v>
      </c>
      <c r="I199" s="39">
        <f t="shared" si="21"/>
        <v>1.233266E-2</v>
      </c>
      <c r="J199" s="39">
        <v>0</v>
      </c>
      <c r="K199" s="39">
        <v>0</v>
      </c>
      <c r="L199" s="39">
        <v>0</v>
      </c>
      <c r="M199" s="37">
        <f>12.33266/1000</f>
        <v>1.233266E-2</v>
      </c>
      <c r="N199" s="39">
        <v>0</v>
      </c>
      <c r="O199" s="37">
        <v>0</v>
      </c>
      <c r="P199" s="39">
        <v>0</v>
      </c>
      <c r="Q199" s="37" t="s">
        <v>50</v>
      </c>
      <c r="R199" s="37" t="s">
        <v>50</v>
      </c>
      <c r="S199" s="39">
        <f t="shared" si="22"/>
        <v>-1.233266E-2</v>
      </c>
      <c r="T199" s="39">
        <f t="shared" si="23"/>
        <v>1.233266E-2</v>
      </c>
      <c r="U199" s="40">
        <v>100</v>
      </c>
      <c r="V199" s="90"/>
    </row>
    <row r="200" spans="1:22" ht="45" x14ac:dyDescent="0.25">
      <c r="A200" s="19" t="s">
        <v>28</v>
      </c>
      <c r="B200" s="14" t="s">
        <v>574</v>
      </c>
      <c r="C200" s="44" t="s">
        <v>575</v>
      </c>
      <c r="D200" s="39">
        <v>0</v>
      </c>
      <c r="E200" s="39">
        <v>0</v>
      </c>
      <c r="F200" s="37" t="s">
        <v>50</v>
      </c>
      <c r="G200" s="39">
        <v>0</v>
      </c>
      <c r="H200" s="39">
        <f t="shared" si="26"/>
        <v>0</v>
      </c>
      <c r="I200" s="39">
        <f t="shared" si="21"/>
        <v>1.430677E-2</v>
      </c>
      <c r="J200" s="39">
        <v>0</v>
      </c>
      <c r="K200" s="39">
        <v>0</v>
      </c>
      <c r="L200" s="39">
        <v>0</v>
      </c>
      <c r="M200" s="37">
        <f>14.30677/1000</f>
        <v>1.430677E-2</v>
      </c>
      <c r="N200" s="39">
        <v>0</v>
      </c>
      <c r="O200" s="37">
        <v>0</v>
      </c>
      <c r="P200" s="39">
        <v>0</v>
      </c>
      <c r="Q200" s="37" t="s">
        <v>50</v>
      </c>
      <c r="R200" s="37" t="s">
        <v>50</v>
      </c>
      <c r="S200" s="39">
        <f t="shared" si="22"/>
        <v>-1.430677E-2</v>
      </c>
      <c r="T200" s="39">
        <f t="shared" si="23"/>
        <v>1.430677E-2</v>
      </c>
      <c r="U200" s="40">
        <v>100</v>
      </c>
      <c r="V200" s="90"/>
    </row>
    <row r="201" spans="1:22" ht="45" x14ac:dyDescent="0.25">
      <c r="A201" s="19" t="s">
        <v>28</v>
      </c>
      <c r="B201" s="14" t="s">
        <v>576</v>
      </c>
      <c r="C201" s="44" t="s">
        <v>577</v>
      </c>
      <c r="D201" s="39">
        <v>0</v>
      </c>
      <c r="E201" s="39">
        <v>0</v>
      </c>
      <c r="F201" s="37" t="s">
        <v>50</v>
      </c>
      <c r="G201" s="39">
        <v>0</v>
      </c>
      <c r="H201" s="39">
        <f t="shared" si="26"/>
        <v>0</v>
      </c>
      <c r="I201" s="39">
        <f t="shared" si="21"/>
        <v>1.264E-2</v>
      </c>
      <c r="J201" s="39">
        <v>0</v>
      </c>
      <c r="K201" s="39">
        <v>0</v>
      </c>
      <c r="L201" s="39">
        <v>0</v>
      </c>
      <c r="M201" s="37">
        <f>12.64/1000</f>
        <v>1.264E-2</v>
      </c>
      <c r="N201" s="39">
        <v>0</v>
      </c>
      <c r="O201" s="37">
        <v>0</v>
      </c>
      <c r="P201" s="39">
        <v>0</v>
      </c>
      <c r="Q201" s="37" t="s">
        <v>50</v>
      </c>
      <c r="R201" s="37" t="s">
        <v>50</v>
      </c>
      <c r="S201" s="39">
        <f t="shared" si="22"/>
        <v>-1.264E-2</v>
      </c>
      <c r="T201" s="39">
        <f t="shared" si="23"/>
        <v>1.264E-2</v>
      </c>
      <c r="U201" s="40">
        <v>100</v>
      </c>
      <c r="V201" s="90"/>
    </row>
    <row r="202" spans="1:22" ht="45" x14ac:dyDescent="0.25">
      <c r="A202" s="19" t="s">
        <v>28</v>
      </c>
      <c r="B202" s="14" t="s">
        <v>683</v>
      </c>
      <c r="C202" s="44" t="s">
        <v>569</v>
      </c>
      <c r="D202" s="39">
        <v>0</v>
      </c>
      <c r="E202" s="39">
        <v>0</v>
      </c>
      <c r="F202" s="37" t="s">
        <v>50</v>
      </c>
      <c r="G202" s="39">
        <v>0</v>
      </c>
      <c r="H202" s="39">
        <f t="shared" si="26"/>
        <v>0</v>
      </c>
      <c r="I202" s="39">
        <f t="shared" si="21"/>
        <v>0.20362458</v>
      </c>
      <c r="J202" s="39">
        <v>0</v>
      </c>
      <c r="K202" s="39">
        <v>0</v>
      </c>
      <c r="L202" s="39">
        <v>0</v>
      </c>
      <c r="M202" s="37">
        <v>0</v>
      </c>
      <c r="N202" s="39">
        <v>0</v>
      </c>
      <c r="O202" s="37">
        <v>0.20362458</v>
      </c>
      <c r="P202" s="39">
        <v>0</v>
      </c>
      <c r="Q202" s="37" t="s">
        <v>50</v>
      </c>
      <c r="R202" s="37" t="s">
        <v>50</v>
      </c>
      <c r="S202" s="39">
        <f t="shared" si="22"/>
        <v>-0.20362458</v>
      </c>
      <c r="T202" s="39">
        <f t="shared" si="23"/>
        <v>0.20362458</v>
      </c>
      <c r="U202" s="40">
        <v>100</v>
      </c>
      <c r="V202" s="90"/>
    </row>
    <row r="203" spans="1:22" ht="45" x14ac:dyDescent="0.25">
      <c r="A203" s="19" t="s">
        <v>28</v>
      </c>
      <c r="B203" s="14" t="s">
        <v>684</v>
      </c>
      <c r="C203" s="44" t="s">
        <v>571</v>
      </c>
      <c r="D203" s="39">
        <v>0</v>
      </c>
      <c r="E203" s="39">
        <v>0</v>
      </c>
      <c r="F203" s="37" t="s">
        <v>50</v>
      </c>
      <c r="G203" s="39">
        <v>0</v>
      </c>
      <c r="H203" s="39">
        <f t="shared" si="26"/>
        <v>0</v>
      </c>
      <c r="I203" s="39">
        <f t="shared" ref="I203:I266" si="27">K203+M203+O203</f>
        <v>0.21475926000000001</v>
      </c>
      <c r="J203" s="39">
        <v>0</v>
      </c>
      <c r="K203" s="39">
        <v>0</v>
      </c>
      <c r="L203" s="39">
        <v>0</v>
      </c>
      <c r="M203" s="37">
        <v>0</v>
      </c>
      <c r="N203" s="39">
        <v>0</v>
      </c>
      <c r="O203" s="37">
        <v>0.21475926000000001</v>
      </c>
      <c r="P203" s="39">
        <v>0</v>
      </c>
      <c r="Q203" s="37" t="s">
        <v>50</v>
      </c>
      <c r="R203" s="37" t="s">
        <v>50</v>
      </c>
      <c r="S203" s="39">
        <f t="shared" ref="S203:S266" si="28">G203-I203</f>
        <v>-0.21475926000000001</v>
      </c>
      <c r="T203" s="39">
        <f t="shared" ref="T203:T266" si="29">(K203+M203+O203)-(J203+L203+N203)</f>
        <v>0.21475926000000001</v>
      </c>
      <c r="U203" s="40">
        <v>100</v>
      </c>
      <c r="V203" s="90"/>
    </row>
    <row r="204" spans="1:22" ht="45" x14ac:dyDescent="0.25">
      <c r="A204" s="19" t="s">
        <v>28</v>
      </c>
      <c r="B204" s="14" t="s">
        <v>685</v>
      </c>
      <c r="C204" s="44" t="s">
        <v>686</v>
      </c>
      <c r="D204" s="39">
        <v>0</v>
      </c>
      <c r="E204" s="39">
        <v>0</v>
      </c>
      <c r="F204" s="37" t="s">
        <v>50</v>
      </c>
      <c r="G204" s="39">
        <v>0</v>
      </c>
      <c r="H204" s="39">
        <f t="shared" si="26"/>
        <v>0</v>
      </c>
      <c r="I204" s="39">
        <f t="shared" si="27"/>
        <v>0.46704027999999997</v>
      </c>
      <c r="J204" s="39">
        <v>0</v>
      </c>
      <c r="K204" s="39">
        <v>0</v>
      </c>
      <c r="L204" s="39">
        <v>0</v>
      </c>
      <c r="M204" s="37">
        <v>0</v>
      </c>
      <c r="N204" s="39">
        <v>0</v>
      </c>
      <c r="O204" s="37">
        <v>0.46704027999999997</v>
      </c>
      <c r="P204" s="39">
        <v>0</v>
      </c>
      <c r="Q204" s="37" t="s">
        <v>50</v>
      </c>
      <c r="R204" s="37" t="s">
        <v>50</v>
      </c>
      <c r="S204" s="39">
        <f t="shared" si="28"/>
        <v>-0.46704027999999997</v>
      </c>
      <c r="T204" s="39">
        <f t="shared" si="29"/>
        <v>0.46704027999999997</v>
      </c>
      <c r="U204" s="40">
        <v>100</v>
      </c>
      <c r="V204" s="90"/>
    </row>
    <row r="205" spans="1:22" ht="45" x14ac:dyDescent="0.25">
      <c r="A205" s="19" t="s">
        <v>28</v>
      </c>
      <c r="B205" s="14" t="s">
        <v>687</v>
      </c>
      <c r="C205" s="44" t="s">
        <v>688</v>
      </c>
      <c r="D205" s="39">
        <v>0</v>
      </c>
      <c r="E205" s="39">
        <v>0</v>
      </c>
      <c r="F205" s="37" t="s">
        <v>50</v>
      </c>
      <c r="G205" s="39">
        <v>0</v>
      </c>
      <c r="H205" s="39">
        <f t="shared" si="26"/>
        <v>0</v>
      </c>
      <c r="I205" s="39">
        <f t="shared" si="27"/>
        <v>0.40753115000000001</v>
      </c>
      <c r="J205" s="39">
        <v>0</v>
      </c>
      <c r="K205" s="39">
        <v>0</v>
      </c>
      <c r="L205" s="39">
        <v>0</v>
      </c>
      <c r="M205" s="37">
        <v>0</v>
      </c>
      <c r="N205" s="39">
        <v>0</v>
      </c>
      <c r="O205" s="37">
        <v>0.40753115000000001</v>
      </c>
      <c r="P205" s="39">
        <v>0</v>
      </c>
      <c r="Q205" s="37" t="s">
        <v>50</v>
      </c>
      <c r="R205" s="37" t="s">
        <v>50</v>
      </c>
      <c r="S205" s="39">
        <f t="shared" si="28"/>
        <v>-0.40753115000000001</v>
      </c>
      <c r="T205" s="39">
        <f t="shared" si="29"/>
        <v>0.40753115000000001</v>
      </c>
      <c r="U205" s="40">
        <v>100</v>
      </c>
      <c r="V205" s="90"/>
    </row>
    <row r="206" spans="1:22" ht="45" x14ac:dyDescent="0.25">
      <c r="A206" s="21" t="s">
        <v>28</v>
      </c>
      <c r="B206" s="22" t="s">
        <v>181</v>
      </c>
      <c r="C206" s="35" t="s">
        <v>182</v>
      </c>
      <c r="D206" s="39">
        <v>0.40798827937780463</v>
      </c>
      <c r="E206" s="39">
        <v>0</v>
      </c>
      <c r="F206" s="37" t="s">
        <v>50</v>
      </c>
      <c r="G206" s="39">
        <v>3.1741488135593192</v>
      </c>
      <c r="H206" s="39">
        <f t="shared" si="26"/>
        <v>3.1741488135593192</v>
      </c>
      <c r="I206" s="39">
        <f t="shared" si="27"/>
        <v>0</v>
      </c>
      <c r="J206" s="39">
        <v>0.31741488135593193</v>
      </c>
      <c r="K206" s="39">
        <v>0</v>
      </c>
      <c r="L206" s="39">
        <v>0.95224464406779563</v>
      </c>
      <c r="M206" s="37">
        <v>0</v>
      </c>
      <c r="N206" s="39">
        <v>0.95224464406779563</v>
      </c>
      <c r="O206" s="37">
        <v>0</v>
      </c>
      <c r="P206" s="39">
        <v>0.95224464406779563</v>
      </c>
      <c r="Q206" s="37" t="s">
        <v>50</v>
      </c>
      <c r="R206" s="37" t="s">
        <v>50</v>
      </c>
      <c r="S206" s="39">
        <f t="shared" si="28"/>
        <v>3.1741488135593192</v>
      </c>
      <c r="T206" s="39">
        <f t="shared" si="29"/>
        <v>-2.2219041694915234</v>
      </c>
      <c r="U206" s="40">
        <f t="shared" ref="U206:U257" si="30">(K206+M206+O206)/(J206+L206+N206)*100-100</f>
        <v>-100</v>
      </c>
      <c r="V206" s="90"/>
    </row>
    <row r="207" spans="1:22" ht="45" x14ac:dyDescent="0.25">
      <c r="A207" s="19" t="s">
        <v>28</v>
      </c>
      <c r="B207" s="14" t="s">
        <v>578</v>
      </c>
      <c r="C207" s="44" t="s">
        <v>567</v>
      </c>
      <c r="D207" s="39">
        <v>0</v>
      </c>
      <c r="E207" s="39">
        <v>0</v>
      </c>
      <c r="F207" s="37" t="s">
        <v>50</v>
      </c>
      <c r="G207" s="39">
        <v>0</v>
      </c>
      <c r="H207" s="39">
        <f t="shared" si="26"/>
        <v>0</v>
      </c>
      <c r="I207" s="39">
        <f t="shared" si="27"/>
        <v>0.28589958000000004</v>
      </c>
      <c r="J207" s="39">
        <v>0</v>
      </c>
      <c r="K207" s="39">
        <v>0</v>
      </c>
      <c r="L207" s="39">
        <v>0</v>
      </c>
      <c r="M207" s="37">
        <f>285.89958/1000</f>
        <v>0.28589958000000004</v>
      </c>
      <c r="N207" s="39">
        <v>0</v>
      </c>
      <c r="O207" s="37">
        <v>0</v>
      </c>
      <c r="P207" s="39">
        <v>0</v>
      </c>
      <c r="Q207" s="37" t="s">
        <v>50</v>
      </c>
      <c r="R207" s="37" t="s">
        <v>50</v>
      </c>
      <c r="S207" s="39">
        <f t="shared" si="28"/>
        <v>-0.28589958000000004</v>
      </c>
      <c r="T207" s="39">
        <f t="shared" si="29"/>
        <v>0.28589958000000004</v>
      </c>
      <c r="U207" s="40">
        <v>100</v>
      </c>
      <c r="V207" s="90"/>
    </row>
    <row r="208" spans="1:22" ht="45" x14ac:dyDescent="0.25">
      <c r="A208" s="19" t="s">
        <v>28</v>
      </c>
      <c r="B208" s="14" t="s">
        <v>579</v>
      </c>
      <c r="C208" s="44" t="s">
        <v>573</v>
      </c>
      <c r="D208" s="39">
        <v>0</v>
      </c>
      <c r="E208" s="39">
        <v>0</v>
      </c>
      <c r="F208" s="37" t="s">
        <v>50</v>
      </c>
      <c r="G208" s="39">
        <v>0</v>
      </c>
      <c r="H208" s="39">
        <f t="shared" si="26"/>
        <v>0</v>
      </c>
      <c r="I208" s="39">
        <f t="shared" si="27"/>
        <v>0.32922651000000003</v>
      </c>
      <c r="J208" s="39">
        <v>0</v>
      </c>
      <c r="K208" s="39">
        <v>0</v>
      </c>
      <c r="L208" s="39">
        <v>0</v>
      </c>
      <c r="M208" s="37">
        <f>329.22651/1000</f>
        <v>0.32922651000000003</v>
      </c>
      <c r="N208" s="39">
        <v>0</v>
      </c>
      <c r="O208" s="37">
        <v>0</v>
      </c>
      <c r="P208" s="39">
        <v>0</v>
      </c>
      <c r="Q208" s="37" t="s">
        <v>50</v>
      </c>
      <c r="R208" s="37" t="s">
        <v>50</v>
      </c>
      <c r="S208" s="39">
        <f t="shared" si="28"/>
        <v>-0.32922651000000003</v>
      </c>
      <c r="T208" s="39">
        <f t="shared" si="29"/>
        <v>0.32922651000000003</v>
      </c>
      <c r="U208" s="40">
        <v>100</v>
      </c>
      <c r="V208" s="90"/>
    </row>
    <row r="209" spans="1:22" ht="45" x14ac:dyDescent="0.25">
      <c r="A209" s="19" t="s">
        <v>28</v>
      </c>
      <c r="B209" s="14" t="s">
        <v>689</v>
      </c>
      <c r="C209" s="44" t="s">
        <v>575</v>
      </c>
      <c r="D209" s="39">
        <v>0</v>
      </c>
      <c r="E209" s="39">
        <v>0</v>
      </c>
      <c r="F209" s="37" t="s">
        <v>50</v>
      </c>
      <c r="G209" s="39">
        <v>0</v>
      </c>
      <c r="H209" s="39">
        <f t="shared" si="26"/>
        <v>0</v>
      </c>
      <c r="I209" s="39">
        <f t="shared" si="27"/>
        <v>0.59609227999999992</v>
      </c>
      <c r="J209" s="39">
        <v>0</v>
      </c>
      <c r="K209" s="39">
        <v>0</v>
      </c>
      <c r="L209" s="39">
        <v>0</v>
      </c>
      <c r="M209" s="37">
        <v>0</v>
      </c>
      <c r="N209" s="39">
        <v>0</v>
      </c>
      <c r="O209" s="37">
        <v>0.59609227999999992</v>
      </c>
      <c r="P209" s="39">
        <v>0</v>
      </c>
      <c r="Q209" s="37" t="s">
        <v>50</v>
      </c>
      <c r="R209" s="37" t="s">
        <v>50</v>
      </c>
      <c r="S209" s="39">
        <f t="shared" si="28"/>
        <v>-0.59609227999999992</v>
      </c>
      <c r="T209" s="39">
        <f t="shared" si="29"/>
        <v>0.59609227999999992</v>
      </c>
      <c r="U209" s="40">
        <v>100</v>
      </c>
      <c r="V209" s="91"/>
    </row>
    <row r="210" spans="1:22" ht="30" x14ac:dyDescent="0.25">
      <c r="A210" s="10" t="s">
        <v>28</v>
      </c>
      <c r="B210" s="25" t="s">
        <v>499</v>
      </c>
      <c r="C210" s="35" t="s">
        <v>500</v>
      </c>
      <c r="D210" s="39">
        <v>0</v>
      </c>
      <c r="E210" s="39">
        <v>3.1972583999999998E-2</v>
      </c>
      <c r="F210" s="37" t="s">
        <v>50</v>
      </c>
      <c r="G210" s="39">
        <v>0</v>
      </c>
      <c r="H210" s="39">
        <f t="shared" si="26"/>
        <v>0</v>
      </c>
      <c r="I210" s="39">
        <f t="shared" si="27"/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7">
        <v>0</v>
      </c>
      <c r="P210" s="39">
        <v>0</v>
      </c>
      <c r="Q210" s="37" t="s">
        <v>50</v>
      </c>
      <c r="R210" s="37" t="s">
        <v>50</v>
      </c>
      <c r="S210" s="39">
        <f t="shared" si="28"/>
        <v>0</v>
      </c>
      <c r="T210" s="39">
        <f t="shared" si="29"/>
        <v>0</v>
      </c>
      <c r="U210" s="40">
        <v>0</v>
      </c>
      <c r="V210" s="32" t="s">
        <v>50</v>
      </c>
    </row>
    <row r="211" spans="1:22" ht="30" x14ac:dyDescent="0.25">
      <c r="A211" s="10" t="s">
        <v>28</v>
      </c>
      <c r="B211" s="25" t="s">
        <v>501</v>
      </c>
      <c r="C211" s="35" t="s">
        <v>502</v>
      </c>
      <c r="D211" s="39">
        <v>0</v>
      </c>
      <c r="E211" s="39">
        <v>3.1972583999999998E-2</v>
      </c>
      <c r="F211" s="37" t="s">
        <v>50</v>
      </c>
      <c r="G211" s="39">
        <v>0</v>
      </c>
      <c r="H211" s="39">
        <f t="shared" ref="H211:H274" si="31">J211+L211+N211+P211</f>
        <v>0</v>
      </c>
      <c r="I211" s="39">
        <f t="shared" si="27"/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7">
        <v>0</v>
      </c>
      <c r="P211" s="39">
        <v>0</v>
      </c>
      <c r="Q211" s="37" t="s">
        <v>50</v>
      </c>
      <c r="R211" s="37" t="s">
        <v>50</v>
      </c>
      <c r="S211" s="39">
        <f t="shared" si="28"/>
        <v>0</v>
      </c>
      <c r="T211" s="39">
        <f t="shared" si="29"/>
        <v>0</v>
      </c>
      <c r="U211" s="40">
        <v>0</v>
      </c>
      <c r="V211" s="32" t="s">
        <v>50</v>
      </c>
    </row>
    <row r="212" spans="1:22" ht="60" customHeight="1" x14ac:dyDescent="0.25">
      <c r="A212" s="19" t="s">
        <v>28</v>
      </c>
      <c r="B212" s="14" t="s">
        <v>183</v>
      </c>
      <c r="C212" s="44" t="s">
        <v>184</v>
      </c>
      <c r="D212" s="39">
        <v>8.8453570694087394E-2</v>
      </c>
      <c r="E212" s="39">
        <v>0</v>
      </c>
      <c r="F212" s="37" t="s">
        <v>50</v>
      </c>
      <c r="G212" s="39">
        <v>0.68816877999999992</v>
      </c>
      <c r="H212" s="39">
        <f t="shared" si="31"/>
        <v>0.68816877999999992</v>
      </c>
      <c r="I212" s="39">
        <f t="shared" si="27"/>
        <v>0</v>
      </c>
      <c r="J212" s="39">
        <v>0</v>
      </c>
      <c r="K212" s="39">
        <v>0</v>
      </c>
      <c r="L212" s="39">
        <v>0</v>
      </c>
      <c r="M212" s="37">
        <v>0</v>
      </c>
      <c r="N212" s="39">
        <v>0</v>
      </c>
      <c r="O212" s="37">
        <v>0</v>
      </c>
      <c r="P212" s="39">
        <v>0.68816877999999992</v>
      </c>
      <c r="Q212" s="37" t="s">
        <v>50</v>
      </c>
      <c r="R212" s="37" t="s">
        <v>50</v>
      </c>
      <c r="S212" s="39">
        <f t="shared" si="28"/>
        <v>0.68816877999999992</v>
      </c>
      <c r="T212" s="39">
        <f t="shared" si="29"/>
        <v>0</v>
      </c>
      <c r="U212" s="40">
        <v>-100</v>
      </c>
      <c r="V212" s="89" t="s">
        <v>735</v>
      </c>
    </row>
    <row r="213" spans="1:22" ht="30" x14ac:dyDescent="0.25">
      <c r="A213" s="19" t="s">
        <v>28</v>
      </c>
      <c r="B213" s="14" t="s">
        <v>335</v>
      </c>
      <c r="C213" s="44" t="s">
        <v>336</v>
      </c>
      <c r="D213" s="39">
        <v>0</v>
      </c>
      <c r="E213" s="39">
        <v>0</v>
      </c>
      <c r="F213" s="37" t="s">
        <v>50</v>
      </c>
      <c r="G213" s="39">
        <v>0</v>
      </c>
      <c r="H213" s="39">
        <f t="shared" si="31"/>
        <v>0</v>
      </c>
      <c r="I213" s="39">
        <f t="shared" si="27"/>
        <v>4.1587300000000002E-3</v>
      </c>
      <c r="J213" s="39">
        <v>0</v>
      </c>
      <c r="K213" s="39">
        <v>4.1587300000000002E-3</v>
      </c>
      <c r="L213" s="39">
        <v>0</v>
      </c>
      <c r="M213" s="37">
        <v>0</v>
      </c>
      <c r="N213" s="39">
        <v>0</v>
      </c>
      <c r="O213" s="37">
        <v>0</v>
      </c>
      <c r="P213" s="39">
        <v>0</v>
      </c>
      <c r="Q213" s="37" t="s">
        <v>50</v>
      </c>
      <c r="R213" s="37" t="s">
        <v>50</v>
      </c>
      <c r="S213" s="39">
        <f t="shared" si="28"/>
        <v>-4.1587300000000002E-3</v>
      </c>
      <c r="T213" s="39">
        <f t="shared" si="29"/>
        <v>4.1587300000000002E-3</v>
      </c>
      <c r="U213" s="40">
        <v>100</v>
      </c>
      <c r="V213" s="90"/>
    </row>
    <row r="214" spans="1:22" ht="30" x14ac:dyDescent="0.25">
      <c r="A214" s="19" t="s">
        <v>28</v>
      </c>
      <c r="B214" s="14" t="s">
        <v>337</v>
      </c>
      <c r="C214" s="44" t="s">
        <v>338</v>
      </c>
      <c r="D214" s="39">
        <v>0</v>
      </c>
      <c r="E214" s="39">
        <v>0</v>
      </c>
      <c r="F214" s="37" t="s">
        <v>50</v>
      </c>
      <c r="G214" s="39">
        <v>0</v>
      </c>
      <c r="H214" s="39">
        <f t="shared" si="31"/>
        <v>0</v>
      </c>
      <c r="I214" s="39">
        <f t="shared" si="27"/>
        <v>5.57896E-3</v>
      </c>
      <c r="J214" s="39">
        <v>0</v>
      </c>
      <c r="K214" s="39">
        <v>5.57896E-3</v>
      </c>
      <c r="L214" s="39">
        <v>0</v>
      </c>
      <c r="M214" s="37">
        <v>0</v>
      </c>
      <c r="N214" s="39">
        <v>0</v>
      </c>
      <c r="O214" s="37">
        <v>0</v>
      </c>
      <c r="P214" s="39">
        <v>0</v>
      </c>
      <c r="Q214" s="37" t="s">
        <v>50</v>
      </c>
      <c r="R214" s="37" t="s">
        <v>50</v>
      </c>
      <c r="S214" s="39">
        <f t="shared" si="28"/>
        <v>-5.57896E-3</v>
      </c>
      <c r="T214" s="39">
        <f t="shared" si="29"/>
        <v>5.57896E-3</v>
      </c>
      <c r="U214" s="40">
        <v>100</v>
      </c>
      <c r="V214" s="90"/>
    </row>
    <row r="215" spans="1:22" ht="30" x14ac:dyDescent="0.25">
      <c r="A215" s="19" t="s">
        <v>28</v>
      </c>
      <c r="B215" s="14" t="s">
        <v>339</v>
      </c>
      <c r="C215" s="44" t="s">
        <v>340</v>
      </c>
      <c r="D215" s="39">
        <v>0</v>
      </c>
      <c r="E215" s="39">
        <v>0</v>
      </c>
      <c r="F215" s="37" t="s">
        <v>50</v>
      </c>
      <c r="G215" s="39">
        <v>0</v>
      </c>
      <c r="H215" s="39">
        <f t="shared" si="31"/>
        <v>0</v>
      </c>
      <c r="I215" s="39">
        <f t="shared" si="27"/>
        <v>1.21409E-2</v>
      </c>
      <c r="J215" s="39">
        <v>0</v>
      </c>
      <c r="K215" s="39">
        <v>1.21409E-2</v>
      </c>
      <c r="L215" s="39">
        <v>0</v>
      </c>
      <c r="M215" s="37">
        <v>0</v>
      </c>
      <c r="N215" s="39">
        <v>0</v>
      </c>
      <c r="O215" s="37">
        <v>0</v>
      </c>
      <c r="P215" s="39">
        <v>0</v>
      </c>
      <c r="Q215" s="37" t="s">
        <v>50</v>
      </c>
      <c r="R215" s="37" t="s">
        <v>50</v>
      </c>
      <c r="S215" s="39">
        <f t="shared" si="28"/>
        <v>-1.21409E-2</v>
      </c>
      <c r="T215" s="39">
        <f t="shared" si="29"/>
        <v>1.21409E-2</v>
      </c>
      <c r="U215" s="40">
        <v>100</v>
      </c>
      <c r="V215" s="90"/>
    </row>
    <row r="216" spans="1:22" ht="30" x14ac:dyDescent="0.25">
      <c r="A216" s="19" t="s">
        <v>28</v>
      </c>
      <c r="B216" s="14" t="s">
        <v>341</v>
      </c>
      <c r="C216" s="44" t="s">
        <v>342</v>
      </c>
      <c r="D216" s="39">
        <v>0</v>
      </c>
      <c r="E216" s="39">
        <v>0</v>
      </c>
      <c r="F216" s="37" t="s">
        <v>50</v>
      </c>
      <c r="G216" s="39">
        <v>0</v>
      </c>
      <c r="H216" s="39">
        <f t="shared" si="31"/>
        <v>0</v>
      </c>
      <c r="I216" s="39">
        <f t="shared" si="27"/>
        <v>4.3957800000000002E-3</v>
      </c>
      <c r="J216" s="39">
        <v>0</v>
      </c>
      <c r="K216" s="39">
        <v>4.3957800000000002E-3</v>
      </c>
      <c r="L216" s="39">
        <v>0</v>
      </c>
      <c r="M216" s="37">
        <v>0</v>
      </c>
      <c r="N216" s="39">
        <v>0</v>
      </c>
      <c r="O216" s="37">
        <v>0</v>
      </c>
      <c r="P216" s="39">
        <v>0</v>
      </c>
      <c r="Q216" s="37" t="s">
        <v>50</v>
      </c>
      <c r="R216" s="37" t="s">
        <v>50</v>
      </c>
      <c r="S216" s="39">
        <f t="shared" si="28"/>
        <v>-4.3957800000000002E-3</v>
      </c>
      <c r="T216" s="39">
        <f t="shared" si="29"/>
        <v>4.3957800000000002E-3</v>
      </c>
      <c r="U216" s="40">
        <v>100</v>
      </c>
      <c r="V216" s="90"/>
    </row>
    <row r="217" spans="1:22" ht="30" x14ac:dyDescent="0.25">
      <c r="A217" s="19" t="s">
        <v>28</v>
      </c>
      <c r="B217" s="14" t="s">
        <v>343</v>
      </c>
      <c r="C217" s="44" t="s">
        <v>344</v>
      </c>
      <c r="D217" s="39">
        <v>0</v>
      </c>
      <c r="E217" s="39">
        <v>0</v>
      </c>
      <c r="F217" s="37" t="s">
        <v>50</v>
      </c>
      <c r="G217" s="39">
        <v>0</v>
      </c>
      <c r="H217" s="39">
        <f t="shared" si="31"/>
        <v>0</v>
      </c>
      <c r="I217" s="39">
        <f t="shared" si="27"/>
        <v>6.2564600000000001E-3</v>
      </c>
      <c r="J217" s="39">
        <v>0</v>
      </c>
      <c r="K217" s="39">
        <v>6.2564600000000001E-3</v>
      </c>
      <c r="L217" s="39">
        <v>0</v>
      </c>
      <c r="M217" s="37">
        <v>0</v>
      </c>
      <c r="N217" s="39">
        <v>0</v>
      </c>
      <c r="O217" s="37">
        <v>0</v>
      </c>
      <c r="P217" s="39">
        <v>0</v>
      </c>
      <c r="Q217" s="37" t="s">
        <v>50</v>
      </c>
      <c r="R217" s="37" t="s">
        <v>50</v>
      </c>
      <c r="S217" s="39">
        <f t="shared" si="28"/>
        <v>-6.2564600000000001E-3</v>
      </c>
      <c r="T217" s="39">
        <f t="shared" si="29"/>
        <v>6.2564600000000001E-3</v>
      </c>
      <c r="U217" s="40">
        <v>100</v>
      </c>
      <c r="V217" s="90"/>
    </row>
    <row r="218" spans="1:22" ht="30" x14ac:dyDescent="0.25">
      <c r="A218" s="19" t="s">
        <v>28</v>
      </c>
      <c r="B218" s="14" t="s">
        <v>345</v>
      </c>
      <c r="C218" s="44" t="s">
        <v>346</v>
      </c>
      <c r="D218" s="39">
        <v>0</v>
      </c>
      <c r="E218" s="39">
        <v>0</v>
      </c>
      <c r="F218" s="37" t="s">
        <v>50</v>
      </c>
      <c r="G218" s="39">
        <v>0</v>
      </c>
      <c r="H218" s="39">
        <f t="shared" si="31"/>
        <v>0</v>
      </c>
      <c r="I218" s="39">
        <f t="shared" si="27"/>
        <v>5.4178300000000002E-3</v>
      </c>
      <c r="J218" s="39">
        <v>0</v>
      </c>
      <c r="K218" s="39">
        <v>5.4178300000000002E-3</v>
      </c>
      <c r="L218" s="39">
        <v>0</v>
      </c>
      <c r="M218" s="37">
        <v>0</v>
      </c>
      <c r="N218" s="39">
        <v>0</v>
      </c>
      <c r="O218" s="37">
        <v>0</v>
      </c>
      <c r="P218" s="39">
        <v>0</v>
      </c>
      <c r="Q218" s="37" t="s">
        <v>50</v>
      </c>
      <c r="R218" s="37" t="s">
        <v>50</v>
      </c>
      <c r="S218" s="39">
        <f t="shared" si="28"/>
        <v>-5.4178300000000002E-3</v>
      </c>
      <c r="T218" s="39">
        <f t="shared" si="29"/>
        <v>5.4178300000000002E-3</v>
      </c>
      <c r="U218" s="40">
        <v>100</v>
      </c>
      <c r="V218" s="90"/>
    </row>
    <row r="219" spans="1:22" ht="30" x14ac:dyDescent="0.25">
      <c r="A219" s="19" t="s">
        <v>28</v>
      </c>
      <c r="B219" s="14" t="s">
        <v>347</v>
      </c>
      <c r="C219" s="44" t="s">
        <v>348</v>
      </c>
      <c r="D219" s="39">
        <v>0</v>
      </c>
      <c r="E219" s="39">
        <v>0</v>
      </c>
      <c r="F219" s="37" t="s">
        <v>50</v>
      </c>
      <c r="G219" s="39">
        <v>0</v>
      </c>
      <c r="H219" s="39">
        <f t="shared" si="31"/>
        <v>0</v>
      </c>
      <c r="I219" s="39">
        <f t="shared" si="27"/>
        <v>4.4758769999999996E-2</v>
      </c>
      <c r="J219" s="39">
        <v>0</v>
      </c>
      <c r="K219" s="39">
        <f>44.75877/1000</f>
        <v>4.4758769999999996E-2</v>
      </c>
      <c r="L219" s="39">
        <v>0</v>
      </c>
      <c r="M219" s="37">
        <v>0</v>
      </c>
      <c r="N219" s="39">
        <v>0</v>
      </c>
      <c r="O219" s="37">
        <v>0</v>
      </c>
      <c r="P219" s="39">
        <v>0</v>
      </c>
      <c r="Q219" s="37" t="s">
        <v>50</v>
      </c>
      <c r="R219" s="37" t="s">
        <v>50</v>
      </c>
      <c r="S219" s="39">
        <f t="shared" si="28"/>
        <v>-4.4758769999999996E-2</v>
      </c>
      <c r="T219" s="39">
        <f t="shared" si="29"/>
        <v>4.4758769999999996E-2</v>
      </c>
      <c r="U219" s="40">
        <v>100</v>
      </c>
      <c r="V219" s="90"/>
    </row>
    <row r="220" spans="1:22" ht="30" x14ac:dyDescent="0.25">
      <c r="A220" s="19" t="s">
        <v>28</v>
      </c>
      <c r="B220" s="14" t="s">
        <v>349</v>
      </c>
      <c r="C220" s="44" t="s">
        <v>350</v>
      </c>
      <c r="D220" s="39">
        <v>0</v>
      </c>
      <c r="E220" s="39">
        <v>0</v>
      </c>
      <c r="F220" s="37" t="s">
        <v>50</v>
      </c>
      <c r="G220" s="39">
        <v>0</v>
      </c>
      <c r="H220" s="39">
        <f t="shared" si="31"/>
        <v>0</v>
      </c>
      <c r="I220" s="39">
        <f t="shared" si="27"/>
        <v>6.1046699999999995E-3</v>
      </c>
      <c r="J220" s="39">
        <v>0</v>
      </c>
      <c r="K220" s="39">
        <v>6.1046699999999995E-3</v>
      </c>
      <c r="L220" s="39">
        <v>0</v>
      </c>
      <c r="M220" s="37">
        <v>0</v>
      </c>
      <c r="N220" s="39">
        <v>0</v>
      </c>
      <c r="O220" s="37">
        <v>0</v>
      </c>
      <c r="P220" s="39">
        <v>0</v>
      </c>
      <c r="Q220" s="37" t="s">
        <v>50</v>
      </c>
      <c r="R220" s="37" t="s">
        <v>50</v>
      </c>
      <c r="S220" s="39">
        <f t="shared" si="28"/>
        <v>-6.1046699999999995E-3</v>
      </c>
      <c r="T220" s="39">
        <f t="shared" si="29"/>
        <v>6.1046699999999995E-3</v>
      </c>
      <c r="U220" s="40">
        <v>100</v>
      </c>
      <c r="V220" s="90"/>
    </row>
    <row r="221" spans="1:22" ht="30" x14ac:dyDescent="0.25">
      <c r="A221" s="19" t="s">
        <v>28</v>
      </c>
      <c r="B221" s="14" t="s">
        <v>351</v>
      </c>
      <c r="C221" s="44" t="s">
        <v>352</v>
      </c>
      <c r="D221" s="39">
        <v>0</v>
      </c>
      <c r="E221" s="39">
        <v>0</v>
      </c>
      <c r="F221" s="37" t="s">
        <v>50</v>
      </c>
      <c r="G221" s="39">
        <v>0</v>
      </c>
      <c r="H221" s="39">
        <f t="shared" si="31"/>
        <v>0</v>
      </c>
      <c r="I221" s="39">
        <f t="shared" si="27"/>
        <v>5.4622500000000001E-3</v>
      </c>
      <c r="J221" s="39">
        <v>0</v>
      </c>
      <c r="K221" s="39">
        <v>5.4622500000000001E-3</v>
      </c>
      <c r="L221" s="39">
        <v>0</v>
      </c>
      <c r="M221" s="37">
        <v>0</v>
      </c>
      <c r="N221" s="39">
        <v>0</v>
      </c>
      <c r="O221" s="37">
        <v>0</v>
      </c>
      <c r="P221" s="39">
        <v>0</v>
      </c>
      <c r="Q221" s="37" t="s">
        <v>50</v>
      </c>
      <c r="R221" s="37" t="s">
        <v>50</v>
      </c>
      <c r="S221" s="39">
        <f t="shared" si="28"/>
        <v>-5.4622500000000001E-3</v>
      </c>
      <c r="T221" s="39">
        <f t="shared" si="29"/>
        <v>5.4622500000000001E-3</v>
      </c>
      <c r="U221" s="40">
        <v>100</v>
      </c>
      <c r="V221" s="90"/>
    </row>
    <row r="222" spans="1:22" ht="30" x14ac:dyDescent="0.25">
      <c r="A222" s="19" t="s">
        <v>28</v>
      </c>
      <c r="B222" s="14" t="s">
        <v>542</v>
      </c>
      <c r="C222" s="44" t="s">
        <v>543</v>
      </c>
      <c r="D222" s="39">
        <v>0</v>
      </c>
      <c r="E222" s="39">
        <v>0</v>
      </c>
      <c r="F222" s="37" t="s">
        <v>50</v>
      </c>
      <c r="G222" s="39">
        <v>0</v>
      </c>
      <c r="H222" s="39">
        <f t="shared" si="31"/>
        <v>0</v>
      </c>
      <c r="I222" s="39">
        <f t="shared" si="27"/>
        <v>1.8189759999999999E-2</v>
      </c>
      <c r="J222" s="39">
        <v>0</v>
      </c>
      <c r="K222" s="39">
        <v>0</v>
      </c>
      <c r="L222" s="39">
        <v>0</v>
      </c>
      <c r="M222" s="37">
        <f>18.18976/1000</f>
        <v>1.8189759999999999E-2</v>
      </c>
      <c r="N222" s="39">
        <v>0</v>
      </c>
      <c r="O222" s="37">
        <v>0</v>
      </c>
      <c r="P222" s="39">
        <v>0</v>
      </c>
      <c r="Q222" s="37" t="s">
        <v>50</v>
      </c>
      <c r="R222" s="37" t="s">
        <v>50</v>
      </c>
      <c r="S222" s="39">
        <f t="shared" si="28"/>
        <v>-1.8189759999999999E-2</v>
      </c>
      <c r="T222" s="39">
        <f t="shared" si="29"/>
        <v>1.8189759999999999E-2</v>
      </c>
      <c r="U222" s="40">
        <v>100</v>
      </c>
      <c r="V222" s="90"/>
    </row>
    <row r="223" spans="1:22" ht="30" x14ac:dyDescent="0.25">
      <c r="A223" s="19" t="s">
        <v>28</v>
      </c>
      <c r="B223" s="14" t="s">
        <v>544</v>
      </c>
      <c r="C223" s="44" t="s">
        <v>545</v>
      </c>
      <c r="D223" s="39">
        <v>0</v>
      </c>
      <c r="E223" s="39">
        <v>0</v>
      </c>
      <c r="F223" s="37" t="s">
        <v>50</v>
      </c>
      <c r="G223" s="39">
        <v>0</v>
      </c>
      <c r="H223" s="39">
        <f t="shared" si="31"/>
        <v>0</v>
      </c>
      <c r="I223" s="39">
        <f t="shared" si="27"/>
        <v>6.1305800000000001E-3</v>
      </c>
      <c r="J223" s="39">
        <v>0</v>
      </c>
      <c r="K223" s="39">
        <v>0</v>
      </c>
      <c r="L223" s="39">
        <v>0</v>
      </c>
      <c r="M223" s="37">
        <f>6.13058/1000</f>
        <v>6.1305800000000001E-3</v>
      </c>
      <c r="N223" s="39">
        <v>0</v>
      </c>
      <c r="O223" s="37">
        <v>0</v>
      </c>
      <c r="P223" s="39">
        <v>0</v>
      </c>
      <c r="Q223" s="37" t="s">
        <v>50</v>
      </c>
      <c r="R223" s="37" t="s">
        <v>50</v>
      </c>
      <c r="S223" s="39">
        <f t="shared" si="28"/>
        <v>-6.1305800000000001E-3</v>
      </c>
      <c r="T223" s="39">
        <f t="shared" si="29"/>
        <v>6.1305800000000001E-3</v>
      </c>
      <c r="U223" s="40">
        <v>100</v>
      </c>
      <c r="V223" s="90"/>
    </row>
    <row r="224" spans="1:22" ht="30" x14ac:dyDescent="0.25">
      <c r="A224" s="19" t="s">
        <v>28</v>
      </c>
      <c r="B224" s="14" t="s">
        <v>546</v>
      </c>
      <c r="C224" s="44" t="s">
        <v>547</v>
      </c>
      <c r="D224" s="39">
        <v>0</v>
      </c>
      <c r="E224" s="39">
        <v>0</v>
      </c>
      <c r="F224" s="37" t="s">
        <v>50</v>
      </c>
      <c r="G224" s="39">
        <v>0</v>
      </c>
      <c r="H224" s="39">
        <f t="shared" si="31"/>
        <v>0</v>
      </c>
      <c r="I224" s="39">
        <f t="shared" si="27"/>
        <v>2.75728E-3</v>
      </c>
      <c r="J224" s="39">
        <v>0</v>
      </c>
      <c r="K224" s="39">
        <v>0</v>
      </c>
      <c r="L224" s="39">
        <v>0</v>
      </c>
      <c r="M224" s="37">
        <f>2.75728/1000</f>
        <v>2.75728E-3</v>
      </c>
      <c r="N224" s="39">
        <v>0</v>
      </c>
      <c r="O224" s="37">
        <v>0</v>
      </c>
      <c r="P224" s="39">
        <v>0</v>
      </c>
      <c r="Q224" s="37" t="s">
        <v>50</v>
      </c>
      <c r="R224" s="37" t="s">
        <v>50</v>
      </c>
      <c r="S224" s="39">
        <f t="shared" si="28"/>
        <v>-2.75728E-3</v>
      </c>
      <c r="T224" s="39">
        <f t="shared" si="29"/>
        <v>2.75728E-3</v>
      </c>
      <c r="U224" s="40">
        <v>100</v>
      </c>
      <c r="V224" s="90"/>
    </row>
    <row r="225" spans="1:22" ht="30" x14ac:dyDescent="0.25">
      <c r="A225" s="19" t="s">
        <v>28</v>
      </c>
      <c r="B225" s="14" t="s">
        <v>548</v>
      </c>
      <c r="C225" s="44" t="s">
        <v>549</v>
      </c>
      <c r="D225" s="39">
        <v>0</v>
      </c>
      <c r="E225" s="39">
        <v>0</v>
      </c>
      <c r="F225" s="37" t="s">
        <v>50</v>
      </c>
      <c r="G225" s="39">
        <v>0</v>
      </c>
      <c r="H225" s="39">
        <f t="shared" si="31"/>
        <v>0</v>
      </c>
      <c r="I225" s="39">
        <f t="shared" si="27"/>
        <v>5.3924400000000001E-3</v>
      </c>
      <c r="J225" s="39">
        <v>0</v>
      </c>
      <c r="K225" s="39">
        <v>0</v>
      </c>
      <c r="L225" s="39">
        <v>0</v>
      </c>
      <c r="M225" s="37">
        <f>5.39244/1000</f>
        <v>5.3924400000000001E-3</v>
      </c>
      <c r="N225" s="39">
        <v>0</v>
      </c>
      <c r="O225" s="37">
        <v>0</v>
      </c>
      <c r="P225" s="39">
        <v>0</v>
      </c>
      <c r="Q225" s="37" t="s">
        <v>50</v>
      </c>
      <c r="R225" s="37" t="s">
        <v>50</v>
      </c>
      <c r="S225" s="39">
        <f t="shared" si="28"/>
        <v>-5.3924400000000001E-3</v>
      </c>
      <c r="T225" s="39">
        <f t="shared" si="29"/>
        <v>5.3924400000000001E-3</v>
      </c>
      <c r="U225" s="40">
        <v>100</v>
      </c>
      <c r="V225" s="90"/>
    </row>
    <row r="226" spans="1:22" ht="30" x14ac:dyDescent="0.25">
      <c r="A226" s="19" t="s">
        <v>28</v>
      </c>
      <c r="B226" s="14" t="s">
        <v>550</v>
      </c>
      <c r="C226" s="44" t="s">
        <v>551</v>
      </c>
      <c r="D226" s="39">
        <v>0</v>
      </c>
      <c r="E226" s="39">
        <v>0</v>
      </c>
      <c r="F226" s="37" t="s">
        <v>50</v>
      </c>
      <c r="G226" s="39">
        <v>0</v>
      </c>
      <c r="H226" s="39">
        <f t="shared" si="31"/>
        <v>0</v>
      </c>
      <c r="I226" s="39">
        <f t="shared" si="27"/>
        <v>6.2366900000000005E-3</v>
      </c>
      <c r="J226" s="39">
        <v>0</v>
      </c>
      <c r="K226" s="39">
        <v>0</v>
      </c>
      <c r="L226" s="39">
        <v>0</v>
      </c>
      <c r="M226" s="37">
        <f>6.23669/1000</f>
        <v>6.2366900000000005E-3</v>
      </c>
      <c r="N226" s="39">
        <v>0</v>
      </c>
      <c r="O226" s="37">
        <v>0</v>
      </c>
      <c r="P226" s="39">
        <v>0</v>
      </c>
      <c r="Q226" s="37" t="s">
        <v>50</v>
      </c>
      <c r="R226" s="37" t="s">
        <v>50</v>
      </c>
      <c r="S226" s="39">
        <f t="shared" si="28"/>
        <v>-6.2366900000000005E-3</v>
      </c>
      <c r="T226" s="39">
        <f t="shared" si="29"/>
        <v>6.2366900000000005E-3</v>
      </c>
      <c r="U226" s="40">
        <v>100</v>
      </c>
      <c r="V226" s="90"/>
    </row>
    <row r="227" spans="1:22" ht="30" x14ac:dyDescent="0.25">
      <c r="A227" s="21" t="s">
        <v>28</v>
      </c>
      <c r="B227" s="22" t="s">
        <v>690</v>
      </c>
      <c r="C227" s="35" t="s">
        <v>691</v>
      </c>
      <c r="D227" s="39">
        <v>0</v>
      </c>
      <c r="E227" s="39">
        <v>0</v>
      </c>
      <c r="F227" s="37" t="s">
        <v>50</v>
      </c>
      <c r="G227" s="39">
        <v>0</v>
      </c>
      <c r="H227" s="39">
        <f t="shared" si="31"/>
        <v>0</v>
      </c>
      <c r="I227" s="39">
        <f t="shared" si="27"/>
        <v>6.3869499999999997E-3</v>
      </c>
      <c r="J227" s="39">
        <v>0</v>
      </c>
      <c r="K227" s="39">
        <v>0</v>
      </c>
      <c r="L227" s="39">
        <v>0</v>
      </c>
      <c r="M227" s="37">
        <v>0</v>
      </c>
      <c r="N227" s="39">
        <v>0</v>
      </c>
      <c r="O227" s="37">
        <v>6.3869499999999997E-3</v>
      </c>
      <c r="P227" s="39">
        <v>0</v>
      </c>
      <c r="Q227" s="37" t="s">
        <v>50</v>
      </c>
      <c r="R227" s="37" t="s">
        <v>50</v>
      </c>
      <c r="S227" s="39">
        <f t="shared" si="28"/>
        <v>-6.3869499999999997E-3</v>
      </c>
      <c r="T227" s="39">
        <f t="shared" si="29"/>
        <v>6.3869499999999997E-3</v>
      </c>
      <c r="U227" s="40">
        <v>100</v>
      </c>
      <c r="V227" s="90"/>
    </row>
    <row r="228" spans="1:22" ht="30" x14ac:dyDescent="0.25">
      <c r="A228" s="21" t="s">
        <v>28</v>
      </c>
      <c r="B228" s="22" t="s">
        <v>692</v>
      </c>
      <c r="C228" s="35" t="s">
        <v>693</v>
      </c>
      <c r="D228" s="39">
        <v>0</v>
      </c>
      <c r="E228" s="39">
        <v>0</v>
      </c>
      <c r="F228" s="37" t="s">
        <v>50</v>
      </c>
      <c r="G228" s="39">
        <v>0</v>
      </c>
      <c r="H228" s="39">
        <f t="shared" si="31"/>
        <v>0</v>
      </c>
      <c r="I228" s="39">
        <f t="shared" si="27"/>
        <v>1.7260009999999999E-2</v>
      </c>
      <c r="J228" s="39">
        <v>0</v>
      </c>
      <c r="K228" s="39">
        <v>0</v>
      </c>
      <c r="L228" s="39">
        <v>0</v>
      </c>
      <c r="M228" s="37">
        <v>0</v>
      </c>
      <c r="N228" s="39">
        <v>0</v>
      </c>
      <c r="O228" s="37">
        <v>1.7260009999999999E-2</v>
      </c>
      <c r="P228" s="39">
        <v>0</v>
      </c>
      <c r="Q228" s="37" t="s">
        <v>50</v>
      </c>
      <c r="R228" s="37" t="s">
        <v>50</v>
      </c>
      <c r="S228" s="39">
        <f t="shared" si="28"/>
        <v>-1.7260009999999999E-2</v>
      </c>
      <c r="T228" s="39">
        <f t="shared" si="29"/>
        <v>1.7260009999999999E-2</v>
      </c>
      <c r="U228" s="40">
        <v>100</v>
      </c>
      <c r="V228" s="90"/>
    </row>
    <row r="229" spans="1:22" ht="30" x14ac:dyDescent="0.25">
      <c r="A229" s="21" t="s">
        <v>28</v>
      </c>
      <c r="B229" s="22" t="s">
        <v>694</v>
      </c>
      <c r="C229" s="35" t="s">
        <v>695</v>
      </c>
      <c r="D229" s="39">
        <v>0</v>
      </c>
      <c r="E229" s="39">
        <v>0</v>
      </c>
      <c r="F229" s="37" t="s">
        <v>50</v>
      </c>
      <c r="G229" s="39">
        <v>0</v>
      </c>
      <c r="H229" s="39">
        <f t="shared" si="31"/>
        <v>0</v>
      </c>
      <c r="I229" s="39">
        <f t="shared" si="27"/>
        <v>5.7114699999999997E-3</v>
      </c>
      <c r="J229" s="39">
        <v>0</v>
      </c>
      <c r="K229" s="39">
        <v>0</v>
      </c>
      <c r="L229" s="39">
        <v>0</v>
      </c>
      <c r="M229" s="37">
        <v>0</v>
      </c>
      <c r="N229" s="39">
        <v>0</v>
      </c>
      <c r="O229" s="37">
        <v>5.7114699999999997E-3</v>
      </c>
      <c r="P229" s="39">
        <v>0</v>
      </c>
      <c r="Q229" s="37" t="s">
        <v>50</v>
      </c>
      <c r="R229" s="37" t="s">
        <v>50</v>
      </c>
      <c r="S229" s="39">
        <f t="shared" si="28"/>
        <v>-5.7114699999999997E-3</v>
      </c>
      <c r="T229" s="39">
        <f t="shared" si="29"/>
        <v>5.7114699999999997E-3</v>
      </c>
      <c r="U229" s="40">
        <v>100</v>
      </c>
      <c r="V229" s="91"/>
    </row>
    <row r="230" spans="1:22" ht="60" customHeight="1" x14ac:dyDescent="0.25">
      <c r="A230" s="19" t="s">
        <v>28</v>
      </c>
      <c r="B230" s="14" t="s">
        <v>185</v>
      </c>
      <c r="C230" s="44" t="s">
        <v>186</v>
      </c>
      <c r="D230" s="39">
        <v>0.33736208354755792</v>
      </c>
      <c r="E230" s="39">
        <v>0</v>
      </c>
      <c r="F230" s="37" t="s">
        <v>50</v>
      </c>
      <c r="G230" s="39">
        <v>2.6246770100000005</v>
      </c>
      <c r="H230" s="39">
        <f t="shared" si="31"/>
        <v>2.6246770100000005</v>
      </c>
      <c r="I230" s="39">
        <f t="shared" si="27"/>
        <v>0</v>
      </c>
      <c r="J230" s="39">
        <v>0</v>
      </c>
      <c r="K230" s="39">
        <v>0</v>
      </c>
      <c r="L230" s="39">
        <v>0</v>
      </c>
      <c r="M230" s="37">
        <v>0</v>
      </c>
      <c r="N230" s="39">
        <v>0</v>
      </c>
      <c r="O230" s="37">
        <v>0</v>
      </c>
      <c r="P230" s="39">
        <v>2.6246770100000005</v>
      </c>
      <c r="Q230" s="37" t="s">
        <v>50</v>
      </c>
      <c r="R230" s="37" t="s">
        <v>50</v>
      </c>
      <c r="S230" s="39">
        <f t="shared" si="28"/>
        <v>2.6246770100000005</v>
      </c>
      <c r="T230" s="39">
        <f t="shared" si="29"/>
        <v>0</v>
      </c>
      <c r="U230" s="40">
        <v>100</v>
      </c>
      <c r="V230" s="82" t="s">
        <v>736</v>
      </c>
    </row>
    <row r="231" spans="1:22" ht="30" x14ac:dyDescent="0.25">
      <c r="A231" s="19" t="s">
        <v>28</v>
      </c>
      <c r="B231" s="14" t="s">
        <v>353</v>
      </c>
      <c r="C231" s="44" t="s">
        <v>354</v>
      </c>
      <c r="D231" s="39">
        <v>0</v>
      </c>
      <c r="E231" s="39">
        <v>0</v>
      </c>
      <c r="F231" s="37" t="s">
        <v>50</v>
      </c>
      <c r="G231" s="39">
        <v>0</v>
      </c>
      <c r="H231" s="39">
        <f t="shared" si="31"/>
        <v>0</v>
      </c>
      <c r="I231" s="39">
        <f t="shared" si="27"/>
        <v>4.9009950000000004E-2</v>
      </c>
      <c r="J231" s="39">
        <v>0</v>
      </c>
      <c r="K231" s="39">
        <v>4.9009950000000004E-2</v>
      </c>
      <c r="L231" s="39">
        <v>0</v>
      </c>
      <c r="M231" s="37">
        <v>0</v>
      </c>
      <c r="N231" s="39">
        <v>0</v>
      </c>
      <c r="O231" s="37">
        <v>0</v>
      </c>
      <c r="P231" s="39">
        <v>0</v>
      </c>
      <c r="Q231" s="37" t="s">
        <v>50</v>
      </c>
      <c r="R231" s="37" t="s">
        <v>50</v>
      </c>
      <c r="S231" s="39">
        <f t="shared" si="28"/>
        <v>-4.9009950000000004E-2</v>
      </c>
      <c r="T231" s="39">
        <f t="shared" si="29"/>
        <v>4.9009950000000004E-2</v>
      </c>
      <c r="U231" s="40">
        <v>100</v>
      </c>
      <c r="V231" s="83"/>
    </row>
    <row r="232" spans="1:22" ht="30" x14ac:dyDescent="0.25">
      <c r="A232" s="19" t="s">
        <v>28</v>
      </c>
      <c r="B232" s="14" t="s">
        <v>355</v>
      </c>
      <c r="C232" s="44" t="s">
        <v>356</v>
      </c>
      <c r="D232" s="39">
        <v>0</v>
      </c>
      <c r="E232" s="39">
        <v>0</v>
      </c>
      <c r="F232" s="37" t="s">
        <v>50</v>
      </c>
      <c r="G232" s="39">
        <v>0</v>
      </c>
      <c r="H232" s="39">
        <f t="shared" si="31"/>
        <v>0</v>
      </c>
      <c r="I232" s="39">
        <f t="shared" si="27"/>
        <v>4.1994010000000005E-2</v>
      </c>
      <c r="J232" s="39">
        <v>0</v>
      </c>
      <c r="K232" s="39">
        <v>4.1994010000000005E-2</v>
      </c>
      <c r="L232" s="39">
        <v>0</v>
      </c>
      <c r="M232" s="37">
        <v>0</v>
      </c>
      <c r="N232" s="39">
        <v>0</v>
      </c>
      <c r="O232" s="37">
        <v>0</v>
      </c>
      <c r="P232" s="39">
        <v>0</v>
      </c>
      <c r="Q232" s="37" t="s">
        <v>50</v>
      </c>
      <c r="R232" s="37" t="s">
        <v>50</v>
      </c>
      <c r="S232" s="39">
        <f t="shared" si="28"/>
        <v>-4.1994010000000005E-2</v>
      </c>
      <c r="T232" s="39">
        <f t="shared" si="29"/>
        <v>4.1994010000000005E-2</v>
      </c>
      <c r="U232" s="40">
        <v>100</v>
      </c>
      <c r="V232" s="83"/>
    </row>
    <row r="233" spans="1:22" ht="30" x14ac:dyDescent="0.25">
      <c r="A233" s="19" t="s">
        <v>28</v>
      </c>
      <c r="B233" s="14" t="s">
        <v>552</v>
      </c>
      <c r="C233" s="44" t="s">
        <v>553</v>
      </c>
      <c r="D233" s="39">
        <v>0</v>
      </c>
      <c r="E233" s="39">
        <v>0</v>
      </c>
      <c r="F233" s="37" t="s">
        <v>50</v>
      </c>
      <c r="G233" s="39">
        <v>0</v>
      </c>
      <c r="H233" s="39">
        <f t="shared" si="31"/>
        <v>0</v>
      </c>
      <c r="I233" s="39">
        <f t="shared" si="27"/>
        <v>9.8689100000000002E-2</v>
      </c>
      <c r="J233" s="39">
        <v>0</v>
      </c>
      <c r="K233" s="39">
        <f>98.6891/1000</f>
        <v>9.8689100000000002E-2</v>
      </c>
      <c r="L233" s="39">
        <v>0</v>
      </c>
      <c r="M233" s="37">
        <v>0</v>
      </c>
      <c r="N233" s="39">
        <v>0</v>
      </c>
      <c r="O233" s="37">
        <v>0</v>
      </c>
      <c r="P233" s="39">
        <v>0</v>
      </c>
      <c r="Q233" s="37" t="s">
        <v>50</v>
      </c>
      <c r="R233" s="37" t="s">
        <v>50</v>
      </c>
      <c r="S233" s="39">
        <f t="shared" si="28"/>
        <v>-9.8689100000000002E-2</v>
      </c>
      <c r="T233" s="39">
        <f t="shared" si="29"/>
        <v>9.8689100000000002E-2</v>
      </c>
      <c r="U233" s="40">
        <v>100</v>
      </c>
      <c r="V233" s="83"/>
    </row>
    <row r="234" spans="1:22" ht="30" customHeight="1" x14ac:dyDescent="0.25">
      <c r="A234" s="21" t="s">
        <v>28</v>
      </c>
      <c r="B234" s="22" t="s">
        <v>696</v>
      </c>
      <c r="C234" s="35" t="s">
        <v>697</v>
      </c>
      <c r="D234" s="39">
        <v>0</v>
      </c>
      <c r="E234" s="39">
        <v>0</v>
      </c>
      <c r="F234" s="37" t="s">
        <v>50</v>
      </c>
      <c r="G234" s="39">
        <v>0</v>
      </c>
      <c r="H234" s="39">
        <f t="shared" si="31"/>
        <v>0</v>
      </c>
      <c r="I234" s="39">
        <f t="shared" si="27"/>
        <v>4.0063550000000003E-2</v>
      </c>
      <c r="J234" s="39">
        <v>0</v>
      </c>
      <c r="K234" s="39">
        <v>0</v>
      </c>
      <c r="L234" s="39">
        <v>0</v>
      </c>
      <c r="M234" s="37">
        <v>0</v>
      </c>
      <c r="N234" s="39">
        <v>0</v>
      </c>
      <c r="O234" s="37">
        <v>4.0063550000000003E-2</v>
      </c>
      <c r="P234" s="39">
        <v>0</v>
      </c>
      <c r="Q234" s="37" t="s">
        <v>50</v>
      </c>
      <c r="R234" s="37" t="s">
        <v>50</v>
      </c>
      <c r="S234" s="39">
        <f t="shared" si="28"/>
        <v>-4.0063550000000003E-2</v>
      </c>
      <c r="T234" s="39">
        <f t="shared" si="29"/>
        <v>4.0063550000000003E-2</v>
      </c>
      <c r="U234" s="40">
        <v>100</v>
      </c>
      <c r="V234" s="83"/>
    </row>
    <row r="235" spans="1:22" ht="30" x14ac:dyDescent="0.25">
      <c r="A235" s="21" t="s">
        <v>28</v>
      </c>
      <c r="B235" s="22" t="s">
        <v>698</v>
      </c>
      <c r="C235" s="35" t="s">
        <v>699</v>
      </c>
      <c r="D235" s="39">
        <v>0</v>
      </c>
      <c r="E235" s="39">
        <v>0</v>
      </c>
      <c r="F235" s="37" t="s">
        <v>50</v>
      </c>
      <c r="G235" s="39">
        <v>0</v>
      </c>
      <c r="H235" s="39">
        <f t="shared" si="31"/>
        <v>0</v>
      </c>
      <c r="I235" s="39">
        <f t="shared" si="27"/>
        <v>1.8211430000000001E-2</v>
      </c>
      <c r="J235" s="39">
        <v>0</v>
      </c>
      <c r="K235" s="39">
        <v>0</v>
      </c>
      <c r="L235" s="39">
        <v>0</v>
      </c>
      <c r="M235" s="37">
        <v>0</v>
      </c>
      <c r="N235" s="39">
        <v>0</v>
      </c>
      <c r="O235" s="37">
        <v>1.8211430000000001E-2</v>
      </c>
      <c r="P235" s="39">
        <v>0</v>
      </c>
      <c r="Q235" s="37" t="s">
        <v>50</v>
      </c>
      <c r="R235" s="37" t="s">
        <v>50</v>
      </c>
      <c r="S235" s="39">
        <f t="shared" si="28"/>
        <v>-1.8211430000000001E-2</v>
      </c>
      <c r="T235" s="39">
        <f t="shared" si="29"/>
        <v>1.8211430000000001E-2</v>
      </c>
      <c r="U235" s="40">
        <v>100</v>
      </c>
      <c r="V235" s="83"/>
    </row>
    <row r="236" spans="1:22" ht="30" x14ac:dyDescent="0.25">
      <c r="A236" s="21" t="s">
        <v>28</v>
      </c>
      <c r="B236" s="22" t="s">
        <v>700</v>
      </c>
      <c r="C236" s="35" t="s">
        <v>701</v>
      </c>
      <c r="D236" s="39">
        <v>0</v>
      </c>
      <c r="E236" s="39">
        <v>0</v>
      </c>
      <c r="F236" s="37" t="s">
        <v>50</v>
      </c>
      <c r="G236" s="39">
        <v>0</v>
      </c>
      <c r="H236" s="39">
        <f t="shared" si="31"/>
        <v>0</v>
      </c>
      <c r="I236" s="39">
        <f t="shared" si="27"/>
        <v>1.9296279999999999E-2</v>
      </c>
      <c r="J236" s="39">
        <v>0</v>
      </c>
      <c r="K236" s="39">
        <v>0</v>
      </c>
      <c r="L236" s="39">
        <v>0</v>
      </c>
      <c r="M236" s="37">
        <v>0</v>
      </c>
      <c r="N236" s="39">
        <v>0</v>
      </c>
      <c r="O236" s="37">
        <v>1.9296279999999999E-2</v>
      </c>
      <c r="P236" s="39">
        <v>0</v>
      </c>
      <c r="Q236" s="37" t="s">
        <v>50</v>
      </c>
      <c r="R236" s="37" t="s">
        <v>50</v>
      </c>
      <c r="S236" s="39">
        <f t="shared" si="28"/>
        <v>-1.9296279999999999E-2</v>
      </c>
      <c r="T236" s="39">
        <f t="shared" si="29"/>
        <v>1.9296279999999999E-2</v>
      </c>
      <c r="U236" s="40">
        <v>100</v>
      </c>
      <c r="V236" s="83"/>
    </row>
    <row r="237" spans="1:22" ht="30" x14ac:dyDescent="0.25">
      <c r="A237" s="21" t="s">
        <v>28</v>
      </c>
      <c r="B237" s="22" t="s">
        <v>702</v>
      </c>
      <c r="C237" s="35" t="s">
        <v>703</v>
      </c>
      <c r="D237" s="39">
        <v>0</v>
      </c>
      <c r="E237" s="39">
        <v>0</v>
      </c>
      <c r="F237" s="37" t="s">
        <v>50</v>
      </c>
      <c r="G237" s="39">
        <v>0</v>
      </c>
      <c r="H237" s="39">
        <f t="shared" si="31"/>
        <v>0</v>
      </c>
      <c r="I237" s="39">
        <f t="shared" si="27"/>
        <v>2.5819420000000003E-2</v>
      </c>
      <c r="J237" s="39">
        <v>0</v>
      </c>
      <c r="K237" s="39">
        <v>0</v>
      </c>
      <c r="L237" s="39">
        <v>0</v>
      </c>
      <c r="M237" s="37">
        <v>0</v>
      </c>
      <c r="N237" s="39">
        <v>0</v>
      </c>
      <c r="O237" s="37">
        <v>2.5819420000000003E-2</v>
      </c>
      <c r="P237" s="39">
        <v>0</v>
      </c>
      <c r="Q237" s="37" t="s">
        <v>50</v>
      </c>
      <c r="R237" s="37" t="s">
        <v>50</v>
      </c>
      <c r="S237" s="39">
        <f t="shared" si="28"/>
        <v>-2.5819420000000003E-2</v>
      </c>
      <c r="T237" s="39">
        <f t="shared" si="29"/>
        <v>2.5819420000000003E-2</v>
      </c>
      <c r="U237" s="40">
        <v>100</v>
      </c>
      <c r="V237" s="84"/>
    </row>
    <row r="238" spans="1:22" ht="57" x14ac:dyDescent="0.25">
      <c r="A238" s="2" t="s">
        <v>29</v>
      </c>
      <c r="B238" s="5" t="s">
        <v>187</v>
      </c>
      <c r="C238" s="6" t="s">
        <v>52</v>
      </c>
      <c r="D238" s="41">
        <v>12.776977409214091</v>
      </c>
      <c r="E238" s="41">
        <f>E239</f>
        <v>6.1824143639999996</v>
      </c>
      <c r="F238" s="36" t="s">
        <v>50</v>
      </c>
      <c r="G238" s="41">
        <v>90.887803109999993</v>
      </c>
      <c r="H238" s="41">
        <f t="shared" si="31"/>
        <v>90.887803109999993</v>
      </c>
      <c r="I238" s="41">
        <f t="shared" si="27"/>
        <v>22.236707169999999</v>
      </c>
      <c r="J238" s="41">
        <f t="shared" ref="J238:P238" si="32">J239</f>
        <v>5.3372961800000001</v>
      </c>
      <c r="K238" s="41">
        <f t="shared" si="32"/>
        <v>6.1870336900000007</v>
      </c>
      <c r="L238" s="41">
        <f t="shared" si="32"/>
        <v>53.590854789999995</v>
      </c>
      <c r="M238" s="36">
        <f t="shared" si="32"/>
        <v>8.3423614999999973</v>
      </c>
      <c r="N238" s="41">
        <f t="shared" si="32"/>
        <v>11.93280923</v>
      </c>
      <c r="O238" s="36">
        <f t="shared" si="32"/>
        <v>7.707311980000001</v>
      </c>
      <c r="P238" s="41">
        <f t="shared" si="32"/>
        <v>20.026842909999999</v>
      </c>
      <c r="Q238" s="36" t="s">
        <v>50</v>
      </c>
      <c r="R238" s="36" t="s">
        <v>50</v>
      </c>
      <c r="S238" s="41">
        <f t="shared" si="28"/>
        <v>68.65109593999999</v>
      </c>
      <c r="T238" s="41">
        <f t="shared" si="29"/>
        <v>-48.624253029999991</v>
      </c>
      <c r="U238" s="29">
        <f t="shared" si="30"/>
        <v>-68.61924096535175</v>
      </c>
      <c r="V238" s="30" t="s">
        <v>50</v>
      </c>
    </row>
    <row r="239" spans="1:22" ht="42.75" x14ac:dyDescent="0.25">
      <c r="A239" s="2" t="s">
        <v>188</v>
      </c>
      <c r="B239" s="5" t="s">
        <v>189</v>
      </c>
      <c r="C239" s="6" t="s">
        <v>52</v>
      </c>
      <c r="D239" s="41">
        <v>12.776977409214091</v>
      </c>
      <c r="E239" s="41">
        <f>SUM(E240:E307)</f>
        <v>6.1824143639999996</v>
      </c>
      <c r="F239" s="36" t="s">
        <v>50</v>
      </c>
      <c r="G239" s="41">
        <v>90.887803109999993</v>
      </c>
      <c r="H239" s="41">
        <f t="shared" si="31"/>
        <v>90.887803109999993</v>
      </c>
      <c r="I239" s="41">
        <f t="shared" si="27"/>
        <v>22.236707169999999</v>
      </c>
      <c r="J239" s="41">
        <f>SUM(J240:J320)</f>
        <v>5.3372961800000001</v>
      </c>
      <c r="K239" s="41">
        <f>SUM(K240:K307)</f>
        <v>6.1870336900000007</v>
      </c>
      <c r="L239" s="41">
        <f>SUM(L240:L320)</f>
        <v>53.590854789999995</v>
      </c>
      <c r="M239" s="41">
        <f>SUM(M240:M317)</f>
        <v>8.3423614999999973</v>
      </c>
      <c r="N239" s="41">
        <f>SUM(N240:N320)</f>
        <v>11.93280923</v>
      </c>
      <c r="O239" s="36">
        <f>SUM(O240:O320)</f>
        <v>7.707311980000001</v>
      </c>
      <c r="P239" s="41">
        <f>SUM(P240:P320)</f>
        <v>20.026842909999999</v>
      </c>
      <c r="Q239" s="36" t="s">
        <v>50</v>
      </c>
      <c r="R239" s="36" t="s">
        <v>50</v>
      </c>
      <c r="S239" s="41">
        <f t="shared" si="28"/>
        <v>68.65109593999999</v>
      </c>
      <c r="T239" s="41">
        <f t="shared" si="29"/>
        <v>-48.624253029999991</v>
      </c>
      <c r="U239" s="29">
        <f t="shared" si="30"/>
        <v>-68.61924096535175</v>
      </c>
      <c r="V239" s="30" t="s">
        <v>50</v>
      </c>
    </row>
    <row r="240" spans="1:22" ht="30" x14ac:dyDescent="0.25">
      <c r="A240" s="10" t="s">
        <v>188</v>
      </c>
      <c r="B240" s="11" t="s">
        <v>505</v>
      </c>
      <c r="C240" s="43" t="s">
        <v>506</v>
      </c>
      <c r="D240" s="39">
        <v>0</v>
      </c>
      <c r="E240" s="39">
        <f>19749.72*1.2/1000000</f>
        <v>2.3699664000000002E-2</v>
      </c>
      <c r="F240" s="37" t="s">
        <v>50</v>
      </c>
      <c r="G240" s="39">
        <v>0</v>
      </c>
      <c r="H240" s="39">
        <f t="shared" si="31"/>
        <v>0</v>
      </c>
      <c r="I240" s="39">
        <f t="shared" si="27"/>
        <v>0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  <c r="O240" s="37">
        <v>0</v>
      </c>
      <c r="P240" s="39">
        <v>0</v>
      </c>
      <c r="Q240" s="37" t="s">
        <v>50</v>
      </c>
      <c r="R240" s="37" t="s">
        <v>50</v>
      </c>
      <c r="S240" s="39">
        <f t="shared" si="28"/>
        <v>0</v>
      </c>
      <c r="T240" s="39">
        <f t="shared" si="29"/>
        <v>0</v>
      </c>
      <c r="U240" s="40">
        <v>0</v>
      </c>
      <c r="V240" s="38" t="s">
        <v>50</v>
      </c>
    </row>
    <row r="241" spans="1:22" ht="30" x14ac:dyDescent="0.25">
      <c r="A241" s="10" t="s">
        <v>188</v>
      </c>
      <c r="B241" s="11" t="s">
        <v>507</v>
      </c>
      <c r="C241" s="43" t="s">
        <v>508</v>
      </c>
      <c r="D241" s="39">
        <v>0</v>
      </c>
      <c r="E241" s="39">
        <f>33654.68*1.2/1000000</f>
        <v>4.0385615999999999E-2</v>
      </c>
      <c r="F241" s="37" t="s">
        <v>50</v>
      </c>
      <c r="G241" s="39">
        <v>0</v>
      </c>
      <c r="H241" s="39">
        <f t="shared" si="31"/>
        <v>0</v>
      </c>
      <c r="I241" s="39">
        <f t="shared" si="27"/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7">
        <v>0</v>
      </c>
      <c r="P241" s="39">
        <v>0</v>
      </c>
      <c r="Q241" s="37" t="s">
        <v>50</v>
      </c>
      <c r="R241" s="37" t="s">
        <v>50</v>
      </c>
      <c r="S241" s="39">
        <f t="shared" si="28"/>
        <v>0</v>
      </c>
      <c r="T241" s="39">
        <f t="shared" si="29"/>
        <v>0</v>
      </c>
      <c r="U241" s="40">
        <v>0</v>
      </c>
      <c r="V241" s="38" t="s">
        <v>50</v>
      </c>
    </row>
    <row r="242" spans="1:22" ht="45" x14ac:dyDescent="0.25">
      <c r="A242" s="10" t="s">
        <v>188</v>
      </c>
      <c r="B242" s="11" t="s">
        <v>403</v>
      </c>
      <c r="C242" s="43" t="s">
        <v>509</v>
      </c>
      <c r="D242" s="39">
        <v>0</v>
      </c>
      <c r="E242" s="39">
        <f>13688.2*1.2/1000000</f>
        <v>1.6425840000000001E-2</v>
      </c>
      <c r="F242" s="37" t="s">
        <v>50</v>
      </c>
      <c r="G242" s="39">
        <v>0</v>
      </c>
      <c r="H242" s="39">
        <f t="shared" si="31"/>
        <v>0</v>
      </c>
      <c r="I242" s="39">
        <f t="shared" si="27"/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7">
        <v>0</v>
      </c>
      <c r="P242" s="39">
        <v>0</v>
      </c>
      <c r="Q242" s="37" t="s">
        <v>50</v>
      </c>
      <c r="R242" s="37" t="s">
        <v>50</v>
      </c>
      <c r="S242" s="39">
        <f t="shared" si="28"/>
        <v>0</v>
      </c>
      <c r="T242" s="39">
        <f t="shared" si="29"/>
        <v>0</v>
      </c>
      <c r="U242" s="40">
        <v>0</v>
      </c>
      <c r="V242" s="38" t="s">
        <v>50</v>
      </c>
    </row>
    <row r="243" spans="1:22" ht="45" x14ac:dyDescent="0.25">
      <c r="A243" s="10" t="s">
        <v>188</v>
      </c>
      <c r="B243" s="11" t="s">
        <v>510</v>
      </c>
      <c r="C243" s="43" t="s">
        <v>511</v>
      </c>
      <c r="D243" s="39">
        <v>0</v>
      </c>
      <c r="E243" s="39">
        <f>46606.37*1.2/1000000</f>
        <v>5.5927643999999999E-2</v>
      </c>
      <c r="F243" s="37" t="s">
        <v>50</v>
      </c>
      <c r="G243" s="39">
        <v>0</v>
      </c>
      <c r="H243" s="39">
        <f t="shared" si="31"/>
        <v>0</v>
      </c>
      <c r="I243" s="39">
        <f t="shared" si="27"/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7">
        <v>0</v>
      </c>
      <c r="P243" s="39">
        <v>0</v>
      </c>
      <c r="Q243" s="37" t="s">
        <v>50</v>
      </c>
      <c r="R243" s="37" t="s">
        <v>50</v>
      </c>
      <c r="S243" s="39">
        <f t="shared" si="28"/>
        <v>0</v>
      </c>
      <c r="T243" s="39">
        <f t="shared" si="29"/>
        <v>0</v>
      </c>
      <c r="U243" s="40">
        <v>0</v>
      </c>
      <c r="V243" s="38" t="s">
        <v>50</v>
      </c>
    </row>
    <row r="244" spans="1:22" ht="30" x14ac:dyDescent="0.25">
      <c r="A244" s="10" t="s">
        <v>188</v>
      </c>
      <c r="B244" s="25" t="s">
        <v>512</v>
      </c>
      <c r="C244" s="35" t="s">
        <v>513</v>
      </c>
      <c r="D244" s="39">
        <v>0</v>
      </c>
      <c r="E244" s="39">
        <f>14778.45*1.2/1000000</f>
        <v>1.7734139999999999E-2</v>
      </c>
      <c r="F244" s="37" t="s">
        <v>50</v>
      </c>
      <c r="G244" s="39">
        <v>0</v>
      </c>
      <c r="H244" s="39">
        <f t="shared" si="31"/>
        <v>0</v>
      </c>
      <c r="I244" s="39">
        <f t="shared" si="27"/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7">
        <v>0</v>
      </c>
      <c r="P244" s="39">
        <v>0</v>
      </c>
      <c r="Q244" s="37" t="s">
        <v>50</v>
      </c>
      <c r="R244" s="37" t="s">
        <v>50</v>
      </c>
      <c r="S244" s="39">
        <f t="shared" si="28"/>
        <v>0</v>
      </c>
      <c r="T244" s="39">
        <f t="shared" si="29"/>
        <v>0</v>
      </c>
      <c r="U244" s="40">
        <v>0</v>
      </c>
      <c r="V244" s="38" t="s">
        <v>50</v>
      </c>
    </row>
    <row r="245" spans="1:22" ht="30" x14ac:dyDescent="0.25">
      <c r="A245" s="10" t="s">
        <v>188</v>
      </c>
      <c r="B245" s="25" t="s">
        <v>514</v>
      </c>
      <c r="C245" s="35" t="s">
        <v>515</v>
      </c>
      <c r="D245" s="39">
        <v>0</v>
      </c>
      <c r="E245" s="39">
        <f>16276.32*1.2/1000000</f>
        <v>1.9531583999999998E-2</v>
      </c>
      <c r="F245" s="37" t="s">
        <v>50</v>
      </c>
      <c r="G245" s="39">
        <v>0</v>
      </c>
      <c r="H245" s="39">
        <f t="shared" si="31"/>
        <v>0</v>
      </c>
      <c r="I245" s="39">
        <f t="shared" si="27"/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7">
        <v>0</v>
      </c>
      <c r="P245" s="39">
        <v>0</v>
      </c>
      <c r="Q245" s="37" t="s">
        <v>50</v>
      </c>
      <c r="R245" s="37" t="s">
        <v>50</v>
      </c>
      <c r="S245" s="39">
        <f t="shared" si="28"/>
        <v>0</v>
      </c>
      <c r="T245" s="39">
        <f t="shared" si="29"/>
        <v>0</v>
      </c>
      <c r="U245" s="40">
        <v>0</v>
      </c>
      <c r="V245" s="38" t="s">
        <v>50</v>
      </c>
    </row>
    <row r="246" spans="1:22" x14ac:dyDescent="0.25">
      <c r="A246" s="10" t="s">
        <v>188</v>
      </c>
      <c r="B246" s="25" t="s">
        <v>516</v>
      </c>
      <c r="C246" s="35" t="s">
        <v>517</v>
      </c>
      <c r="D246" s="39">
        <v>0</v>
      </c>
      <c r="E246" s="39">
        <f>18116.35*1.2/1000000</f>
        <v>2.1739619999999998E-2</v>
      </c>
      <c r="F246" s="37" t="s">
        <v>50</v>
      </c>
      <c r="G246" s="39">
        <v>0</v>
      </c>
      <c r="H246" s="39">
        <f t="shared" si="31"/>
        <v>0</v>
      </c>
      <c r="I246" s="39">
        <f t="shared" si="27"/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7">
        <v>0</v>
      </c>
      <c r="P246" s="39">
        <v>0</v>
      </c>
      <c r="Q246" s="37" t="s">
        <v>50</v>
      </c>
      <c r="R246" s="37" t="s">
        <v>50</v>
      </c>
      <c r="S246" s="39">
        <f t="shared" si="28"/>
        <v>0</v>
      </c>
      <c r="T246" s="39">
        <f t="shared" si="29"/>
        <v>0</v>
      </c>
      <c r="U246" s="40">
        <v>0</v>
      </c>
      <c r="V246" s="38" t="s">
        <v>50</v>
      </c>
    </row>
    <row r="247" spans="1:22" x14ac:dyDescent="0.25">
      <c r="A247" s="10" t="s">
        <v>188</v>
      </c>
      <c r="B247" s="25" t="s">
        <v>518</v>
      </c>
      <c r="C247" s="43" t="s">
        <v>519</v>
      </c>
      <c r="D247" s="39">
        <v>0</v>
      </c>
      <c r="E247" s="39">
        <f>19037.35*1.2/1000000</f>
        <v>2.2844819999999995E-2</v>
      </c>
      <c r="F247" s="37" t="s">
        <v>50</v>
      </c>
      <c r="G247" s="39">
        <v>0</v>
      </c>
      <c r="H247" s="39">
        <f t="shared" si="31"/>
        <v>0</v>
      </c>
      <c r="I247" s="39">
        <f t="shared" si="27"/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7">
        <v>0</v>
      </c>
      <c r="P247" s="39">
        <v>0</v>
      </c>
      <c r="Q247" s="37" t="s">
        <v>50</v>
      </c>
      <c r="R247" s="37" t="s">
        <v>50</v>
      </c>
      <c r="S247" s="39">
        <f t="shared" si="28"/>
        <v>0</v>
      </c>
      <c r="T247" s="39">
        <f t="shared" si="29"/>
        <v>0</v>
      </c>
      <c r="U247" s="40">
        <v>0</v>
      </c>
      <c r="V247" s="38" t="s">
        <v>50</v>
      </c>
    </row>
    <row r="248" spans="1:22" x14ac:dyDescent="0.25">
      <c r="A248" s="10" t="s">
        <v>188</v>
      </c>
      <c r="B248" s="25" t="s">
        <v>520</v>
      </c>
      <c r="C248" s="43" t="s">
        <v>521</v>
      </c>
      <c r="D248" s="39">
        <v>0</v>
      </c>
      <c r="E248" s="39">
        <f>90852.24*1.2/1000000</f>
        <v>0.10902268800000001</v>
      </c>
      <c r="F248" s="37" t="s">
        <v>50</v>
      </c>
      <c r="G248" s="39">
        <v>0</v>
      </c>
      <c r="H248" s="39">
        <f t="shared" si="31"/>
        <v>0</v>
      </c>
      <c r="I248" s="39">
        <f t="shared" si="27"/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7">
        <v>0</v>
      </c>
      <c r="P248" s="39">
        <v>0</v>
      </c>
      <c r="Q248" s="37" t="s">
        <v>50</v>
      </c>
      <c r="R248" s="37" t="s">
        <v>50</v>
      </c>
      <c r="S248" s="39">
        <f t="shared" si="28"/>
        <v>0</v>
      </c>
      <c r="T248" s="39">
        <f t="shared" si="29"/>
        <v>0</v>
      </c>
      <c r="U248" s="40">
        <v>0</v>
      </c>
      <c r="V248" s="38" t="s">
        <v>50</v>
      </c>
    </row>
    <row r="249" spans="1:22" ht="45" x14ac:dyDescent="0.25">
      <c r="A249" s="19" t="s">
        <v>188</v>
      </c>
      <c r="B249" s="14" t="s">
        <v>392</v>
      </c>
      <c r="C249" s="44" t="s">
        <v>393</v>
      </c>
      <c r="D249" s="39">
        <v>0</v>
      </c>
      <c r="E249" s="39">
        <v>0</v>
      </c>
      <c r="F249" s="37" t="s">
        <v>50</v>
      </c>
      <c r="G249" s="39">
        <v>0</v>
      </c>
      <c r="H249" s="39">
        <f t="shared" si="31"/>
        <v>0</v>
      </c>
      <c r="I249" s="39">
        <f t="shared" si="27"/>
        <v>0.1476577</v>
      </c>
      <c r="J249" s="39">
        <v>0</v>
      </c>
      <c r="K249" s="39">
        <f>147.6577/1000</f>
        <v>0.1476577</v>
      </c>
      <c r="L249" s="39">
        <v>0</v>
      </c>
      <c r="M249" s="37">
        <v>0</v>
      </c>
      <c r="N249" s="39">
        <v>0</v>
      </c>
      <c r="O249" s="37">
        <v>0</v>
      </c>
      <c r="P249" s="39">
        <v>0</v>
      </c>
      <c r="Q249" s="37" t="s">
        <v>50</v>
      </c>
      <c r="R249" s="37" t="s">
        <v>50</v>
      </c>
      <c r="S249" s="39">
        <f t="shared" si="28"/>
        <v>-0.1476577</v>
      </c>
      <c r="T249" s="39">
        <f t="shared" si="29"/>
        <v>0.1476577</v>
      </c>
      <c r="U249" s="40">
        <v>100</v>
      </c>
      <c r="V249" s="32" t="s">
        <v>416</v>
      </c>
    </row>
    <row r="250" spans="1:22" ht="45" x14ac:dyDescent="0.25">
      <c r="A250" s="48" t="s">
        <v>188</v>
      </c>
      <c r="B250" s="14" t="s">
        <v>394</v>
      </c>
      <c r="C250" s="47" t="s">
        <v>395</v>
      </c>
      <c r="D250" s="39">
        <v>0</v>
      </c>
      <c r="E250" s="39">
        <v>0</v>
      </c>
      <c r="F250" s="37" t="s">
        <v>50</v>
      </c>
      <c r="G250" s="39">
        <v>0</v>
      </c>
      <c r="H250" s="39">
        <f t="shared" si="31"/>
        <v>0</v>
      </c>
      <c r="I250" s="39">
        <f t="shared" si="27"/>
        <v>0.39427714999999997</v>
      </c>
      <c r="J250" s="39">
        <v>0</v>
      </c>
      <c r="K250" s="39">
        <f>375.18735/1000</f>
        <v>0.37518734999999998</v>
      </c>
      <c r="L250" s="39">
        <v>0</v>
      </c>
      <c r="M250" s="37">
        <f>19.0898/1000</f>
        <v>1.9089800000000001E-2</v>
      </c>
      <c r="N250" s="39">
        <v>0</v>
      </c>
      <c r="O250" s="37">
        <v>0</v>
      </c>
      <c r="P250" s="39">
        <v>0</v>
      </c>
      <c r="Q250" s="37" t="s">
        <v>50</v>
      </c>
      <c r="R250" s="37" t="s">
        <v>50</v>
      </c>
      <c r="S250" s="39">
        <f t="shared" si="28"/>
        <v>-0.39427714999999997</v>
      </c>
      <c r="T250" s="39">
        <f t="shared" si="29"/>
        <v>0.39427714999999997</v>
      </c>
      <c r="U250" s="40">
        <v>100</v>
      </c>
      <c r="V250" s="32" t="s">
        <v>737</v>
      </c>
    </row>
    <row r="251" spans="1:22" ht="63" x14ac:dyDescent="0.25">
      <c r="A251" s="48" t="s">
        <v>188</v>
      </c>
      <c r="B251" s="45" t="s">
        <v>396</v>
      </c>
      <c r="C251" s="46" t="s">
        <v>397</v>
      </c>
      <c r="D251" s="39">
        <v>0</v>
      </c>
      <c r="E251" s="39">
        <v>0</v>
      </c>
      <c r="F251" s="37" t="s">
        <v>50</v>
      </c>
      <c r="G251" s="39">
        <v>0</v>
      </c>
      <c r="H251" s="39">
        <f t="shared" si="31"/>
        <v>0</v>
      </c>
      <c r="I251" s="39">
        <f t="shared" si="27"/>
        <v>2.2242229999999998E-2</v>
      </c>
      <c r="J251" s="39">
        <v>0</v>
      </c>
      <c r="K251" s="39">
        <f>22.24223/1000</f>
        <v>2.2242229999999998E-2</v>
      </c>
      <c r="L251" s="39">
        <v>0</v>
      </c>
      <c r="M251" s="37">
        <v>0</v>
      </c>
      <c r="N251" s="39">
        <v>0</v>
      </c>
      <c r="O251" s="37">
        <v>0</v>
      </c>
      <c r="P251" s="39">
        <v>0</v>
      </c>
      <c r="Q251" s="37" t="s">
        <v>50</v>
      </c>
      <c r="R251" s="37" t="s">
        <v>50</v>
      </c>
      <c r="S251" s="39">
        <f t="shared" si="28"/>
        <v>-2.2242229999999998E-2</v>
      </c>
      <c r="T251" s="39">
        <f t="shared" si="29"/>
        <v>2.2242229999999998E-2</v>
      </c>
      <c r="U251" s="40">
        <v>100</v>
      </c>
      <c r="V251" s="32" t="s">
        <v>416</v>
      </c>
    </row>
    <row r="252" spans="1:22" ht="45" x14ac:dyDescent="0.25">
      <c r="A252" s="21" t="s">
        <v>188</v>
      </c>
      <c r="B252" s="22" t="s">
        <v>190</v>
      </c>
      <c r="C252" s="35" t="s">
        <v>191</v>
      </c>
      <c r="D252" s="39">
        <v>9.1352279674796727E-2</v>
      </c>
      <c r="E252" s="39">
        <f>17761*1.2/1000000</f>
        <v>2.1313200000000001E-2</v>
      </c>
      <c r="F252" s="37" t="s">
        <v>50</v>
      </c>
      <c r="G252" s="39">
        <v>0.56181652000000004</v>
      </c>
      <c r="H252" s="39">
        <f t="shared" si="31"/>
        <v>0.56181652000000004</v>
      </c>
      <c r="I252" s="39">
        <f t="shared" si="27"/>
        <v>0.20395542</v>
      </c>
      <c r="J252" s="39">
        <v>9.4478179999999995E-2</v>
      </c>
      <c r="K252" s="39">
        <v>0</v>
      </c>
      <c r="L252" s="39">
        <v>0.46733834000000002</v>
      </c>
      <c r="M252" s="37">
        <f>153.44245/1000</f>
        <v>0.15344245000000001</v>
      </c>
      <c r="N252" s="39">
        <v>0</v>
      </c>
      <c r="O252" s="37">
        <v>5.0512970000000004E-2</v>
      </c>
      <c r="P252" s="39">
        <v>0</v>
      </c>
      <c r="Q252" s="37" t="s">
        <v>50</v>
      </c>
      <c r="R252" s="37" t="s">
        <v>50</v>
      </c>
      <c r="S252" s="39">
        <f t="shared" si="28"/>
        <v>0.35786110000000004</v>
      </c>
      <c r="T252" s="39">
        <f t="shared" si="29"/>
        <v>-0.35786110000000004</v>
      </c>
      <c r="U252" s="40">
        <f t="shared" si="30"/>
        <v>-63.697147958554154</v>
      </c>
      <c r="V252" s="55" t="s">
        <v>761</v>
      </c>
    </row>
    <row r="253" spans="1:22" ht="45" x14ac:dyDescent="0.25">
      <c r="A253" s="13" t="s">
        <v>188</v>
      </c>
      <c r="B253" s="14" t="s">
        <v>192</v>
      </c>
      <c r="C253" s="15" t="s">
        <v>193</v>
      </c>
      <c r="D253" s="39">
        <v>0.56213309430894298</v>
      </c>
      <c r="E253" s="39">
        <f>29215*1.2/1000000</f>
        <v>3.5057999999999999E-2</v>
      </c>
      <c r="F253" s="37" t="s">
        <v>50</v>
      </c>
      <c r="G253" s="39">
        <v>3.4571185299999998</v>
      </c>
      <c r="H253" s="39">
        <f t="shared" si="31"/>
        <v>3.4571185299999998</v>
      </c>
      <c r="I253" s="39">
        <f t="shared" si="27"/>
        <v>0.15552955000000002</v>
      </c>
      <c r="J253" s="39">
        <v>0.23491747000000004</v>
      </c>
      <c r="K253" s="39">
        <v>0</v>
      </c>
      <c r="L253" s="39">
        <v>0</v>
      </c>
      <c r="M253" s="37">
        <v>0</v>
      </c>
      <c r="N253" s="39">
        <v>0</v>
      </c>
      <c r="O253" s="37">
        <v>0.15552955000000002</v>
      </c>
      <c r="P253" s="39">
        <v>3.2222010599999997</v>
      </c>
      <c r="Q253" s="37" t="s">
        <v>50</v>
      </c>
      <c r="R253" s="37" t="s">
        <v>50</v>
      </c>
      <c r="S253" s="39">
        <f t="shared" si="28"/>
        <v>3.30158898</v>
      </c>
      <c r="T253" s="39">
        <f t="shared" si="29"/>
        <v>-7.9387920000000028E-2</v>
      </c>
      <c r="U253" s="40">
        <f t="shared" si="30"/>
        <v>-33.793961768786289</v>
      </c>
      <c r="V253" s="55" t="s">
        <v>419</v>
      </c>
    </row>
    <row r="254" spans="1:22" ht="45" x14ac:dyDescent="0.25">
      <c r="A254" s="13" t="s">
        <v>188</v>
      </c>
      <c r="B254" s="14" t="s">
        <v>194</v>
      </c>
      <c r="C254" s="15" t="s">
        <v>195</v>
      </c>
      <c r="D254" s="39">
        <v>0.52758720000000003</v>
      </c>
      <c r="E254" s="39">
        <f>29640*1.2/1000000</f>
        <v>3.5568000000000002E-2</v>
      </c>
      <c r="F254" s="37" t="s">
        <v>50</v>
      </c>
      <c r="G254" s="39">
        <v>3.2446612800000003</v>
      </c>
      <c r="H254" s="39">
        <f t="shared" si="31"/>
        <v>3.2446612800000003</v>
      </c>
      <c r="I254" s="39">
        <f t="shared" si="27"/>
        <v>1.84202552</v>
      </c>
      <c r="J254" s="39">
        <v>0.24077880999999995</v>
      </c>
      <c r="K254" s="39">
        <v>0</v>
      </c>
      <c r="L254" s="39">
        <v>0</v>
      </c>
      <c r="M254" s="37">
        <f>1574.69157/1000</f>
        <v>1.5746915699999999</v>
      </c>
      <c r="N254" s="39">
        <v>0</v>
      </c>
      <c r="O254" s="37">
        <v>0.26733394999999999</v>
      </c>
      <c r="P254" s="39">
        <v>3.0038824700000002</v>
      </c>
      <c r="Q254" s="37" t="s">
        <v>50</v>
      </c>
      <c r="R254" s="37" t="s">
        <v>50</v>
      </c>
      <c r="S254" s="39">
        <f t="shared" si="28"/>
        <v>1.4026357600000003</v>
      </c>
      <c r="T254" s="39">
        <f t="shared" si="29"/>
        <v>1.6012467100000001</v>
      </c>
      <c r="U254" s="40">
        <f t="shared" si="30"/>
        <v>665.02808532029883</v>
      </c>
      <c r="V254" s="55" t="s">
        <v>419</v>
      </c>
    </row>
    <row r="255" spans="1:22" ht="45" x14ac:dyDescent="0.25">
      <c r="A255" s="13" t="s">
        <v>188</v>
      </c>
      <c r="B255" s="14" t="s">
        <v>196</v>
      </c>
      <c r="C255" s="15" t="s">
        <v>197</v>
      </c>
      <c r="D255" s="39">
        <v>0.4543862504065041</v>
      </c>
      <c r="E255" s="39">
        <f>19878*1.2/1000000</f>
        <v>2.3853599999999999E-2</v>
      </c>
      <c r="F255" s="37" t="s">
        <v>50</v>
      </c>
      <c r="G255" s="39">
        <v>2.7944754399999998</v>
      </c>
      <c r="H255" s="39">
        <f t="shared" si="31"/>
        <v>2.7944754399999998</v>
      </c>
      <c r="I255" s="39">
        <f t="shared" si="27"/>
        <v>0.56066300999999996</v>
      </c>
      <c r="J255" s="39">
        <v>0.16992020999999999</v>
      </c>
      <c r="K255" s="39">
        <v>0</v>
      </c>
      <c r="L255" s="39">
        <v>0</v>
      </c>
      <c r="M255" s="37">
        <v>0</v>
      </c>
      <c r="N255" s="39">
        <v>2.6245552299999999</v>
      </c>
      <c r="O255" s="37">
        <v>0.56066300999999996</v>
      </c>
      <c r="P255" s="39">
        <v>0</v>
      </c>
      <c r="Q255" s="37" t="s">
        <v>50</v>
      </c>
      <c r="R255" s="37" t="s">
        <v>50</v>
      </c>
      <c r="S255" s="39">
        <f t="shared" si="28"/>
        <v>2.23381243</v>
      </c>
      <c r="T255" s="39">
        <f t="shared" si="29"/>
        <v>-2.23381243</v>
      </c>
      <c r="U255" s="40">
        <f t="shared" si="30"/>
        <v>-79.936735103315129</v>
      </c>
      <c r="V255" s="55" t="s">
        <v>775</v>
      </c>
    </row>
    <row r="256" spans="1:22" ht="45" x14ac:dyDescent="0.25">
      <c r="A256" s="13" t="s">
        <v>188</v>
      </c>
      <c r="B256" s="14" t="s">
        <v>198</v>
      </c>
      <c r="C256" s="15" t="s">
        <v>199</v>
      </c>
      <c r="D256" s="39">
        <v>0.66531512032520312</v>
      </c>
      <c r="E256" s="39">
        <f>25723*1.2/1000000</f>
        <v>3.0867599999999999E-2</v>
      </c>
      <c r="F256" s="37" t="s">
        <v>50</v>
      </c>
      <c r="G256" s="39">
        <v>4.0916879899999996</v>
      </c>
      <c r="H256" s="39">
        <f t="shared" si="31"/>
        <v>4.0916879899999996</v>
      </c>
      <c r="I256" s="39">
        <f t="shared" si="27"/>
        <v>1.4014343300000001</v>
      </c>
      <c r="J256" s="39">
        <v>0.22932653999999997</v>
      </c>
      <c r="K256" s="39">
        <v>0</v>
      </c>
      <c r="L256" s="39">
        <v>3.8623614499999999</v>
      </c>
      <c r="M256" s="37">
        <v>0</v>
      </c>
      <c r="N256" s="39">
        <v>0</v>
      </c>
      <c r="O256" s="37">
        <v>1.4014343300000001</v>
      </c>
      <c r="P256" s="39">
        <v>0</v>
      </c>
      <c r="Q256" s="37" t="s">
        <v>50</v>
      </c>
      <c r="R256" s="37" t="s">
        <v>50</v>
      </c>
      <c r="S256" s="39">
        <f t="shared" si="28"/>
        <v>2.6902536599999998</v>
      </c>
      <c r="T256" s="39">
        <f t="shared" si="29"/>
        <v>-2.6902536599999998</v>
      </c>
      <c r="U256" s="40">
        <f t="shared" si="30"/>
        <v>-65.74923763920718</v>
      </c>
      <c r="V256" s="55" t="s">
        <v>775</v>
      </c>
    </row>
    <row r="257" spans="1:22" ht="45" x14ac:dyDescent="0.25">
      <c r="A257" s="13" t="s">
        <v>188</v>
      </c>
      <c r="B257" s="14" t="s">
        <v>200</v>
      </c>
      <c r="C257" s="15" t="s">
        <v>201</v>
      </c>
      <c r="D257" s="39">
        <v>0.5649012422764228</v>
      </c>
      <c r="E257" s="39">
        <f>27559*1.2/1000000</f>
        <v>3.3070799999999997E-2</v>
      </c>
      <c r="F257" s="37" t="s">
        <v>50</v>
      </c>
      <c r="G257" s="39">
        <v>3.4741426399999997</v>
      </c>
      <c r="H257" s="39">
        <f t="shared" si="31"/>
        <v>3.4741426399999997</v>
      </c>
      <c r="I257" s="39">
        <f t="shared" si="27"/>
        <v>2.1699395199999998</v>
      </c>
      <c r="J257" s="39">
        <v>0.21383925999999998</v>
      </c>
      <c r="K257" s="39">
        <v>0</v>
      </c>
      <c r="L257" s="39">
        <v>0</v>
      </c>
      <c r="M257" s="37">
        <f>824.29149/1000</f>
        <v>0.8242914899999999</v>
      </c>
      <c r="N257" s="39">
        <v>0</v>
      </c>
      <c r="O257" s="37">
        <v>1.34564803</v>
      </c>
      <c r="P257" s="39">
        <v>3.2603033799999999</v>
      </c>
      <c r="Q257" s="37" t="s">
        <v>50</v>
      </c>
      <c r="R257" s="37" t="s">
        <v>50</v>
      </c>
      <c r="S257" s="39">
        <f t="shared" si="28"/>
        <v>1.3042031199999999</v>
      </c>
      <c r="T257" s="39">
        <f t="shared" si="29"/>
        <v>1.9561002599999999</v>
      </c>
      <c r="U257" s="40">
        <f t="shared" si="30"/>
        <v>914.75263242119343</v>
      </c>
      <c r="V257" s="55" t="s">
        <v>419</v>
      </c>
    </row>
    <row r="258" spans="1:22" ht="45" x14ac:dyDescent="0.25">
      <c r="A258" s="21" t="s">
        <v>188</v>
      </c>
      <c r="B258" s="22" t="s">
        <v>202</v>
      </c>
      <c r="C258" s="35" t="s">
        <v>203</v>
      </c>
      <c r="D258" s="39">
        <v>1.2148148148148149E-2</v>
      </c>
      <c r="E258" s="39">
        <f>19029.46*1.2/1000000</f>
        <v>2.2835352E-2</v>
      </c>
      <c r="F258" s="37" t="s">
        <v>50</v>
      </c>
      <c r="G258" s="39">
        <v>8.2000000000000003E-2</v>
      </c>
      <c r="H258" s="39">
        <f t="shared" si="31"/>
        <v>8.2000000000000003E-2</v>
      </c>
      <c r="I258" s="68">
        <f t="shared" si="27"/>
        <v>0.2888521</v>
      </c>
      <c r="J258" s="39">
        <v>1.4999999999999999E-2</v>
      </c>
      <c r="K258" s="39">
        <v>0</v>
      </c>
      <c r="L258" s="39">
        <v>6.7000000000000004E-2</v>
      </c>
      <c r="M258" s="68">
        <f>259.93167/1000</f>
        <v>0.25993167</v>
      </c>
      <c r="N258" s="39">
        <v>0</v>
      </c>
      <c r="O258" s="68">
        <v>2.8920429999999997E-2</v>
      </c>
      <c r="P258" s="39">
        <v>0</v>
      </c>
      <c r="Q258" s="37" t="s">
        <v>50</v>
      </c>
      <c r="R258" s="37" t="s">
        <v>50</v>
      </c>
      <c r="S258" s="68">
        <v>-6.7109959999999969E-2</v>
      </c>
      <c r="T258" s="68">
        <f>(M258+O258)-(J258+J259+J260+L258+L259+L260)</f>
        <v>-6.7109959999999969E-2</v>
      </c>
      <c r="U258" s="71">
        <v>-18.853121999999999</v>
      </c>
      <c r="V258" s="74" t="s">
        <v>762</v>
      </c>
    </row>
    <row r="259" spans="1:22" ht="45" x14ac:dyDescent="0.25">
      <c r="A259" s="21" t="s">
        <v>188</v>
      </c>
      <c r="B259" s="22" t="s">
        <v>204</v>
      </c>
      <c r="C259" s="35" t="s">
        <v>205</v>
      </c>
      <c r="D259" s="39">
        <v>1.4074074074074074E-2</v>
      </c>
      <c r="E259" s="39">
        <v>0</v>
      </c>
      <c r="F259" s="37" t="s">
        <v>50</v>
      </c>
      <c r="G259" s="39">
        <v>9.5000000000000001E-2</v>
      </c>
      <c r="H259" s="39">
        <f t="shared" si="31"/>
        <v>9.5000000000000001E-2</v>
      </c>
      <c r="I259" s="69"/>
      <c r="J259" s="39">
        <v>0.02</v>
      </c>
      <c r="K259" s="39">
        <v>0</v>
      </c>
      <c r="L259" s="39">
        <v>7.4999999999999997E-2</v>
      </c>
      <c r="M259" s="69"/>
      <c r="N259" s="39">
        <v>0</v>
      </c>
      <c r="O259" s="69"/>
      <c r="P259" s="39">
        <v>0</v>
      </c>
      <c r="Q259" s="37" t="s">
        <v>50</v>
      </c>
      <c r="R259" s="37" t="s">
        <v>50</v>
      </c>
      <c r="S259" s="69"/>
      <c r="T259" s="69"/>
      <c r="U259" s="72">
        <f t="shared" ref="U259:U260" si="33">(K259+M259)/(J259+L259)*100-100</f>
        <v>-100</v>
      </c>
      <c r="V259" s="75"/>
    </row>
    <row r="260" spans="1:22" ht="45" x14ac:dyDescent="0.25">
      <c r="A260" s="21" t="s">
        <v>188</v>
      </c>
      <c r="B260" s="22" t="s">
        <v>206</v>
      </c>
      <c r="C260" s="35" t="s">
        <v>207</v>
      </c>
      <c r="D260" s="39">
        <v>2.651289777777778E-2</v>
      </c>
      <c r="E260" s="39">
        <v>0</v>
      </c>
      <c r="F260" s="37" t="s">
        <v>50</v>
      </c>
      <c r="G260" s="39">
        <v>0.17896205999999998</v>
      </c>
      <c r="H260" s="39">
        <f t="shared" si="31"/>
        <v>0.17896205999999998</v>
      </c>
      <c r="I260" s="70"/>
      <c r="J260" s="39">
        <v>2.1951059999999998E-2</v>
      </c>
      <c r="K260" s="39">
        <v>0</v>
      </c>
      <c r="L260" s="39">
        <v>0.15701099999999998</v>
      </c>
      <c r="M260" s="70"/>
      <c r="N260" s="39">
        <v>0</v>
      </c>
      <c r="O260" s="70"/>
      <c r="P260" s="39">
        <v>0</v>
      </c>
      <c r="Q260" s="37" t="s">
        <v>50</v>
      </c>
      <c r="R260" s="37" t="s">
        <v>50</v>
      </c>
      <c r="S260" s="70"/>
      <c r="T260" s="70"/>
      <c r="U260" s="73">
        <f t="shared" si="33"/>
        <v>-100</v>
      </c>
      <c r="V260" s="76"/>
    </row>
    <row r="261" spans="1:22" ht="60" x14ac:dyDescent="0.25">
      <c r="A261" s="21" t="s">
        <v>188</v>
      </c>
      <c r="B261" s="22" t="s">
        <v>208</v>
      </c>
      <c r="C261" s="35" t="s">
        <v>209</v>
      </c>
      <c r="D261" s="39">
        <v>5.8865629629629622E-2</v>
      </c>
      <c r="E261" s="39">
        <v>0</v>
      </c>
      <c r="F261" s="37" t="s">
        <v>50</v>
      </c>
      <c r="G261" s="39">
        <v>0.397343</v>
      </c>
      <c r="H261" s="39">
        <f t="shared" si="31"/>
        <v>0.397343</v>
      </c>
      <c r="I261" s="39">
        <f t="shared" si="27"/>
        <v>0.24833919000000002</v>
      </c>
      <c r="J261" s="39">
        <v>6.2037999999999989E-2</v>
      </c>
      <c r="K261" s="39">
        <v>0</v>
      </c>
      <c r="L261" s="39">
        <v>0.33530500000000002</v>
      </c>
      <c r="M261" s="37">
        <f>268.27792/1000</f>
        <v>0.26827792</v>
      </c>
      <c r="N261" s="39">
        <v>0</v>
      </c>
      <c r="O261" s="37">
        <v>-1.9938729999999998E-2</v>
      </c>
      <c r="P261" s="39">
        <v>0</v>
      </c>
      <c r="Q261" s="37" t="s">
        <v>50</v>
      </c>
      <c r="R261" s="37" t="s">
        <v>50</v>
      </c>
      <c r="S261" s="39">
        <f t="shared" si="28"/>
        <v>0.14900380999999999</v>
      </c>
      <c r="T261" s="39">
        <f t="shared" si="29"/>
        <v>-0.14900380999999999</v>
      </c>
      <c r="U261" s="40">
        <f t="shared" ref="U261:U302" si="34">(K261+M261+O261)/(J261+L261+N261)*100-100</f>
        <v>-37.500046559269947</v>
      </c>
      <c r="V261" s="33" t="s">
        <v>762</v>
      </c>
    </row>
    <row r="262" spans="1:22" ht="60" x14ac:dyDescent="0.25">
      <c r="A262" s="21" t="s">
        <v>188</v>
      </c>
      <c r="B262" s="22" t="s">
        <v>210</v>
      </c>
      <c r="C262" s="35" t="s">
        <v>211</v>
      </c>
      <c r="D262" s="39">
        <v>3.7814814814814815E-2</v>
      </c>
      <c r="E262" s="39">
        <v>0</v>
      </c>
      <c r="F262" s="37" t="s">
        <v>50</v>
      </c>
      <c r="G262" s="39">
        <v>0.25524999999999998</v>
      </c>
      <c r="H262" s="39">
        <f t="shared" si="31"/>
        <v>0.25524999999999998</v>
      </c>
      <c r="I262" s="39">
        <f t="shared" si="27"/>
        <v>0.22962513000000001</v>
      </c>
      <c r="J262" s="39">
        <v>3.5000000000000003E-2</v>
      </c>
      <c r="K262" s="39">
        <v>0</v>
      </c>
      <c r="L262" s="39">
        <v>0.22025</v>
      </c>
      <c r="M262" s="37">
        <f>229.62513/1000</f>
        <v>0.22962513000000001</v>
      </c>
      <c r="N262" s="39">
        <v>0</v>
      </c>
      <c r="O262" s="37">
        <v>0</v>
      </c>
      <c r="P262" s="39">
        <v>0</v>
      </c>
      <c r="Q262" s="37" t="s">
        <v>50</v>
      </c>
      <c r="R262" s="37" t="s">
        <v>50</v>
      </c>
      <c r="S262" s="39">
        <f t="shared" si="28"/>
        <v>2.5624869999999966E-2</v>
      </c>
      <c r="T262" s="39">
        <f t="shared" si="29"/>
        <v>-2.5624869999999966E-2</v>
      </c>
      <c r="U262" s="40">
        <f t="shared" si="34"/>
        <v>-10.039126346718902</v>
      </c>
      <c r="V262" s="33" t="s">
        <v>762</v>
      </c>
    </row>
    <row r="263" spans="1:22" ht="60" x14ac:dyDescent="0.25">
      <c r="A263" s="21" t="s">
        <v>188</v>
      </c>
      <c r="B263" s="22" t="s">
        <v>212</v>
      </c>
      <c r="C263" s="35" t="s">
        <v>213</v>
      </c>
      <c r="D263" s="39">
        <v>3.0481777777777785E-2</v>
      </c>
      <c r="E263" s="39">
        <f>15230*1.2/1000000</f>
        <v>1.8276000000000001E-2</v>
      </c>
      <c r="F263" s="37" t="s">
        <v>50</v>
      </c>
      <c r="G263" s="39">
        <v>0.20575199999999999</v>
      </c>
      <c r="H263" s="39">
        <f t="shared" si="31"/>
        <v>0.20575199999999999</v>
      </c>
      <c r="I263" s="39">
        <f t="shared" si="27"/>
        <v>0.27251484999999998</v>
      </c>
      <c r="J263" s="39">
        <v>3.0500000000000003E-2</v>
      </c>
      <c r="K263" s="39">
        <v>0</v>
      </c>
      <c r="L263" s="39">
        <v>0.17525199999999999</v>
      </c>
      <c r="M263" s="37">
        <f>292.6382/1000</f>
        <v>0.29263819999999996</v>
      </c>
      <c r="N263" s="39">
        <v>0</v>
      </c>
      <c r="O263" s="37">
        <v>-2.0123349999999998E-2</v>
      </c>
      <c r="P263" s="39">
        <v>0</v>
      </c>
      <c r="Q263" s="37" t="s">
        <v>50</v>
      </c>
      <c r="R263" s="37" t="s">
        <v>50</v>
      </c>
      <c r="S263" s="39">
        <f t="shared" si="28"/>
        <v>-6.6762849999999985E-2</v>
      </c>
      <c r="T263" s="39">
        <f t="shared" si="29"/>
        <v>6.6762849999999985E-2</v>
      </c>
      <c r="U263" s="40">
        <f t="shared" si="34"/>
        <v>32.448214355146007</v>
      </c>
      <c r="V263" s="33" t="s">
        <v>763</v>
      </c>
    </row>
    <row r="264" spans="1:22" ht="45" x14ac:dyDescent="0.25">
      <c r="A264" s="21" t="s">
        <v>188</v>
      </c>
      <c r="B264" s="22" t="s">
        <v>214</v>
      </c>
      <c r="C264" s="35" t="s">
        <v>215</v>
      </c>
      <c r="D264" s="39">
        <v>3.1053797037037038E-2</v>
      </c>
      <c r="E264" s="39">
        <f>22781.46*1.2/1000000</f>
        <v>2.7337751999999996E-2</v>
      </c>
      <c r="F264" s="37" t="s">
        <v>50</v>
      </c>
      <c r="G264" s="39">
        <v>0.20961313000000001</v>
      </c>
      <c r="H264" s="39">
        <f t="shared" si="31"/>
        <v>0.20961313000000001</v>
      </c>
      <c r="I264" s="39">
        <f t="shared" si="27"/>
        <v>0.14644272</v>
      </c>
      <c r="J264" s="39">
        <v>3.628613E-2</v>
      </c>
      <c r="K264" s="39">
        <v>0</v>
      </c>
      <c r="L264" s="39">
        <v>0.17332700000000001</v>
      </c>
      <c r="M264" s="37">
        <f>146.44272/1000</f>
        <v>0.14644272</v>
      </c>
      <c r="N264" s="39">
        <v>0</v>
      </c>
      <c r="O264" s="37">
        <v>0</v>
      </c>
      <c r="P264" s="39">
        <v>0</v>
      </c>
      <c r="Q264" s="37" t="s">
        <v>50</v>
      </c>
      <c r="R264" s="37" t="s">
        <v>50</v>
      </c>
      <c r="S264" s="39">
        <f t="shared" si="28"/>
        <v>6.317041000000001E-2</v>
      </c>
      <c r="T264" s="39">
        <f t="shared" si="29"/>
        <v>-6.317041000000001E-2</v>
      </c>
      <c r="U264" s="40">
        <f t="shared" si="34"/>
        <v>-30.136666534200415</v>
      </c>
      <c r="V264" s="33" t="s">
        <v>762</v>
      </c>
    </row>
    <row r="265" spans="1:22" ht="45" x14ac:dyDescent="0.25">
      <c r="A265" s="48" t="s">
        <v>188</v>
      </c>
      <c r="B265" s="14" t="s">
        <v>398</v>
      </c>
      <c r="C265" s="47" t="s">
        <v>399</v>
      </c>
      <c r="D265" s="39">
        <v>0</v>
      </c>
      <c r="E265" s="39">
        <f>737884.93*1.2/1000000</f>
        <v>0.88546191600000013</v>
      </c>
      <c r="F265" s="37" t="s">
        <v>50</v>
      </c>
      <c r="G265" s="39">
        <v>0</v>
      </c>
      <c r="H265" s="39">
        <f t="shared" si="31"/>
        <v>0</v>
      </c>
      <c r="I265" s="39">
        <f t="shared" si="27"/>
        <v>0.73788493000000011</v>
      </c>
      <c r="J265" s="39">
        <v>0</v>
      </c>
      <c r="K265" s="39">
        <f>737.88493/1000</f>
        <v>0.73788493000000011</v>
      </c>
      <c r="L265" s="39">
        <v>0</v>
      </c>
      <c r="M265" s="37">
        <v>0</v>
      </c>
      <c r="N265" s="39">
        <v>0</v>
      </c>
      <c r="O265" s="37">
        <v>0</v>
      </c>
      <c r="P265" s="39">
        <v>0</v>
      </c>
      <c r="Q265" s="37" t="s">
        <v>50</v>
      </c>
      <c r="R265" s="37" t="s">
        <v>50</v>
      </c>
      <c r="S265" s="39">
        <f t="shared" si="28"/>
        <v>-0.73788493000000011</v>
      </c>
      <c r="T265" s="39">
        <f t="shared" si="29"/>
        <v>0.73788493000000011</v>
      </c>
      <c r="U265" s="40">
        <v>100</v>
      </c>
      <c r="V265" s="32" t="s">
        <v>416</v>
      </c>
    </row>
    <row r="266" spans="1:22" ht="45" x14ac:dyDescent="0.25">
      <c r="A266" s="19" t="s">
        <v>188</v>
      </c>
      <c r="B266" s="14" t="s">
        <v>400</v>
      </c>
      <c r="C266" s="44" t="s">
        <v>216</v>
      </c>
      <c r="D266" s="39">
        <v>0</v>
      </c>
      <c r="E266" s="39">
        <v>0</v>
      </c>
      <c r="F266" s="37" t="s">
        <v>50</v>
      </c>
      <c r="G266" s="39">
        <v>0</v>
      </c>
      <c r="H266" s="39">
        <f t="shared" si="31"/>
        <v>0</v>
      </c>
      <c r="I266" s="39">
        <f t="shared" si="27"/>
        <v>9.9558510000000003E-2</v>
      </c>
      <c r="J266" s="39">
        <v>0</v>
      </c>
      <c r="K266" s="39">
        <f>99.55851/1000</f>
        <v>9.9558510000000003E-2</v>
      </c>
      <c r="L266" s="39">
        <v>0</v>
      </c>
      <c r="M266" s="37">
        <v>0</v>
      </c>
      <c r="N266" s="39">
        <v>0</v>
      </c>
      <c r="O266" s="37">
        <v>0</v>
      </c>
      <c r="P266" s="39">
        <v>0</v>
      </c>
      <c r="Q266" s="37" t="s">
        <v>50</v>
      </c>
      <c r="R266" s="37" t="s">
        <v>50</v>
      </c>
      <c r="S266" s="39">
        <f t="shared" si="28"/>
        <v>-9.9558510000000003E-2</v>
      </c>
      <c r="T266" s="39">
        <f t="shared" si="29"/>
        <v>9.9558510000000003E-2</v>
      </c>
      <c r="U266" s="40">
        <v>100</v>
      </c>
      <c r="V266" s="38" t="s">
        <v>738</v>
      </c>
    </row>
    <row r="267" spans="1:22" ht="30" x14ac:dyDescent="0.25">
      <c r="A267" s="19" t="s">
        <v>188</v>
      </c>
      <c r="B267" s="14" t="s">
        <v>580</v>
      </c>
      <c r="C267" s="44" t="s">
        <v>581</v>
      </c>
      <c r="D267" s="39">
        <v>0</v>
      </c>
      <c r="E267" s="39">
        <v>0</v>
      </c>
      <c r="F267" s="37" t="s">
        <v>50</v>
      </c>
      <c r="G267" s="39">
        <v>0</v>
      </c>
      <c r="H267" s="39">
        <f t="shared" si="31"/>
        <v>0</v>
      </c>
      <c r="I267" s="39">
        <f t="shared" ref="I267:I320" si="35">K267+M267+O267</f>
        <v>3.7507609999999997E-2</v>
      </c>
      <c r="J267" s="39">
        <v>0</v>
      </c>
      <c r="K267" s="39">
        <v>0</v>
      </c>
      <c r="L267" s="39">
        <v>0</v>
      </c>
      <c r="M267" s="37">
        <f>37.50761/1000</f>
        <v>3.7507609999999997E-2</v>
      </c>
      <c r="N267" s="39">
        <v>0</v>
      </c>
      <c r="O267" s="37">
        <v>0</v>
      </c>
      <c r="P267" s="39">
        <v>0</v>
      </c>
      <c r="Q267" s="37" t="s">
        <v>50</v>
      </c>
      <c r="R267" s="37" t="s">
        <v>50</v>
      </c>
      <c r="S267" s="39">
        <f t="shared" ref="S267:S320" si="36">G267-I267</f>
        <v>-3.7507609999999997E-2</v>
      </c>
      <c r="T267" s="39">
        <f t="shared" ref="T267:T298" si="37">(K267+M267+O267)-(J267+L267+N267)</f>
        <v>3.7507609999999997E-2</v>
      </c>
      <c r="U267" s="40">
        <v>100</v>
      </c>
      <c r="V267" s="32" t="s">
        <v>738</v>
      </c>
    </row>
    <row r="268" spans="1:22" ht="45" x14ac:dyDescent="0.25">
      <c r="A268" s="19" t="s">
        <v>188</v>
      </c>
      <c r="B268" s="14" t="s">
        <v>582</v>
      </c>
      <c r="C268" s="44" t="s">
        <v>583</v>
      </c>
      <c r="D268" s="39">
        <v>0</v>
      </c>
      <c r="E268" s="39">
        <v>0</v>
      </c>
      <c r="F268" s="37" t="s">
        <v>50</v>
      </c>
      <c r="G268" s="39">
        <v>0</v>
      </c>
      <c r="H268" s="39">
        <f t="shared" si="31"/>
        <v>0</v>
      </c>
      <c r="I268" s="39">
        <f t="shared" si="35"/>
        <v>4.5924449999999999E-2</v>
      </c>
      <c r="J268" s="39">
        <v>0</v>
      </c>
      <c r="K268" s="39">
        <v>0</v>
      </c>
      <c r="L268" s="39">
        <v>0</v>
      </c>
      <c r="M268" s="37">
        <f>45.92445/1000</f>
        <v>4.5924449999999999E-2</v>
      </c>
      <c r="N268" s="39">
        <v>0</v>
      </c>
      <c r="O268" s="37">
        <v>0</v>
      </c>
      <c r="P268" s="39">
        <v>0</v>
      </c>
      <c r="Q268" s="37" t="s">
        <v>50</v>
      </c>
      <c r="R268" s="37" t="s">
        <v>50</v>
      </c>
      <c r="S268" s="39">
        <f t="shared" si="36"/>
        <v>-4.5924449999999999E-2</v>
      </c>
      <c r="T268" s="39">
        <f t="shared" si="37"/>
        <v>4.5924449999999999E-2</v>
      </c>
      <c r="U268" s="40">
        <v>100</v>
      </c>
      <c r="V268" s="32" t="s">
        <v>420</v>
      </c>
    </row>
    <row r="269" spans="1:22" ht="45" x14ac:dyDescent="0.25">
      <c r="A269" s="19" t="s">
        <v>188</v>
      </c>
      <c r="B269" s="14" t="s">
        <v>584</v>
      </c>
      <c r="C269" s="44" t="s">
        <v>585</v>
      </c>
      <c r="D269" s="39">
        <v>0</v>
      </c>
      <c r="E269" s="39">
        <v>0</v>
      </c>
      <c r="F269" s="37" t="s">
        <v>50</v>
      </c>
      <c r="G269" s="39">
        <v>0</v>
      </c>
      <c r="H269" s="39">
        <f t="shared" si="31"/>
        <v>0</v>
      </c>
      <c r="I269" s="39">
        <f t="shared" si="35"/>
        <v>3.683641E-2</v>
      </c>
      <c r="J269" s="39">
        <v>0</v>
      </c>
      <c r="K269" s="39">
        <v>0</v>
      </c>
      <c r="L269" s="39">
        <v>0</v>
      </c>
      <c r="M269" s="37">
        <f>36.83641/1000</f>
        <v>3.683641E-2</v>
      </c>
      <c r="N269" s="39">
        <v>0</v>
      </c>
      <c r="O269" s="37">
        <v>0</v>
      </c>
      <c r="P269" s="39">
        <v>0</v>
      </c>
      <c r="Q269" s="37" t="s">
        <v>50</v>
      </c>
      <c r="R269" s="37" t="s">
        <v>50</v>
      </c>
      <c r="S269" s="39">
        <f t="shared" si="36"/>
        <v>-3.683641E-2</v>
      </c>
      <c r="T269" s="39">
        <f t="shared" si="37"/>
        <v>3.683641E-2</v>
      </c>
      <c r="U269" s="40">
        <v>100</v>
      </c>
      <c r="V269" s="32" t="s">
        <v>420</v>
      </c>
    </row>
    <row r="270" spans="1:22" ht="45" x14ac:dyDescent="0.25">
      <c r="A270" s="19" t="s">
        <v>188</v>
      </c>
      <c r="B270" s="14" t="s">
        <v>586</v>
      </c>
      <c r="C270" s="44" t="s">
        <v>587</v>
      </c>
      <c r="D270" s="39">
        <v>0</v>
      </c>
      <c r="E270" s="39">
        <v>0</v>
      </c>
      <c r="F270" s="37" t="s">
        <v>50</v>
      </c>
      <c r="G270" s="39">
        <v>0</v>
      </c>
      <c r="H270" s="39">
        <f t="shared" si="31"/>
        <v>0</v>
      </c>
      <c r="I270" s="39">
        <f t="shared" si="35"/>
        <v>1.0531833099999999</v>
      </c>
      <c r="J270" s="39">
        <v>0</v>
      </c>
      <c r="K270" s="39">
        <v>0</v>
      </c>
      <c r="L270" s="39">
        <v>0</v>
      </c>
      <c r="M270" s="37">
        <f>1053.18331/1000</f>
        <v>1.0531833099999999</v>
      </c>
      <c r="N270" s="39">
        <v>0</v>
      </c>
      <c r="O270" s="37">
        <v>0</v>
      </c>
      <c r="P270" s="39">
        <v>0</v>
      </c>
      <c r="Q270" s="37" t="s">
        <v>50</v>
      </c>
      <c r="R270" s="37" t="s">
        <v>50</v>
      </c>
      <c r="S270" s="39">
        <f t="shared" si="36"/>
        <v>-1.0531833099999999</v>
      </c>
      <c r="T270" s="39">
        <f t="shared" si="37"/>
        <v>1.0531833099999999</v>
      </c>
      <c r="U270" s="40">
        <v>100</v>
      </c>
      <c r="V270" s="32" t="s">
        <v>738</v>
      </c>
    </row>
    <row r="271" spans="1:22" ht="45" x14ac:dyDescent="0.25">
      <c r="A271" s="19" t="s">
        <v>188</v>
      </c>
      <c r="B271" s="14" t="s">
        <v>588</v>
      </c>
      <c r="C271" s="44" t="s">
        <v>589</v>
      </c>
      <c r="D271" s="39">
        <v>0</v>
      </c>
      <c r="E271" s="39">
        <v>0</v>
      </c>
      <c r="F271" s="37" t="s">
        <v>50</v>
      </c>
      <c r="G271" s="39">
        <v>0</v>
      </c>
      <c r="H271" s="39">
        <f t="shared" si="31"/>
        <v>0</v>
      </c>
      <c r="I271" s="39">
        <f t="shared" si="35"/>
        <v>3.8740090000000005E-2</v>
      </c>
      <c r="J271" s="39">
        <v>0</v>
      </c>
      <c r="K271" s="39">
        <v>0</v>
      </c>
      <c r="L271" s="39">
        <v>0</v>
      </c>
      <c r="M271" s="37">
        <f>38.74009/1000</f>
        <v>3.8740090000000005E-2</v>
      </c>
      <c r="N271" s="39">
        <v>0</v>
      </c>
      <c r="O271" s="37">
        <v>0</v>
      </c>
      <c r="P271" s="39">
        <v>0</v>
      </c>
      <c r="Q271" s="37" t="s">
        <v>50</v>
      </c>
      <c r="R271" s="37" t="s">
        <v>50</v>
      </c>
      <c r="S271" s="39">
        <f t="shared" si="36"/>
        <v>-3.8740090000000005E-2</v>
      </c>
      <c r="T271" s="39">
        <f t="shared" si="37"/>
        <v>3.8740090000000005E-2</v>
      </c>
      <c r="U271" s="40">
        <v>100</v>
      </c>
      <c r="V271" s="32" t="s">
        <v>738</v>
      </c>
    </row>
    <row r="272" spans="1:22" ht="45" x14ac:dyDescent="0.25">
      <c r="A272" s="19" t="s">
        <v>188</v>
      </c>
      <c r="B272" s="14" t="s">
        <v>590</v>
      </c>
      <c r="C272" s="44" t="s">
        <v>591</v>
      </c>
      <c r="D272" s="39">
        <v>0</v>
      </c>
      <c r="E272" s="39">
        <v>0</v>
      </c>
      <c r="F272" s="37" t="s">
        <v>50</v>
      </c>
      <c r="G272" s="39">
        <v>0</v>
      </c>
      <c r="H272" s="39">
        <f t="shared" si="31"/>
        <v>0</v>
      </c>
      <c r="I272" s="39">
        <f t="shared" si="35"/>
        <v>0.33219051999999999</v>
      </c>
      <c r="J272" s="39">
        <v>0</v>
      </c>
      <c r="K272" s="39">
        <v>0</v>
      </c>
      <c r="L272" s="39">
        <v>0</v>
      </c>
      <c r="M272" s="37">
        <f>332.19052/1000</f>
        <v>0.33219051999999999</v>
      </c>
      <c r="N272" s="39">
        <v>0</v>
      </c>
      <c r="O272" s="37">
        <v>0</v>
      </c>
      <c r="P272" s="39">
        <v>0</v>
      </c>
      <c r="Q272" s="37" t="s">
        <v>50</v>
      </c>
      <c r="R272" s="37" t="s">
        <v>50</v>
      </c>
      <c r="S272" s="39">
        <f t="shared" si="36"/>
        <v>-0.33219051999999999</v>
      </c>
      <c r="T272" s="39">
        <f t="shared" si="37"/>
        <v>0.33219051999999999</v>
      </c>
      <c r="U272" s="40">
        <v>100</v>
      </c>
      <c r="V272" s="32" t="s">
        <v>420</v>
      </c>
    </row>
    <row r="273" spans="1:22" ht="45" x14ac:dyDescent="0.25">
      <c r="A273" s="19" t="s">
        <v>188</v>
      </c>
      <c r="B273" s="14" t="s">
        <v>592</v>
      </c>
      <c r="C273" s="44" t="s">
        <v>593</v>
      </c>
      <c r="D273" s="39">
        <v>0</v>
      </c>
      <c r="E273" s="39">
        <v>0</v>
      </c>
      <c r="F273" s="37" t="s">
        <v>50</v>
      </c>
      <c r="G273" s="39">
        <v>0</v>
      </c>
      <c r="H273" s="39">
        <f t="shared" si="31"/>
        <v>0</v>
      </c>
      <c r="I273" s="39">
        <f t="shared" si="35"/>
        <v>4.2897739999999997E-2</v>
      </c>
      <c r="J273" s="39">
        <v>0</v>
      </c>
      <c r="K273" s="39">
        <v>0</v>
      </c>
      <c r="L273" s="39">
        <v>0</v>
      </c>
      <c r="M273" s="37">
        <f>42.89774/1000</f>
        <v>4.2897739999999997E-2</v>
      </c>
      <c r="N273" s="39">
        <v>0</v>
      </c>
      <c r="O273" s="37">
        <v>0</v>
      </c>
      <c r="P273" s="39">
        <v>0</v>
      </c>
      <c r="Q273" s="37" t="s">
        <v>50</v>
      </c>
      <c r="R273" s="37" t="s">
        <v>50</v>
      </c>
      <c r="S273" s="39">
        <f t="shared" si="36"/>
        <v>-4.2897739999999997E-2</v>
      </c>
      <c r="T273" s="39">
        <f t="shared" si="37"/>
        <v>4.2897739999999997E-2</v>
      </c>
      <c r="U273" s="40">
        <v>100</v>
      </c>
      <c r="V273" s="32" t="s">
        <v>420</v>
      </c>
    </row>
    <row r="274" spans="1:22" ht="45" x14ac:dyDescent="0.25">
      <c r="A274" s="19" t="s">
        <v>188</v>
      </c>
      <c r="B274" s="14" t="s">
        <v>594</v>
      </c>
      <c r="C274" s="44" t="s">
        <v>595</v>
      </c>
      <c r="D274" s="39">
        <v>0</v>
      </c>
      <c r="E274" s="39">
        <v>0</v>
      </c>
      <c r="F274" s="37" t="s">
        <v>50</v>
      </c>
      <c r="G274" s="39">
        <v>0</v>
      </c>
      <c r="H274" s="39">
        <f t="shared" si="31"/>
        <v>0</v>
      </c>
      <c r="I274" s="39">
        <f t="shared" si="35"/>
        <v>3.3106040000000003E-2</v>
      </c>
      <c r="J274" s="39">
        <v>0</v>
      </c>
      <c r="K274" s="39">
        <v>0</v>
      </c>
      <c r="L274" s="39">
        <v>0</v>
      </c>
      <c r="M274" s="37">
        <f>33.10604/1000</f>
        <v>3.3106040000000003E-2</v>
      </c>
      <c r="N274" s="39">
        <v>0</v>
      </c>
      <c r="O274" s="37">
        <v>0</v>
      </c>
      <c r="P274" s="39">
        <v>0</v>
      </c>
      <c r="Q274" s="37" t="s">
        <v>50</v>
      </c>
      <c r="R274" s="37" t="s">
        <v>50</v>
      </c>
      <c r="S274" s="39">
        <f t="shared" si="36"/>
        <v>-3.3106040000000003E-2</v>
      </c>
      <c r="T274" s="39">
        <f t="shared" si="37"/>
        <v>3.3106040000000003E-2</v>
      </c>
      <c r="U274" s="40">
        <v>100</v>
      </c>
      <c r="V274" s="32" t="s">
        <v>739</v>
      </c>
    </row>
    <row r="275" spans="1:22" ht="45" x14ac:dyDescent="0.25">
      <c r="A275" s="19" t="s">
        <v>188</v>
      </c>
      <c r="B275" s="14" t="s">
        <v>596</v>
      </c>
      <c r="C275" s="44" t="s">
        <v>597</v>
      </c>
      <c r="D275" s="39">
        <v>0</v>
      </c>
      <c r="E275" s="39">
        <v>0</v>
      </c>
      <c r="F275" s="37" t="s">
        <v>50</v>
      </c>
      <c r="G275" s="39">
        <v>0</v>
      </c>
      <c r="H275" s="39">
        <f t="shared" ref="H275:H336" si="38">J275+L275+N275+P275</f>
        <v>0</v>
      </c>
      <c r="I275" s="39">
        <f t="shared" si="35"/>
        <v>0.10642665999999999</v>
      </c>
      <c r="J275" s="39">
        <v>0</v>
      </c>
      <c r="K275" s="39">
        <v>0</v>
      </c>
      <c r="L275" s="39">
        <v>0</v>
      </c>
      <c r="M275" s="37">
        <f>106.42666/1000</f>
        <v>0.10642665999999999</v>
      </c>
      <c r="N275" s="39">
        <v>0</v>
      </c>
      <c r="O275" s="37">
        <v>0</v>
      </c>
      <c r="P275" s="39">
        <v>0</v>
      </c>
      <c r="Q275" s="37" t="s">
        <v>50</v>
      </c>
      <c r="R275" s="37" t="s">
        <v>50</v>
      </c>
      <c r="S275" s="39">
        <f t="shared" si="36"/>
        <v>-0.10642665999999999</v>
      </c>
      <c r="T275" s="39">
        <f t="shared" si="37"/>
        <v>0.10642665999999999</v>
      </c>
      <c r="U275" s="40">
        <v>100</v>
      </c>
      <c r="V275" s="32" t="s">
        <v>420</v>
      </c>
    </row>
    <row r="276" spans="1:22" ht="45" x14ac:dyDescent="0.25">
      <c r="A276" s="19" t="s">
        <v>188</v>
      </c>
      <c r="B276" s="14" t="s">
        <v>598</v>
      </c>
      <c r="C276" s="44" t="s">
        <v>599</v>
      </c>
      <c r="D276" s="39">
        <v>0</v>
      </c>
      <c r="E276" s="39">
        <v>0</v>
      </c>
      <c r="F276" s="37" t="s">
        <v>50</v>
      </c>
      <c r="G276" s="39">
        <v>0</v>
      </c>
      <c r="H276" s="39">
        <f t="shared" si="38"/>
        <v>0</v>
      </c>
      <c r="I276" s="39">
        <f t="shared" si="35"/>
        <v>0.19572869000000001</v>
      </c>
      <c r="J276" s="39">
        <v>0</v>
      </c>
      <c r="K276" s="39">
        <v>0</v>
      </c>
      <c r="L276" s="39">
        <v>0</v>
      </c>
      <c r="M276" s="37">
        <f>195.72869/1000</f>
        <v>0.19572869000000001</v>
      </c>
      <c r="N276" s="39">
        <v>0</v>
      </c>
      <c r="O276" s="37">
        <v>0</v>
      </c>
      <c r="P276" s="39">
        <v>0</v>
      </c>
      <c r="Q276" s="37" t="s">
        <v>50</v>
      </c>
      <c r="R276" s="37" t="s">
        <v>50</v>
      </c>
      <c r="S276" s="39">
        <f t="shared" si="36"/>
        <v>-0.19572869000000001</v>
      </c>
      <c r="T276" s="39">
        <f t="shared" si="37"/>
        <v>0.19572869000000001</v>
      </c>
      <c r="U276" s="40">
        <v>100</v>
      </c>
      <c r="V276" s="32" t="s">
        <v>420</v>
      </c>
    </row>
    <row r="277" spans="1:22" ht="45" x14ac:dyDescent="0.25">
      <c r="A277" s="19" t="s">
        <v>188</v>
      </c>
      <c r="B277" s="14" t="s">
        <v>600</v>
      </c>
      <c r="C277" s="44" t="s">
        <v>601</v>
      </c>
      <c r="D277" s="39">
        <v>0</v>
      </c>
      <c r="E277" s="39">
        <v>0</v>
      </c>
      <c r="F277" s="37" t="s">
        <v>50</v>
      </c>
      <c r="G277" s="39">
        <v>0</v>
      </c>
      <c r="H277" s="39">
        <f t="shared" si="38"/>
        <v>0</v>
      </c>
      <c r="I277" s="39">
        <f t="shared" si="35"/>
        <v>0.10160392</v>
      </c>
      <c r="J277" s="39">
        <v>0</v>
      </c>
      <c r="K277" s="39">
        <v>0</v>
      </c>
      <c r="L277" s="39">
        <v>0</v>
      </c>
      <c r="M277" s="37">
        <f>101.60392/1000</f>
        <v>0.10160392</v>
      </c>
      <c r="N277" s="39">
        <v>0</v>
      </c>
      <c r="O277" s="37">
        <v>0</v>
      </c>
      <c r="P277" s="39">
        <v>0</v>
      </c>
      <c r="Q277" s="37" t="s">
        <v>50</v>
      </c>
      <c r="R277" s="37" t="s">
        <v>50</v>
      </c>
      <c r="S277" s="39">
        <f t="shared" si="36"/>
        <v>-0.10160392</v>
      </c>
      <c r="T277" s="39">
        <f t="shared" si="37"/>
        <v>0.10160392</v>
      </c>
      <c r="U277" s="40">
        <v>100</v>
      </c>
      <c r="V277" s="32" t="s">
        <v>420</v>
      </c>
    </row>
    <row r="278" spans="1:22" ht="30" x14ac:dyDescent="0.25">
      <c r="A278" s="19" t="s">
        <v>188</v>
      </c>
      <c r="B278" s="14" t="s">
        <v>602</v>
      </c>
      <c r="C278" s="44" t="s">
        <v>105</v>
      </c>
      <c r="D278" s="39">
        <v>0</v>
      </c>
      <c r="E278" s="39">
        <v>0</v>
      </c>
      <c r="F278" s="37" t="s">
        <v>50</v>
      </c>
      <c r="G278" s="39">
        <v>0</v>
      </c>
      <c r="H278" s="39">
        <f t="shared" si="38"/>
        <v>0</v>
      </c>
      <c r="I278" s="39">
        <f t="shared" si="35"/>
        <v>0.44340415000000005</v>
      </c>
      <c r="J278" s="39">
        <v>0</v>
      </c>
      <c r="K278" s="39">
        <v>0</v>
      </c>
      <c r="L278" s="39">
        <v>0</v>
      </c>
      <c r="M278" s="37">
        <f>385.69801/1000</f>
        <v>0.38569801000000004</v>
      </c>
      <c r="N278" s="39">
        <v>0</v>
      </c>
      <c r="O278" s="37">
        <v>5.7706140000000003E-2</v>
      </c>
      <c r="P278" s="39">
        <v>0</v>
      </c>
      <c r="Q278" s="37" t="s">
        <v>50</v>
      </c>
      <c r="R278" s="37" t="s">
        <v>50</v>
      </c>
      <c r="S278" s="39">
        <f t="shared" si="36"/>
        <v>-0.44340415000000005</v>
      </c>
      <c r="T278" s="39">
        <f t="shared" si="37"/>
        <v>0.44340415000000005</v>
      </c>
      <c r="U278" s="40">
        <v>100</v>
      </c>
      <c r="V278" s="32" t="s">
        <v>418</v>
      </c>
    </row>
    <row r="279" spans="1:22" ht="45" x14ac:dyDescent="0.25">
      <c r="A279" s="19" t="s">
        <v>188</v>
      </c>
      <c r="B279" s="14" t="s">
        <v>704</v>
      </c>
      <c r="C279" s="44" t="s">
        <v>705</v>
      </c>
      <c r="D279" s="39">
        <v>0</v>
      </c>
      <c r="E279" s="39">
        <v>0</v>
      </c>
      <c r="F279" s="37" t="s">
        <v>50</v>
      </c>
      <c r="G279" s="39">
        <v>0</v>
      </c>
      <c r="H279" s="39">
        <f t="shared" si="38"/>
        <v>0</v>
      </c>
      <c r="I279" s="39">
        <f t="shared" si="35"/>
        <v>0.20826410000000001</v>
      </c>
      <c r="J279" s="39">
        <v>0</v>
      </c>
      <c r="K279" s="39">
        <v>0</v>
      </c>
      <c r="L279" s="39">
        <v>0</v>
      </c>
      <c r="M279" s="37">
        <v>0</v>
      </c>
      <c r="N279" s="39">
        <v>0</v>
      </c>
      <c r="O279" s="37">
        <v>0.20826410000000001</v>
      </c>
      <c r="P279" s="39">
        <v>0</v>
      </c>
      <c r="Q279" s="37" t="s">
        <v>50</v>
      </c>
      <c r="R279" s="37" t="s">
        <v>50</v>
      </c>
      <c r="S279" s="39">
        <f t="shared" si="36"/>
        <v>-0.20826410000000001</v>
      </c>
      <c r="T279" s="39">
        <f t="shared" si="37"/>
        <v>0.20826410000000001</v>
      </c>
      <c r="U279" s="40">
        <v>100</v>
      </c>
      <c r="V279" s="32" t="s">
        <v>776</v>
      </c>
    </row>
    <row r="280" spans="1:22" ht="45" x14ac:dyDescent="0.25">
      <c r="A280" s="19" t="s">
        <v>188</v>
      </c>
      <c r="B280" s="14" t="s">
        <v>706</v>
      </c>
      <c r="C280" s="44" t="s">
        <v>707</v>
      </c>
      <c r="D280" s="39">
        <v>0</v>
      </c>
      <c r="E280" s="39">
        <v>0</v>
      </c>
      <c r="F280" s="37" t="s">
        <v>50</v>
      </c>
      <c r="G280" s="39">
        <v>0</v>
      </c>
      <c r="H280" s="39">
        <f t="shared" si="38"/>
        <v>0</v>
      </c>
      <c r="I280" s="39">
        <f t="shared" si="35"/>
        <v>1.6960851400000001</v>
      </c>
      <c r="J280" s="39">
        <v>0</v>
      </c>
      <c r="K280" s="39">
        <v>0</v>
      </c>
      <c r="L280" s="39">
        <v>0</v>
      </c>
      <c r="M280" s="37">
        <v>0</v>
      </c>
      <c r="N280" s="39">
        <v>0</v>
      </c>
      <c r="O280" s="37">
        <v>1.6960851400000001</v>
      </c>
      <c r="P280" s="39">
        <v>0</v>
      </c>
      <c r="Q280" s="37" t="s">
        <v>50</v>
      </c>
      <c r="R280" s="37" t="s">
        <v>50</v>
      </c>
      <c r="S280" s="39">
        <f t="shared" si="36"/>
        <v>-1.6960851400000001</v>
      </c>
      <c r="T280" s="39">
        <f t="shared" si="37"/>
        <v>1.6960851400000001</v>
      </c>
      <c r="U280" s="40">
        <v>100</v>
      </c>
      <c r="V280" s="32" t="s">
        <v>777</v>
      </c>
    </row>
    <row r="281" spans="1:22" ht="45" x14ac:dyDescent="0.25">
      <c r="A281" s="19" t="s">
        <v>188</v>
      </c>
      <c r="B281" s="14" t="s">
        <v>708</v>
      </c>
      <c r="C281" s="44" t="s">
        <v>709</v>
      </c>
      <c r="D281" s="39">
        <v>0</v>
      </c>
      <c r="E281" s="39">
        <v>0</v>
      </c>
      <c r="F281" s="37" t="s">
        <v>50</v>
      </c>
      <c r="G281" s="39">
        <v>0</v>
      </c>
      <c r="H281" s="39">
        <f t="shared" si="38"/>
        <v>0</v>
      </c>
      <c r="I281" s="39">
        <f t="shared" si="35"/>
        <v>0.15791926000000001</v>
      </c>
      <c r="J281" s="39">
        <v>0</v>
      </c>
      <c r="K281" s="39">
        <v>0</v>
      </c>
      <c r="L281" s="39">
        <v>0</v>
      </c>
      <c r="M281" s="37">
        <v>0</v>
      </c>
      <c r="N281" s="39">
        <v>0</v>
      </c>
      <c r="O281" s="37">
        <v>0.15791926000000001</v>
      </c>
      <c r="P281" s="39">
        <v>0</v>
      </c>
      <c r="Q281" s="37" t="s">
        <v>50</v>
      </c>
      <c r="R281" s="37" t="s">
        <v>50</v>
      </c>
      <c r="S281" s="39">
        <f t="shared" si="36"/>
        <v>-0.15791926000000001</v>
      </c>
      <c r="T281" s="39">
        <f t="shared" si="37"/>
        <v>0.15791926000000001</v>
      </c>
      <c r="U281" s="40">
        <v>100</v>
      </c>
      <c r="V281" s="32" t="s">
        <v>420</v>
      </c>
    </row>
    <row r="282" spans="1:22" ht="45" x14ac:dyDescent="0.25">
      <c r="A282" s="21" t="s">
        <v>188</v>
      </c>
      <c r="B282" s="22" t="s">
        <v>217</v>
      </c>
      <c r="C282" s="35" t="s">
        <v>218</v>
      </c>
      <c r="D282" s="39">
        <v>0</v>
      </c>
      <c r="E282" s="39">
        <f>21454*1.2/1000000</f>
        <v>2.5744799999999998E-2</v>
      </c>
      <c r="F282" s="37" t="s">
        <v>50</v>
      </c>
      <c r="G282" s="39">
        <v>13.464116699999998</v>
      </c>
      <c r="H282" s="39">
        <f t="shared" si="38"/>
        <v>13.464116699999998</v>
      </c>
      <c r="I282" s="39">
        <f t="shared" si="35"/>
        <v>0</v>
      </c>
      <c r="J282" s="39">
        <v>0.36286970000000002</v>
      </c>
      <c r="K282" s="39">
        <v>0</v>
      </c>
      <c r="L282" s="39">
        <v>13.101246999999999</v>
      </c>
      <c r="M282" s="37">
        <v>0</v>
      </c>
      <c r="N282" s="39">
        <v>0</v>
      </c>
      <c r="O282" s="37">
        <v>0</v>
      </c>
      <c r="P282" s="39">
        <v>0</v>
      </c>
      <c r="Q282" s="37" t="s">
        <v>50</v>
      </c>
      <c r="R282" s="37" t="s">
        <v>50</v>
      </c>
      <c r="S282" s="39">
        <f t="shared" si="36"/>
        <v>13.464116699999998</v>
      </c>
      <c r="T282" s="39">
        <f t="shared" si="37"/>
        <v>-13.464116699999998</v>
      </c>
      <c r="U282" s="40">
        <f t="shared" si="34"/>
        <v>-100</v>
      </c>
      <c r="V282" s="33" t="s">
        <v>740</v>
      </c>
    </row>
    <row r="283" spans="1:22" ht="30" x14ac:dyDescent="0.25">
      <c r="A283" s="21" t="s">
        <v>188</v>
      </c>
      <c r="B283" s="22" t="s">
        <v>219</v>
      </c>
      <c r="C283" s="35" t="s">
        <v>220</v>
      </c>
      <c r="D283" s="39">
        <v>3.506754962962963E-2</v>
      </c>
      <c r="E283" s="39">
        <f>20624.46*1.2/1000000</f>
        <v>2.4749351999999999E-2</v>
      </c>
      <c r="F283" s="37" t="s">
        <v>50</v>
      </c>
      <c r="G283" s="39">
        <v>0.23670595999999999</v>
      </c>
      <c r="H283" s="39">
        <f t="shared" si="38"/>
        <v>0.23670595999999999</v>
      </c>
      <c r="I283" s="39">
        <f t="shared" si="35"/>
        <v>0</v>
      </c>
      <c r="J283" s="39">
        <v>2.6619959999999998E-2</v>
      </c>
      <c r="K283" s="39">
        <v>0</v>
      </c>
      <c r="L283" s="39">
        <v>0</v>
      </c>
      <c r="M283" s="37">
        <v>0</v>
      </c>
      <c r="N283" s="39">
        <v>0.21008599999999999</v>
      </c>
      <c r="O283" s="37">
        <v>0</v>
      </c>
      <c r="P283" s="39">
        <v>0</v>
      </c>
      <c r="Q283" s="37" t="s">
        <v>50</v>
      </c>
      <c r="R283" s="37" t="s">
        <v>50</v>
      </c>
      <c r="S283" s="39">
        <f t="shared" si="36"/>
        <v>0.23670595999999999</v>
      </c>
      <c r="T283" s="39">
        <f t="shared" si="37"/>
        <v>-0.23670595999999999</v>
      </c>
      <c r="U283" s="40">
        <f t="shared" si="34"/>
        <v>-100</v>
      </c>
      <c r="V283" s="33" t="s">
        <v>741</v>
      </c>
    </row>
    <row r="284" spans="1:22" ht="45" x14ac:dyDescent="0.25">
      <c r="A284" s="13" t="s">
        <v>188</v>
      </c>
      <c r="B284" s="14" t="s">
        <v>221</v>
      </c>
      <c r="C284" s="15" t="s">
        <v>222</v>
      </c>
      <c r="D284" s="39">
        <v>0.20556164148148146</v>
      </c>
      <c r="E284" s="39">
        <f>52094.06*1.2/1000000</f>
        <v>6.2512871999999997E-2</v>
      </c>
      <c r="F284" s="37" t="s">
        <v>50</v>
      </c>
      <c r="G284" s="39">
        <v>1.3875410800000001</v>
      </c>
      <c r="H284" s="39">
        <f t="shared" si="38"/>
        <v>1.3875410800000001</v>
      </c>
      <c r="I284" s="39">
        <f t="shared" si="35"/>
        <v>0</v>
      </c>
      <c r="J284" s="39">
        <v>0.12888007999999998</v>
      </c>
      <c r="K284" s="39">
        <v>0</v>
      </c>
      <c r="L284" s="39">
        <v>0</v>
      </c>
      <c r="M284" s="37">
        <v>0</v>
      </c>
      <c r="N284" s="39">
        <v>1.258661</v>
      </c>
      <c r="O284" s="37">
        <v>0</v>
      </c>
      <c r="P284" s="39">
        <v>0</v>
      </c>
      <c r="Q284" s="37" t="s">
        <v>50</v>
      </c>
      <c r="R284" s="37" t="s">
        <v>50</v>
      </c>
      <c r="S284" s="39">
        <f t="shared" si="36"/>
        <v>1.3875410800000001</v>
      </c>
      <c r="T284" s="39">
        <f t="shared" si="37"/>
        <v>-1.3875410800000001</v>
      </c>
      <c r="U284" s="40">
        <f t="shared" si="34"/>
        <v>-100</v>
      </c>
      <c r="V284" s="33" t="s">
        <v>741</v>
      </c>
    </row>
    <row r="285" spans="1:22" ht="30" x14ac:dyDescent="0.25">
      <c r="A285" s="13" t="s">
        <v>188</v>
      </c>
      <c r="B285" s="14" t="s">
        <v>223</v>
      </c>
      <c r="C285" s="15" t="s">
        <v>224</v>
      </c>
      <c r="D285" s="39">
        <v>5.4338920000000006E-2</v>
      </c>
      <c r="E285" s="39">
        <v>0</v>
      </c>
      <c r="F285" s="37" t="s">
        <v>50</v>
      </c>
      <c r="G285" s="39">
        <v>0.36678770999999999</v>
      </c>
      <c r="H285" s="39">
        <f t="shared" si="38"/>
        <v>0.36678770999999999</v>
      </c>
      <c r="I285" s="39">
        <f t="shared" si="35"/>
        <v>0.34827891999999999</v>
      </c>
      <c r="J285" s="39">
        <v>4.2026710000000002E-2</v>
      </c>
      <c r="K285" s="39">
        <v>0</v>
      </c>
      <c r="L285" s="39">
        <v>0.32476099999999997</v>
      </c>
      <c r="M285" s="37">
        <v>0</v>
      </c>
      <c r="N285" s="39">
        <v>0</v>
      </c>
      <c r="O285" s="37">
        <v>0.34827891999999999</v>
      </c>
      <c r="P285" s="39">
        <v>0</v>
      </c>
      <c r="Q285" s="37" t="s">
        <v>50</v>
      </c>
      <c r="R285" s="37" t="s">
        <v>50</v>
      </c>
      <c r="S285" s="39">
        <f t="shared" si="36"/>
        <v>1.8508789999999997E-2</v>
      </c>
      <c r="T285" s="39">
        <f t="shared" si="37"/>
        <v>-1.8508789999999997E-2</v>
      </c>
      <c r="U285" s="40">
        <f t="shared" si="34"/>
        <v>-5.0461859804408391</v>
      </c>
      <c r="V285" s="33" t="s">
        <v>50</v>
      </c>
    </row>
    <row r="286" spans="1:22" ht="45" x14ac:dyDescent="0.25">
      <c r="A286" s="13" t="s">
        <v>188</v>
      </c>
      <c r="B286" s="14" t="s">
        <v>225</v>
      </c>
      <c r="C286" s="15" t="s">
        <v>226</v>
      </c>
      <c r="D286" s="39">
        <v>0.49775125925925923</v>
      </c>
      <c r="E286" s="39">
        <v>0</v>
      </c>
      <c r="F286" s="37" t="s">
        <v>50</v>
      </c>
      <c r="G286" s="39">
        <v>3.3598210000000002</v>
      </c>
      <c r="H286" s="39">
        <f t="shared" si="38"/>
        <v>3.3598210000000002</v>
      </c>
      <c r="I286" s="39">
        <f t="shared" si="35"/>
        <v>0</v>
      </c>
      <c r="J286" s="39">
        <v>0.243507</v>
      </c>
      <c r="K286" s="39">
        <v>0</v>
      </c>
      <c r="L286" s="39">
        <v>3.116314</v>
      </c>
      <c r="M286" s="37">
        <v>0</v>
      </c>
      <c r="N286" s="39">
        <v>0</v>
      </c>
      <c r="O286" s="37">
        <v>0</v>
      </c>
      <c r="P286" s="39">
        <v>0</v>
      </c>
      <c r="Q286" s="37" t="s">
        <v>50</v>
      </c>
      <c r="R286" s="37" t="s">
        <v>50</v>
      </c>
      <c r="S286" s="39">
        <f t="shared" si="36"/>
        <v>3.3598210000000002</v>
      </c>
      <c r="T286" s="39">
        <f t="shared" si="37"/>
        <v>-3.3598210000000002</v>
      </c>
      <c r="U286" s="40">
        <f t="shared" si="34"/>
        <v>-100</v>
      </c>
      <c r="V286" s="33" t="s">
        <v>742</v>
      </c>
    </row>
    <row r="287" spans="1:22" ht="60" x14ac:dyDescent="0.25">
      <c r="A287" s="13" t="s">
        <v>188</v>
      </c>
      <c r="B287" s="14" t="s">
        <v>227</v>
      </c>
      <c r="C287" s="15" t="s">
        <v>228</v>
      </c>
      <c r="D287" s="39">
        <v>0.97318860000000007</v>
      </c>
      <c r="E287" s="39">
        <v>0</v>
      </c>
      <c r="F287" s="37" t="s">
        <v>50</v>
      </c>
      <c r="G287" s="39">
        <v>6.5690230500000002</v>
      </c>
      <c r="H287" s="39">
        <f t="shared" si="38"/>
        <v>6.5690230500000002</v>
      </c>
      <c r="I287" s="39">
        <f t="shared" si="35"/>
        <v>0</v>
      </c>
      <c r="J287" s="39">
        <v>0.32039305000000001</v>
      </c>
      <c r="K287" s="39">
        <v>0</v>
      </c>
      <c r="L287" s="39">
        <v>6.2486300000000004</v>
      </c>
      <c r="M287" s="37">
        <v>0</v>
      </c>
      <c r="N287" s="39">
        <v>0</v>
      </c>
      <c r="O287" s="37">
        <v>0</v>
      </c>
      <c r="P287" s="39">
        <v>0</v>
      </c>
      <c r="Q287" s="37" t="s">
        <v>50</v>
      </c>
      <c r="R287" s="37" t="s">
        <v>50</v>
      </c>
      <c r="S287" s="39">
        <f t="shared" si="36"/>
        <v>6.5690230500000002</v>
      </c>
      <c r="T287" s="39">
        <f t="shared" si="37"/>
        <v>-6.5690230500000002</v>
      </c>
      <c r="U287" s="40">
        <f t="shared" si="34"/>
        <v>-100</v>
      </c>
      <c r="V287" s="33" t="s">
        <v>742</v>
      </c>
    </row>
    <row r="288" spans="1:22" ht="45" x14ac:dyDescent="0.25">
      <c r="A288" s="13" t="s">
        <v>188</v>
      </c>
      <c r="B288" s="14" t="s">
        <v>229</v>
      </c>
      <c r="C288" s="15" t="s">
        <v>230</v>
      </c>
      <c r="D288" s="39">
        <v>0.97318815555555549</v>
      </c>
      <c r="E288" s="39">
        <v>0</v>
      </c>
      <c r="F288" s="37" t="s">
        <v>50</v>
      </c>
      <c r="G288" s="39">
        <v>6.5690200499999998</v>
      </c>
      <c r="H288" s="39">
        <f t="shared" si="38"/>
        <v>6.5690200499999998</v>
      </c>
      <c r="I288" s="39">
        <f t="shared" si="35"/>
        <v>0</v>
      </c>
      <c r="J288" s="39">
        <v>0.32039204999999998</v>
      </c>
      <c r="K288" s="39">
        <v>0</v>
      </c>
      <c r="L288" s="39">
        <v>6.2486280000000001</v>
      </c>
      <c r="M288" s="37">
        <v>0</v>
      </c>
      <c r="N288" s="39">
        <v>0</v>
      </c>
      <c r="O288" s="37">
        <v>0</v>
      </c>
      <c r="P288" s="39">
        <v>0</v>
      </c>
      <c r="Q288" s="37" t="s">
        <v>50</v>
      </c>
      <c r="R288" s="37" t="s">
        <v>50</v>
      </c>
      <c r="S288" s="39">
        <f t="shared" si="36"/>
        <v>6.5690200499999998</v>
      </c>
      <c r="T288" s="39">
        <f t="shared" si="37"/>
        <v>-6.5690200499999998</v>
      </c>
      <c r="U288" s="40">
        <f t="shared" si="34"/>
        <v>-100</v>
      </c>
      <c r="V288" s="33" t="s">
        <v>742</v>
      </c>
    </row>
    <row r="289" spans="1:22" ht="60" x14ac:dyDescent="0.25">
      <c r="A289" s="13" t="s">
        <v>188</v>
      </c>
      <c r="B289" s="14" t="s">
        <v>231</v>
      </c>
      <c r="C289" s="15" t="s">
        <v>232</v>
      </c>
      <c r="D289" s="39">
        <v>0.82734550962962961</v>
      </c>
      <c r="E289" s="39">
        <v>0</v>
      </c>
      <c r="F289" s="37" t="s">
        <v>50</v>
      </c>
      <c r="G289" s="39">
        <v>5.5845821899999999</v>
      </c>
      <c r="H289" s="39">
        <f t="shared" si="38"/>
        <v>5.5845821899999999</v>
      </c>
      <c r="I289" s="39">
        <f t="shared" si="35"/>
        <v>0</v>
      </c>
      <c r="J289" s="39">
        <v>0.30900519000000004</v>
      </c>
      <c r="K289" s="39">
        <v>0</v>
      </c>
      <c r="L289" s="39">
        <v>5.2755770000000002</v>
      </c>
      <c r="M289" s="37">
        <v>0</v>
      </c>
      <c r="N289" s="39">
        <v>0</v>
      </c>
      <c r="O289" s="37">
        <v>0</v>
      </c>
      <c r="P289" s="39">
        <v>0</v>
      </c>
      <c r="Q289" s="37" t="s">
        <v>50</v>
      </c>
      <c r="R289" s="37" t="s">
        <v>50</v>
      </c>
      <c r="S289" s="39">
        <f t="shared" si="36"/>
        <v>5.5845821899999999</v>
      </c>
      <c r="T289" s="39">
        <f t="shared" si="37"/>
        <v>-5.5845821899999999</v>
      </c>
      <c r="U289" s="40">
        <f t="shared" si="34"/>
        <v>-100</v>
      </c>
      <c r="V289" s="33" t="s">
        <v>742</v>
      </c>
    </row>
    <row r="290" spans="1:22" ht="45" x14ac:dyDescent="0.25">
      <c r="A290" s="13" t="s">
        <v>188</v>
      </c>
      <c r="B290" s="14" t="s">
        <v>233</v>
      </c>
      <c r="C290" s="15" t="s">
        <v>234</v>
      </c>
      <c r="D290" s="39">
        <v>8.8375727407407428E-2</v>
      </c>
      <c r="E290" s="39">
        <v>0</v>
      </c>
      <c r="F290" s="37" t="s">
        <v>50</v>
      </c>
      <c r="G290" s="39">
        <v>0.59653615999999998</v>
      </c>
      <c r="H290" s="39">
        <f t="shared" si="38"/>
        <v>0.59653615999999998</v>
      </c>
      <c r="I290" s="39">
        <f t="shared" si="35"/>
        <v>0</v>
      </c>
      <c r="J290" s="39">
        <v>6.6653160000000003E-2</v>
      </c>
      <c r="K290" s="39">
        <v>0</v>
      </c>
      <c r="L290" s="39">
        <v>0.52988299999999999</v>
      </c>
      <c r="M290" s="37">
        <v>0</v>
      </c>
      <c r="N290" s="39">
        <v>0</v>
      </c>
      <c r="O290" s="37">
        <v>0</v>
      </c>
      <c r="P290" s="39">
        <v>0</v>
      </c>
      <c r="Q290" s="37" t="s">
        <v>50</v>
      </c>
      <c r="R290" s="37" t="s">
        <v>50</v>
      </c>
      <c r="S290" s="39">
        <f t="shared" si="36"/>
        <v>0.59653615999999998</v>
      </c>
      <c r="T290" s="39">
        <f t="shared" si="37"/>
        <v>-0.59653615999999998</v>
      </c>
      <c r="U290" s="40">
        <f t="shared" si="34"/>
        <v>-100</v>
      </c>
      <c r="V290" s="33" t="s">
        <v>741</v>
      </c>
    </row>
    <row r="291" spans="1:22" ht="45" x14ac:dyDescent="0.25">
      <c r="A291" s="13" t="s">
        <v>188</v>
      </c>
      <c r="B291" s="14" t="s">
        <v>235</v>
      </c>
      <c r="C291" s="15" t="s">
        <v>236</v>
      </c>
      <c r="D291" s="39">
        <v>0.55904088888888881</v>
      </c>
      <c r="E291" s="39">
        <f>191460.19*1.2/1000000</f>
        <v>0.229752228</v>
      </c>
      <c r="F291" s="37" t="s">
        <v>50</v>
      </c>
      <c r="G291" s="39">
        <v>3.7735260000000008</v>
      </c>
      <c r="H291" s="39">
        <f t="shared" si="38"/>
        <v>3.7735260000000008</v>
      </c>
      <c r="I291" s="39">
        <f t="shared" si="35"/>
        <v>0</v>
      </c>
      <c r="J291" s="39">
        <v>0.22469900000000001</v>
      </c>
      <c r="K291" s="39">
        <v>0</v>
      </c>
      <c r="L291" s="39">
        <v>3.5488270000000006</v>
      </c>
      <c r="M291" s="37">
        <v>0</v>
      </c>
      <c r="N291" s="39">
        <v>0</v>
      </c>
      <c r="O291" s="37">
        <v>0</v>
      </c>
      <c r="P291" s="39">
        <v>0</v>
      </c>
      <c r="Q291" s="37" t="s">
        <v>50</v>
      </c>
      <c r="R291" s="37" t="s">
        <v>50</v>
      </c>
      <c r="S291" s="39">
        <f t="shared" si="36"/>
        <v>3.7735260000000008</v>
      </c>
      <c r="T291" s="39">
        <f t="shared" si="37"/>
        <v>-3.7735260000000008</v>
      </c>
      <c r="U291" s="40">
        <f t="shared" si="34"/>
        <v>-100</v>
      </c>
      <c r="V291" s="33" t="s">
        <v>741</v>
      </c>
    </row>
    <row r="292" spans="1:22" ht="45" x14ac:dyDescent="0.25">
      <c r="A292" s="13" t="s">
        <v>188</v>
      </c>
      <c r="B292" s="14" t="s">
        <v>237</v>
      </c>
      <c r="C292" s="15" t="s">
        <v>238</v>
      </c>
      <c r="D292" s="39">
        <v>0.34671750074074076</v>
      </c>
      <c r="E292" s="39">
        <f>26283.04*1.2/1000000</f>
        <v>3.1539648000000003E-2</v>
      </c>
      <c r="F292" s="37" t="s">
        <v>50</v>
      </c>
      <c r="G292" s="39">
        <v>2.3403431299999999</v>
      </c>
      <c r="H292" s="39">
        <f t="shared" si="38"/>
        <v>2.3403431299999999</v>
      </c>
      <c r="I292" s="39">
        <f t="shared" si="35"/>
        <v>0</v>
      </c>
      <c r="J292" s="39">
        <v>0.19690313000000001</v>
      </c>
      <c r="K292" s="39">
        <v>0</v>
      </c>
      <c r="L292" s="39">
        <v>2.14344</v>
      </c>
      <c r="M292" s="37">
        <v>0</v>
      </c>
      <c r="N292" s="39">
        <v>0</v>
      </c>
      <c r="O292" s="37">
        <v>0</v>
      </c>
      <c r="P292" s="39">
        <v>0</v>
      </c>
      <c r="Q292" s="37" t="s">
        <v>50</v>
      </c>
      <c r="R292" s="37" t="s">
        <v>50</v>
      </c>
      <c r="S292" s="39">
        <f t="shared" si="36"/>
        <v>2.3403431299999999</v>
      </c>
      <c r="T292" s="39">
        <f t="shared" si="37"/>
        <v>-2.3403431299999999</v>
      </c>
      <c r="U292" s="40">
        <f t="shared" si="34"/>
        <v>-100</v>
      </c>
      <c r="V292" s="33" t="s">
        <v>741</v>
      </c>
    </row>
    <row r="293" spans="1:22" ht="45" x14ac:dyDescent="0.25">
      <c r="A293" s="13" t="s">
        <v>188</v>
      </c>
      <c r="B293" s="14" t="s">
        <v>239</v>
      </c>
      <c r="C293" s="15" t="s">
        <v>240</v>
      </c>
      <c r="D293" s="39">
        <v>0.19880503703703703</v>
      </c>
      <c r="E293" s="39">
        <f>25112.69*1.2/1000000</f>
        <v>3.0135227999999997E-2</v>
      </c>
      <c r="F293" s="37" t="s">
        <v>50</v>
      </c>
      <c r="G293" s="39">
        <v>1.341934</v>
      </c>
      <c r="H293" s="39">
        <f t="shared" si="38"/>
        <v>1.341934</v>
      </c>
      <c r="I293" s="39">
        <f t="shared" si="35"/>
        <v>0</v>
      </c>
      <c r="J293" s="39">
        <v>0.18693299999999999</v>
      </c>
      <c r="K293" s="39">
        <v>0</v>
      </c>
      <c r="L293" s="39">
        <v>1.1550009999999999</v>
      </c>
      <c r="M293" s="37">
        <v>0</v>
      </c>
      <c r="N293" s="39">
        <v>0</v>
      </c>
      <c r="O293" s="37">
        <v>0</v>
      </c>
      <c r="P293" s="39">
        <v>0</v>
      </c>
      <c r="Q293" s="37" t="s">
        <v>50</v>
      </c>
      <c r="R293" s="37" t="s">
        <v>50</v>
      </c>
      <c r="S293" s="39">
        <f t="shared" si="36"/>
        <v>1.341934</v>
      </c>
      <c r="T293" s="39">
        <f t="shared" si="37"/>
        <v>-1.341934</v>
      </c>
      <c r="U293" s="40">
        <f t="shared" si="34"/>
        <v>-100</v>
      </c>
      <c r="V293" s="33" t="s">
        <v>741</v>
      </c>
    </row>
    <row r="294" spans="1:22" ht="60" x14ac:dyDescent="0.25">
      <c r="A294" s="13" t="s">
        <v>188</v>
      </c>
      <c r="B294" s="14" t="s">
        <v>241</v>
      </c>
      <c r="C294" s="15" t="s">
        <v>242</v>
      </c>
      <c r="D294" s="39">
        <v>0.21986253185185189</v>
      </c>
      <c r="E294" s="39">
        <v>0</v>
      </c>
      <c r="F294" s="37" t="s">
        <v>50</v>
      </c>
      <c r="G294" s="39">
        <v>1.48407209</v>
      </c>
      <c r="H294" s="39">
        <f t="shared" si="38"/>
        <v>1.48407209</v>
      </c>
      <c r="I294" s="39">
        <f t="shared" si="35"/>
        <v>0</v>
      </c>
      <c r="J294" s="39">
        <v>0.13281809</v>
      </c>
      <c r="K294" s="39">
        <v>0</v>
      </c>
      <c r="L294" s="39">
        <v>1.351254</v>
      </c>
      <c r="M294" s="37">
        <v>0</v>
      </c>
      <c r="N294" s="39">
        <v>0</v>
      </c>
      <c r="O294" s="37">
        <v>0</v>
      </c>
      <c r="P294" s="39">
        <v>0</v>
      </c>
      <c r="Q294" s="37" t="s">
        <v>50</v>
      </c>
      <c r="R294" s="37" t="s">
        <v>50</v>
      </c>
      <c r="S294" s="39">
        <f t="shared" si="36"/>
        <v>1.48407209</v>
      </c>
      <c r="T294" s="39">
        <f t="shared" si="37"/>
        <v>-1.48407209</v>
      </c>
      <c r="U294" s="40">
        <f t="shared" si="34"/>
        <v>-100</v>
      </c>
      <c r="V294" s="33" t="s">
        <v>743</v>
      </c>
    </row>
    <row r="295" spans="1:22" ht="60" x14ac:dyDescent="0.25">
      <c r="A295" s="13" t="s">
        <v>188</v>
      </c>
      <c r="B295" s="14" t="s">
        <v>243</v>
      </c>
      <c r="C295" s="15" t="s">
        <v>244</v>
      </c>
      <c r="D295" s="39">
        <v>0.31874235851851856</v>
      </c>
      <c r="E295" s="39">
        <v>0</v>
      </c>
      <c r="F295" s="37" t="s">
        <v>50</v>
      </c>
      <c r="G295" s="39">
        <v>2.1515109199999998</v>
      </c>
      <c r="H295" s="39">
        <f t="shared" si="38"/>
        <v>2.1515109199999998</v>
      </c>
      <c r="I295" s="39">
        <f t="shared" si="35"/>
        <v>0</v>
      </c>
      <c r="J295" s="39">
        <v>0.15336992000000002</v>
      </c>
      <c r="K295" s="39">
        <v>0</v>
      </c>
      <c r="L295" s="39">
        <v>1.9981409999999999</v>
      </c>
      <c r="M295" s="37">
        <v>0</v>
      </c>
      <c r="N295" s="39">
        <v>0</v>
      </c>
      <c r="O295" s="37">
        <v>0</v>
      </c>
      <c r="P295" s="39">
        <v>0</v>
      </c>
      <c r="Q295" s="37" t="s">
        <v>50</v>
      </c>
      <c r="R295" s="37" t="s">
        <v>50</v>
      </c>
      <c r="S295" s="39">
        <f t="shared" si="36"/>
        <v>2.1515109199999998</v>
      </c>
      <c r="T295" s="39">
        <f t="shared" si="37"/>
        <v>-2.1515109199999998</v>
      </c>
      <c r="U295" s="40">
        <f t="shared" si="34"/>
        <v>-100</v>
      </c>
      <c r="V295" s="33" t="s">
        <v>743</v>
      </c>
    </row>
    <row r="296" spans="1:22" ht="45" x14ac:dyDescent="0.25">
      <c r="A296" s="13" t="s">
        <v>188</v>
      </c>
      <c r="B296" s="14" t="s">
        <v>245</v>
      </c>
      <c r="C296" s="15" t="s">
        <v>246</v>
      </c>
      <c r="D296" s="39">
        <v>0.20338900888888889</v>
      </c>
      <c r="E296" s="39">
        <v>0</v>
      </c>
      <c r="F296" s="37" t="s">
        <v>50</v>
      </c>
      <c r="G296" s="39">
        <v>1.3728758100000003</v>
      </c>
      <c r="H296" s="39">
        <f t="shared" si="38"/>
        <v>1.3728758100000003</v>
      </c>
      <c r="I296" s="39">
        <f t="shared" si="35"/>
        <v>0</v>
      </c>
      <c r="J296" s="39">
        <v>9.9187810000000001E-2</v>
      </c>
      <c r="K296" s="39">
        <v>0</v>
      </c>
      <c r="L296" s="39">
        <v>0</v>
      </c>
      <c r="M296" s="37">
        <v>0</v>
      </c>
      <c r="N296" s="39">
        <v>1.2736880000000002</v>
      </c>
      <c r="O296" s="37">
        <v>0</v>
      </c>
      <c r="P296" s="39">
        <v>0</v>
      </c>
      <c r="Q296" s="37" t="s">
        <v>50</v>
      </c>
      <c r="R296" s="37" t="s">
        <v>50</v>
      </c>
      <c r="S296" s="39">
        <f t="shared" si="36"/>
        <v>1.3728758100000003</v>
      </c>
      <c r="T296" s="39">
        <f t="shared" si="37"/>
        <v>-1.3728758100000003</v>
      </c>
      <c r="U296" s="40">
        <f t="shared" si="34"/>
        <v>-100</v>
      </c>
      <c r="V296" s="33" t="s">
        <v>744</v>
      </c>
    </row>
    <row r="297" spans="1:22" ht="30" x14ac:dyDescent="0.25">
      <c r="A297" s="13" t="s">
        <v>188</v>
      </c>
      <c r="B297" s="14" t="s">
        <v>247</v>
      </c>
      <c r="C297" s="15" t="s">
        <v>248</v>
      </c>
      <c r="D297" s="39">
        <v>0.18951197629629629</v>
      </c>
      <c r="E297" s="39">
        <v>0</v>
      </c>
      <c r="F297" s="37" t="s">
        <v>50</v>
      </c>
      <c r="G297" s="39">
        <v>1.2792058399999999</v>
      </c>
      <c r="H297" s="39">
        <f t="shared" si="38"/>
        <v>1.2792058399999999</v>
      </c>
      <c r="I297" s="39">
        <f t="shared" si="35"/>
        <v>0</v>
      </c>
      <c r="J297" s="39">
        <v>0.10255083999999999</v>
      </c>
      <c r="K297" s="39">
        <v>0</v>
      </c>
      <c r="L297" s="39">
        <v>0</v>
      </c>
      <c r="M297" s="37">
        <v>0</v>
      </c>
      <c r="N297" s="39">
        <v>1.176655</v>
      </c>
      <c r="O297" s="37">
        <v>0</v>
      </c>
      <c r="P297" s="39">
        <v>0</v>
      </c>
      <c r="Q297" s="37" t="s">
        <v>50</v>
      </c>
      <c r="R297" s="37" t="s">
        <v>50</v>
      </c>
      <c r="S297" s="39">
        <f t="shared" si="36"/>
        <v>1.2792058399999999</v>
      </c>
      <c r="T297" s="39">
        <f t="shared" si="37"/>
        <v>-1.2792058399999999</v>
      </c>
      <c r="U297" s="40">
        <f t="shared" si="34"/>
        <v>-100</v>
      </c>
      <c r="V297" s="33" t="s">
        <v>741</v>
      </c>
    </row>
    <row r="298" spans="1:22" ht="45" x14ac:dyDescent="0.25">
      <c r="A298" s="13" t="s">
        <v>188</v>
      </c>
      <c r="B298" s="14" t="s">
        <v>249</v>
      </c>
      <c r="C298" s="15" t="s">
        <v>250</v>
      </c>
      <c r="D298" s="39">
        <v>0.51635596444444454</v>
      </c>
      <c r="E298" s="39">
        <v>0</v>
      </c>
      <c r="F298" s="37" t="s">
        <v>50</v>
      </c>
      <c r="G298" s="39">
        <v>3.4854027599999999</v>
      </c>
      <c r="H298" s="39">
        <f t="shared" si="38"/>
        <v>3.4854027599999999</v>
      </c>
      <c r="I298" s="39">
        <f t="shared" si="35"/>
        <v>0</v>
      </c>
      <c r="J298" s="39">
        <v>0.23501675999999999</v>
      </c>
      <c r="K298" s="39">
        <v>0</v>
      </c>
      <c r="L298" s="39">
        <v>0</v>
      </c>
      <c r="M298" s="37">
        <v>0</v>
      </c>
      <c r="N298" s="39">
        <v>3.2503859999999998</v>
      </c>
      <c r="O298" s="37">
        <v>0</v>
      </c>
      <c r="P298" s="39">
        <v>0</v>
      </c>
      <c r="Q298" s="37" t="s">
        <v>50</v>
      </c>
      <c r="R298" s="37" t="s">
        <v>50</v>
      </c>
      <c r="S298" s="39">
        <f t="shared" si="36"/>
        <v>3.4854027599999999</v>
      </c>
      <c r="T298" s="39">
        <f t="shared" si="37"/>
        <v>-3.4854027599999999</v>
      </c>
      <c r="U298" s="40">
        <f t="shared" si="34"/>
        <v>-100</v>
      </c>
      <c r="V298" s="33" t="s">
        <v>741</v>
      </c>
    </row>
    <row r="299" spans="1:22" ht="30" x14ac:dyDescent="0.25">
      <c r="A299" s="13" t="s">
        <v>188</v>
      </c>
      <c r="B299" s="14" t="s">
        <v>251</v>
      </c>
      <c r="C299" s="15" t="s">
        <v>252</v>
      </c>
      <c r="D299" s="39">
        <v>0.34051856444444445</v>
      </c>
      <c r="E299" s="39">
        <v>0</v>
      </c>
      <c r="F299" s="37" t="s">
        <v>50</v>
      </c>
      <c r="G299" s="39">
        <v>2.2985003099999997</v>
      </c>
      <c r="H299" s="39">
        <f t="shared" si="38"/>
        <v>2.2985003099999997</v>
      </c>
      <c r="I299" s="39">
        <f t="shared" si="35"/>
        <v>0</v>
      </c>
      <c r="J299" s="39">
        <v>0.15972231000000001</v>
      </c>
      <c r="K299" s="39">
        <v>0</v>
      </c>
      <c r="L299" s="39">
        <v>0</v>
      </c>
      <c r="M299" s="37">
        <v>0</v>
      </c>
      <c r="N299" s="39">
        <v>2.1387779999999998</v>
      </c>
      <c r="O299" s="37">
        <v>0</v>
      </c>
      <c r="P299" s="39">
        <v>0</v>
      </c>
      <c r="Q299" s="37" t="s">
        <v>50</v>
      </c>
      <c r="R299" s="37" t="s">
        <v>50</v>
      </c>
      <c r="S299" s="39">
        <f t="shared" si="36"/>
        <v>2.2985003099999997</v>
      </c>
      <c r="T299" s="39">
        <f t="shared" ref="T299:T320" si="39">(K299+M299+O299)-(J299+L299+N299)</f>
        <v>-2.2985003099999997</v>
      </c>
      <c r="U299" s="40">
        <f t="shared" si="34"/>
        <v>-100</v>
      </c>
      <c r="V299" s="33" t="s">
        <v>741</v>
      </c>
    </row>
    <row r="300" spans="1:22" ht="30" x14ac:dyDescent="0.25">
      <c r="A300" s="13" t="s">
        <v>188</v>
      </c>
      <c r="B300" s="14" t="s">
        <v>253</v>
      </c>
      <c r="C300" s="15" t="s">
        <v>254</v>
      </c>
      <c r="D300" s="39">
        <v>0.27003597777777777</v>
      </c>
      <c r="E300" s="39">
        <f>50477.82*1.2/1000000</f>
        <v>6.0573384000000001E-2</v>
      </c>
      <c r="F300" s="37" t="s">
        <v>50</v>
      </c>
      <c r="G300" s="39">
        <v>1.82274285</v>
      </c>
      <c r="H300" s="39">
        <f t="shared" si="38"/>
        <v>1.82274285</v>
      </c>
      <c r="I300" s="39">
        <f t="shared" si="35"/>
        <v>0.63922248999999998</v>
      </c>
      <c r="J300" s="39">
        <v>0.10479285000000001</v>
      </c>
      <c r="K300" s="39">
        <v>0</v>
      </c>
      <c r="L300" s="39">
        <v>1.7179500000000001</v>
      </c>
      <c r="M300" s="37">
        <f>315.86021/1000</f>
        <v>0.31586020999999997</v>
      </c>
      <c r="N300" s="39">
        <v>0</v>
      </c>
      <c r="O300" s="37">
        <v>0.32336228</v>
      </c>
      <c r="P300" s="39">
        <v>0</v>
      </c>
      <c r="Q300" s="37" t="s">
        <v>50</v>
      </c>
      <c r="R300" s="37" t="s">
        <v>50</v>
      </c>
      <c r="S300" s="39">
        <f t="shared" si="36"/>
        <v>1.1835203600000002</v>
      </c>
      <c r="T300" s="39">
        <f t="shared" si="39"/>
        <v>-1.1835203600000002</v>
      </c>
      <c r="U300" s="40">
        <f t="shared" si="34"/>
        <v>-64.930736664253004</v>
      </c>
      <c r="V300" s="33" t="s">
        <v>762</v>
      </c>
    </row>
    <row r="301" spans="1:22" ht="30" x14ac:dyDescent="0.25">
      <c r="A301" s="13" t="s">
        <v>188</v>
      </c>
      <c r="B301" s="14" t="s">
        <v>255</v>
      </c>
      <c r="C301" s="15" t="s">
        <v>256</v>
      </c>
      <c r="D301" s="39">
        <v>0.20831691999999996</v>
      </c>
      <c r="E301" s="39">
        <f>42570.25*1.2/1000000</f>
        <v>5.1084299999999992E-2</v>
      </c>
      <c r="F301" s="37" t="s">
        <v>50</v>
      </c>
      <c r="G301" s="39">
        <v>1.4061392100000001</v>
      </c>
      <c r="H301" s="39">
        <f t="shared" si="38"/>
        <v>1.4061392100000001</v>
      </c>
      <c r="I301" s="39">
        <f t="shared" si="35"/>
        <v>0.59548429000000003</v>
      </c>
      <c r="J301" s="39">
        <v>0.10778221</v>
      </c>
      <c r="K301" s="39">
        <v>0</v>
      </c>
      <c r="L301" s="39">
        <v>1.298357</v>
      </c>
      <c r="M301" s="37">
        <f>345.81767/1000</f>
        <v>0.34581767000000002</v>
      </c>
      <c r="N301" s="39">
        <v>0</v>
      </c>
      <c r="O301" s="37">
        <v>0.24966662000000001</v>
      </c>
      <c r="P301" s="39">
        <v>0</v>
      </c>
      <c r="Q301" s="37" t="s">
        <v>50</v>
      </c>
      <c r="R301" s="37" t="s">
        <v>50</v>
      </c>
      <c r="S301" s="39">
        <f t="shared" si="36"/>
        <v>0.81065492000000006</v>
      </c>
      <c r="T301" s="39">
        <f t="shared" si="39"/>
        <v>-0.81065492000000006</v>
      </c>
      <c r="U301" s="40">
        <f t="shared" si="34"/>
        <v>-57.651114074260121</v>
      </c>
      <c r="V301" s="33" t="s">
        <v>741</v>
      </c>
    </row>
    <row r="302" spans="1:22" ht="45" x14ac:dyDescent="0.25">
      <c r="A302" s="13" t="s">
        <v>188</v>
      </c>
      <c r="B302" s="14" t="s">
        <v>257</v>
      </c>
      <c r="C302" s="15" t="s">
        <v>258</v>
      </c>
      <c r="D302" s="39">
        <v>1.6221620296296297</v>
      </c>
      <c r="E302" s="39">
        <f>434687.7*1.2/1000000</f>
        <v>0.52162523999999999</v>
      </c>
      <c r="F302" s="37" t="s">
        <v>50</v>
      </c>
      <c r="G302" s="39">
        <v>10.949593700000001</v>
      </c>
      <c r="H302" s="39">
        <f t="shared" si="38"/>
        <v>10.949593700000001</v>
      </c>
      <c r="I302" s="39">
        <f t="shared" si="35"/>
        <v>0</v>
      </c>
      <c r="J302" s="39">
        <v>0.40913769999999999</v>
      </c>
      <c r="K302" s="39">
        <v>0</v>
      </c>
      <c r="L302" s="39">
        <v>0</v>
      </c>
      <c r="M302" s="37">
        <v>0</v>
      </c>
      <c r="N302" s="39">
        <v>0</v>
      </c>
      <c r="O302" s="37">
        <v>0</v>
      </c>
      <c r="P302" s="39">
        <v>10.540456000000001</v>
      </c>
      <c r="Q302" s="37" t="s">
        <v>50</v>
      </c>
      <c r="R302" s="37" t="s">
        <v>50</v>
      </c>
      <c r="S302" s="39">
        <f t="shared" si="36"/>
        <v>10.949593700000001</v>
      </c>
      <c r="T302" s="39">
        <f t="shared" si="39"/>
        <v>-0.40913769999999999</v>
      </c>
      <c r="U302" s="40">
        <f t="shared" si="34"/>
        <v>-100</v>
      </c>
      <c r="V302" s="33" t="s">
        <v>741</v>
      </c>
    </row>
    <row r="303" spans="1:22" ht="45" x14ac:dyDescent="0.25">
      <c r="A303" s="48" t="s">
        <v>188</v>
      </c>
      <c r="B303" s="14" t="s">
        <v>401</v>
      </c>
      <c r="C303" s="47" t="s">
        <v>224</v>
      </c>
      <c r="D303" s="39">
        <v>0</v>
      </c>
      <c r="E303" s="39">
        <v>0</v>
      </c>
      <c r="F303" s="37" t="s">
        <v>50</v>
      </c>
      <c r="G303" s="39">
        <v>0</v>
      </c>
      <c r="H303" s="39">
        <f t="shared" si="38"/>
        <v>0</v>
      </c>
      <c r="I303" s="39">
        <f t="shared" si="35"/>
        <v>0.21535507000000001</v>
      </c>
      <c r="J303" s="39">
        <v>0</v>
      </c>
      <c r="K303" s="39">
        <f>215.35507/1000</f>
        <v>0.21535507000000001</v>
      </c>
      <c r="L303" s="39">
        <v>0</v>
      </c>
      <c r="M303" s="37">
        <v>0</v>
      </c>
      <c r="N303" s="39">
        <v>0</v>
      </c>
      <c r="O303" s="37">
        <v>0</v>
      </c>
      <c r="P303" s="39">
        <v>0</v>
      </c>
      <c r="Q303" s="37" t="s">
        <v>50</v>
      </c>
      <c r="R303" s="37" t="s">
        <v>50</v>
      </c>
      <c r="S303" s="39">
        <f t="shared" si="36"/>
        <v>-0.21535507000000001</v>
      </c>
      <c r="T303" s="39">
        <f t="shared" si="39"/>
        <v>0.21535507000000001</v>
      </c>
      <c r="U303" s="40">
        <v>100</v>
      </c>
      <c r="V303" s="32" t="s">
        <v>420</v>
      </c>
    </row>
    <row r="304" spans="1:22" ht="45" x14ac:dyDescent="0.25">
      <c r="A304" s="48" t="s">
        <v>188</v>
      </c>
      <c r="B304" s="14" t="s">
        <v>402</v>
      </c>
      <c r="C304" s="47" t="s">
        <v>226</v>
      </c>
      <c r="D304" s="39">
        <v>0</v>
      </c>
      <c r="E304" s="39">
        <v>0</v>
      </c>
      <c r="F304" s="37" t="s">
        <v>50</v>
      </c>
      <c r="G304" s="39">
        <v>0</v>
      </c>
      <c r="H304" s="39">
        <f t="shared" si="38"/>
        <v>0</v>
      </c>
      <c r="I304" s="39">
        <f t="shared" si="35"/>
        <v>0.15917719999999999</v>
      </c>
      <c r="J304" s="39">
        <v>0</v>
      </c>
      <c r="K304" s="39">
        <f>159.1772/1000</f>
        <v>0.15917719999999999</v>
      </c>
      <c r="L304" s="39">
        <v>0</v>
      </c>
      <c r="M304" s="37">
        <v>0</v>
      </c>
      <c r="N304" s="39">
        <v>0</v>
      </c>
      <c r="O304" s="37">
        <v>0</v>
      </c>
      <c r="P304" s="39">
        <v>0</v>
      </c>
      <c r="Q304" s="37" t="s">
        <v>50</v>
      </c>
      <c r="R304" s="37" t="s">
        <v>50</v>
      </c>
      <c r="S304" s="39">
        <f t="shared" si="36"/>
        <v>-0.15917719999999999</v>
      </c>
      <c r="T304" s="39">
        <f t="shared" si="39"/>
        <v>0.15917719999999999</v>
      </c>
      <c r="U304" s="40">
        <v>100</v>
      </c>
      <c r="V304" s="32" t="s">
        <v>420</v>
      </c>
    </row>
    <row r="305" spans="1:22" ht="45" x14ac:dyDescent="0.25">
      <c r="A305" s="48" t="s">
        <v>188</v>
      </c>
      <c r="B305" s="14" t="s">
        <v>710</v>
      </c>
      <c r="C305" s="47" t="s">
        <v>404</v>
      </c>
      <c r="D305" s="39">
        <v>0</v>
      </c>
      <c r="E305" s="39">
        <v>0</v>
      </c>
      <c r="F305" s="37" t="s">
        <v>50</v>
      </c>
      <c r="G305" s="39">
        <v>0</v>
      </c>
      <c r="H305" s="39">
        <f t="shared" si="38"/>
        <v>0</v>
      </c>
      <c r="I305" s="39">
        <f t="shared" si="35"/>
        <v>0.5025695</v>
      </c>
      <c r="J305" s="39">
        <v>0</v>
      </c>
      <c r="K305" s="39">
        <v>0</v>
      </c>
      <c r="L305" s="39">
        <v>0</v>
      </c>
      <c r="M305" s="37">
        <f>502.5695/1000</f>
        <v>0.5025695</v>
      </c>
      <c r="N305" s="39">
        <v>0</v>
      </c>
      <c r="O305" s="37">
        <v>0</v>
      </c>
      <c r="P305" s="39">
        <v>0</v>
      </c>
      <c r="Q305" s="37" t="s">
        <v>50</v>
      </c>
      <c r="R305" s="37" t="s">
        <v>50</v>
      </c>
      <c r="S305" s="39">
        <f t="shared" si="36"/>
        <v>-0.5025695</v>
      </c>
      <c r="T305" s="39">
        <f t="shared" si="39"/>
        <v>0.5025695</v>
      </c>
      <c r="U305" s="40">
        <v>100</v>
      </c>
      <c r="V305" s="32" t="s">
        <v>420</v>
      </c>
    </row>
    <row r="306" spans="1:22" ht="45" x14ac:dyDescent="0.25">
      <c r="A306" s="48" t="s">
        <v>188</v>
      </c>
      <c r="B306" s="14" t="s">
        <v>405</v>
      </c>
      <c r="C306" s="47" t="s">
        <v>406</v>
      </c>
      <c r="D306" s="39">
        <v>0</v>
      </c>
      <c r="E306" s="39">
        <f>1669838.71*1.2/1000000</f>
        <v>2.0038064519999996</v>
      </c>
      <c r="F306" s="37" t="s">
        <v>50</v>
      </c>
      <c r="G306" s="39">
        <v>0</v>
      </c>
      <c r="H306" s="39">
        <f t="shared" si="38"/>
        <v>0</v>
      </c>
      <c r="I306" s="39">
        <f t="shared" si="35"/>
        <v>2.3693221000000002</v>
      </c>
      <c r="J306" s="39">
        <v>0</v>
      </c>
      <c r="K306" s="39">
        <f>2325.18492/1000</f>
        <v>2.3251849200000003</v>
      </c>
      <c r="L306" s="39">
        <v>0</v>
      </c>
      <c r="M306" s="37">
        <f>44.13718/1000</f>
        <v>4.4137179999999998E-2</v>
      </c>
      <c r="N306" s="39">
        <v>0</v>
      </c>
      <c r="O306" s="37">
        <v>0</v>
      </c>
      <c r="P306" s="39">
        <v>0</v>
      </c>
      <c r="Q306" s="37" t="s">
        <v>50</v>
      </c>
      <c r="R306" s="37" t="s">
        <v>50</v>
      </c>
      <c r="S306" s="39">
        <f t="shared" si="36"/>
        <v>-2.3693221000000002</v>
      </c>
      <c r="T306" s="39">
        <f t="shared" si="39"/>
        <v>2.3693221000000002</v>
      </c>
      <c r="U306" s="40">
        <v>100</v>
      </c>
      <c r="V306" s="32" t="s">
        <v>745</v>
      </c>
    </row>
    <row r="307" spans="1:22" ht="45" x14ac:dyDescent="0.25">
      <c r="A307" s="48" t="s">
        <v>188</v>
      </c>
      <c r="B307" s="14" t="s">
        <v>407</v>
      </c>
      <c r="C307" s="47" t="s">
        <v>408</v>
      </c>
      <c r="D307" s="39">
        <v>0</v>
      </c>
      <c r="E307" s="39">
        <f>1399947.52*1.2/1000000</f>
        <v>1.679937024</v>
      </c>
      <c r="F307" s="37" t="s">
        <v>50</v>
      </c>
      <c r="G307" s="39">
        <v>0</v>
      </c>
      <c r="H307" s="39">
        <f t="shared" si="38"/>
        <v>0</v>
      </c>
      <c r="I307" s="39">
        <f t="shared" si="35"/>
        <v>2.1942462700000003</v>
      </c>
      <c r="J307" s="39">
        <v>0</v>
      </c>
      <c r="K307" s="39">
        <f>2104.78578/1000</f>
        <v>2.1047857800000003</v>
      </c>
      <c r="L307" s="39">
        <v>0</v>
      </c>
      <c r="M307" s="37">
        <f>89.46049/1000</f>
        <v>8.946048999999999E-2</v>
      </c>
      <c r="N307" s="39">
        <v>0</v>
      </c>
      <c r="O307" s="37">
        <v>0</v>
      </c>
      <c r="P307" s="39">
        <v>0</v>
      </c>
      <c r="Q307" s="37" t="s">
        <v>50</v>
      </c>
      <c r="R307" s="37" t="s">
        <v>50</v>
      </c>
      <c r="S307" s="39">
        <f t="shared" si="36"/>
        <v>-2.1942462700000003</v>
      </c>
      <c r="T307" s="39">
        <f t="shared" si="39"/>
        <v>2.1942462700000003</v>
      </c>
      <c r="U307" s="40">
        <v>100</v>
      </c>
      <c r="V307" s="32" t="s">
        <v>746</v>
      </c>
    </row>
    <row r="308" spans="1:22" ht="45" x14ac:dyDescent="0.25">
      <c r="A308" s="54" t="s">
        <v>188</v>
      </c>
      <c r="B308" s="14" t="s">
        <v>603</v>
      </c>
      <c r="C308" s="47" t="s">
        <v>604</v>
      </c>
      <c r="D308" s="39">
        <v>0</v>
      </c>
      <c r="E308" s="39">
        <v>0</v>
      </c>
      <c r="F308" s="37" t="s">
        <v>50</v>
      </c>
      <c r="G308" s="39">
        <v>0</v>
      </c>
      <c r="H308" s="39">
        <f t="shared" si="38"/>
        <v>0</v>
      </c>
      <c r="I308" s="39">
        <f t="shared" si="35"/>
        <v>0.15551553999999998</v>
      </c>
      <c r="J308" s="39">
        <v>0</v>
      </c>
      <c r="K308" s="39">
        <v>0</v>
      </c>
      <c r="L308" s="39">
        <v>0</v>
      </c>
      <c r="M308" s="37">
        <f>155.51554/1000</f>
        <v>0.15551553999999998</v>
      </c>
      <c r="N308" s="39">
        <v>0</v>
      </c>
      <c r="O308" s="37">
        <v>0</v>
      </c>
      <c r="P308" s="39">
        <v>0</v>
      </c>
      <c r="Q308" s="37" t="s">
        <v>50</v>
      </c>
      <c r="R308" s="37" t="s">
        <v>50</v>
      </c>
      <c r="S308" s="39">
        <f t="shared" si="36"/>
        <v>-0.15551553999999998</v>
      </c>
      <c r="T308" s="39">
        <f t="shared" si="39"/>
        <v>0.15551553999999998</v>
      </c>
      <c r="U308" s="40">
        <v>100</v>
      </c>
      <c r="V308" s="32" t="s">
        <v>747</v>
      </c>
    </row>
    <row r="309" spans="1:22" ht="45" x14ac:dyDescent="0.25">
      <c r="A309" s="54" t="s">
        <v>188</v>
      </c>
      <c r="B309" s="14" t="s">
        <v>605</v>
      </c>
      <c r="C309" s="47" t="s">
        <v>606</v>
      </c>
      <c r="D309" s="39">
        <v>0</v>
      </c>
      <c r="E309" s="39">
        <v>0</v>
      </c>
      <c r="F309" s="37" t="s">
        <v>50</v>
      </c>
      <c r="G309" s="39">
        <v>0</v>
      </c>
      <c r="H309" s="39">
        <f t="shared" si="38"/>
        <v>0</v>
      </c>
      <c r="I309" s="39">
        <f t="shared" si="35"/>
        <v>0.10091878</v>
      </c>
      <c r="J309" s="39">
        <v>0</v>
      </c>
      <c r="K309" s="39">
        <v>0</v>
      </c>
      <c r="L309" s="39">
        <v>0</v>
      </c>
      <c r="M309" s="37">
        <f>100.91878/1000</f>
        <v>0.10091878</v>
      </c>
      <c r="N309" s="39">
        <v>0</v>
      </c>
      <c r="O309" s="37">
        <v>0</v>
      </c>
      <c r="P309" s="39">
        <v>0</v>
      </c>
      <c r="Q309" s="37" t="s">
        <v>50</v>
      </c>
      <c r="R309" s="37" t="s">
        <v>50</v>
      </c>
      <c r="S309" s="39">
        <f t="shared" si="36"/>
        <v>-0.10091878</v>
      </c>
      <c r="T309" s="39">
        <f t="shared" si="39"/>
        <v>0.10091878</v>
      </c>
      <c r="U309" s="40">
        <v>100</v>
      </c>
      <c r="V309" s="32" t="s">
        <v>747</v>
      </c>
    </row>
    <row r="310" spans="1:22" ht="45" x14ac:dyDescent="0.25">
      <c r="A310" s="54" t="s">
        <v>188</v>
      </c>
      <c r="B310" s="14" t="s">
        <v>607</v>
      </c>
      <c r="C310" s="47" t="s">
        <v>608</v>
      </c>
      <c r="D310" s="39">
        <v>0</v>
      </c>
      <c r="E310" s="39">
        <v>0</v>
      </c>
      <c r="F310" s="37" t="s">
        <v>50</v>
      </c>
      <c r="G310" s="39">
        <v>0</v>
      </c>
      <c r="H310" s="39">
        <f t="shared" si="38"/>
        <v>0</v>
      </c>
      <c r="I310" s="39">
        <f t="shared" si="35"/>
        <v>0.11427668000000001</v>
      </c>
      <c r="J310" s="39">
        <v>0</v>
      </c>
      <c r="K310" s="39">
        <v>0</v>
      </c>
      <c r="L310" s="39">
        <v>0</v>
      </c>
      <c r="M310" s="37">
        <f>114.27668/1000</f>
        <v>0.11427668000000001</v>
      </c>
      <c r="N310" s="39">
        <v>0</v>
      </c>
      <c r="O310" s="37">
        <v>0</v>
      </c>
      <c r="P310" s="39">
        <v>0</v>
      </c>
      <c r="Q310" s="37" t="s">
        <v>50</v>
      </c>
      <c r="R310" s="37" t="s">
        <v>50</v>
      </c>
      <c r="S310" s="39">
        <f t="shared" si="36"/>
        <v>-0.11427668000000001</v>
      </c>
      <c r="T310" s="39">
        <f t="shared" si="39"/>
        <v>0.11427668000000001</v>
      </c>
      <c r="U310" s="40">
        <v>100</v>
      </c>
      <c r="V310" s="32" t="s">
        <v>747</v>
      </c>
    </row>
    <row r="311" spans="1:22" ht="52.5" customHeight="1" x14ac:dyDescent="0.25">
      <c r="A311" s="54" t="s">
        <v>188</v>
      </c>
      <c r="B311" s="14" t="s">
        <v>711</v>
      </c>
      <c r="C311" s="47" t="s">
        <v>609</v>
      </c>
      <c r="D311" s="39">
        <v>0</v>
      </c>
      <c r="E311" s="39">
        <v>0</v>
      </c>
      <c r="F311" s="37" t="s">
        <v>50</v>
      </c>
      <c r="G311" s="39">
        <v>0</v>
      </c>
      <c r="H311" s="39">
        <f t="shared" si="38"/>
        <v>0</v>
      </c>
      <c r="I311" s="39">
        <f t="shared" si="35"/>
        <v>0.17094988</v>
      </c>
      <c r="J311" s="39">
        <v>0</v>
      </c>
      <c r="K311" s="39">
        <v>0</v>
      </c>
      <c r="L311" s="39">
        <v>0</v>
      </c>
      <c r="M311" s="37">
        <v>0</v>
      </c>
      <c r="N311" s="39">
        <v>0</v>
      </c>
      <c r="O311" s="37">
        <v>0.17094988</v>
      </c>
      <c r="P311" s="39">
        <v>0</v>
      </c>
      <c r="Q311" s="37" t="s">
        <v>50</v>
      </c>
      <c r="R311" s="37" t="s">
        <v>50</v>
      </c>
      <c r="S311" s="39">
        <f t="shared" si="36"/>
        <v>-0.17094988</v>
      </c>
      <c r="T311" s="39">
        <f t="shared" si="39"/>
        <v>0.17094988</v>
      </c>
      <c r="U311" s="40">
        <v>100</v>
      </c>
      <c r="V311" s="32" t="s">
        <v>420</v>
      </c>
    </row>
    <row r="312" spans="1:22" ht="45" x14ac:dyDescent="0.25">
      <c r="A312" s="54" t="s">
        <v>188</v>
      </c>
      <c r="B312" s="14" t="s">
        <v>610</v>
      </c>
      <c r="C312" s="47" t="s">
        <v>611</v>
      </c>
      <c r="D312" s="39">
        <v>0</v>
      </c>
      <c r="E312" s="39">
        <v>0</v>
      </c>
      <c r="F312" s="37" t="s">
        <v>50</v>
      </c>
      <c r="G312" s="39">
        <v>0</v>
      </c>
      <c r="H312" s="39">
        <f t="shared" si="38"/>
        <v>0</v>
      </c>
      <c r="I312" s="39">
        <f t="shared" si="35"/>
        <v>7.6202370000000005E-2</v>
      </c>
      <c r="J312" s="39">
        <v>0</v>
      </c>
      <c r="K312" s="39">
        <v>0</v>
      </c>
      <c r="L312" s="39">
        <v>0</v>
      </c>
      <c r="M312" s="37">
        <f>76.20237/1000</f>
        <v>7.6202370000000005E-2</v>
      </c>
      <c r="N312" s="39">
        <v>0</v>
      </c>
      <c r="O312" s="37">
        <v>0</v>
      </c>
      <c r="P312" s="39">
        <v>0</v>
      </c>
      <c r="Q312" s="37" t="s">
        <v>50</v>
      </c>
      <c r="R312" s="37" t="s">
        <v>50</v>
      </c>
      <c r="S312" s="39">
        <f t="shared" si="36"/>
        <v>-7.6202370000000005E-2</v>
      </c>
      <c r="T312" s="39">
        <f t="shared" si="39"/>
        <v>7.6202370000000005E-2</v>
      </c>
      <c r="U312" s="40">
        <v>100</v>
      </c>
      <c r="V312" s="32" t="s">
        <v>747</v>
      </c>
    </row>
    <row r="313" spans="1:22" ht="45" x14ac:dyDescent="0.25">
      <c r="A313" s="54" t="s">
        <v>188</v>
      </c>
      <c r="B313" s="14" t="s">
        <v>612</v>
      </c>
      <c r="C313" s="47" t="s">
        <v>613</v>
      </c>
      <c r="D313" s="39">
        <v>0</v>
      </c>
      <c r="E313" s="39">
        <v>0</v>
      </c>
      <c r="F313" s="37" t="s">
        <v>50</v>
      </c>
      <c r="G313" s="39">
        <v>0</v>
      </c>
      <c r="H313" s="39">
        <f t="shared" si="38"/>
        <v>0</v>
      </c>
      <c r="I313" s="39">
        <f t="shared" si="35"/>
        <v>2.7083800000000002E-2</v>
      </c>
      <c r="J313" s="39">
        <v>0</v>
      </c>
      <c r="K313" s="39">
        <v>0</v>
      </c>
      <c r="L313" s="39">
        <v>0</v>
      </c>
      <c r="M313" s="37">
        <f>27.0838/1000</f>
        <v>2.7083800000000002E-2</v>
      </c>
      <c r="N313" s="39">
        <v>0</v>
      </c>
      <c r="O313" s="37">
        <v>0</v>
      </c>
      <c r="P313" s="39">
        <v>0</v>
      </c>
      <c r="Q313" s="37" t="s">
        <v>50</v>
      </c>
      <c r="R313" s="37" t="s">
        <v>50</v>
      </c>
      <c r="S313" s="39">
        <f t="shared" si="36"/>
        <v>-2.7083800000000002E-2</v>
      </c>
      <c r="T313" s="39">
        <f t="shared" si="39"/>
        <v>2.7083800000000002E-2</v>
      </c>
      <c r="U313" s="40">
        <v>100</v>
      </c>
      <c r="V313" s="32" t="s">
        <v>747</v>
      </c>
    </row>
    <row r="314" spans="1:22" ht="45" x14ac:dyDescent="0.25">
      <c r="A314" s="54" t="s">
        <v>188</v>
      </c>
      <c r="B314" s="14" t="s">
        <v>614</v>
      </c>
      <c r="C314" s="47" t="s">
        <v>615</v>
      </c>
      <c r="D314" s="39">
        <v>0</v>
      </c>
      <c r="E314" s="39">
        <v>0</v>
      </c>
      <c r="F314" s="37" t="s">
        <v>50</v>
      </c>
      <c r="G314" s="39">
        <v>0</v>
      </c>
      <c r="H314" s="39">
        <f t="shared" si="38"/>
        <v>0</v>
      </c>
      <c r="I314" s="39">
        <f t="shared" si="35"/>
        <v>6.3698100000000001E-3</v>
      </c>
      <c r="J314" s="39">
        <v>0</v>
      </c>
      <c r="K314" s="39">
        <v>0</v>
      </c>
      <c r="L314" s="39">
        <v>0</v>
      </c>
      <c r="M314" s="37">
        <f>6.36981/1000</f>
        <v>6.3698100000000001E-3</v>
      </c>
      <c r="N314" s="39">
        <v>0</v>
      </c>
      <c r="O314" s="37">
        <v>0</v>
      </c>
      <c r="P314" s="39">
        <v>0</v>
      </c>
      <c r="Q314" s="37" t="s">
        <v>50</v>
      </c>
      <c r="R314" s="37" t="s">
        <v>50</v>
      </c>
      <c r="S314" s="39">
        <f t="shared" si="36"/>
        <v>-6.3698100000000001E-3</v>
      </c>
      <c r="T314" s="39">
        <f t="shared" si="39"/>
        <v>6.3698100000000001E-3</v>
      </c>
      <c r="U314" s="40">
        <v>100</v>
      </c>
      <c r="V314" s="32" t="s">
        <v>747</v>
      </c>
    </row>
    <row r="315" spans="1:22" ht="45" x14ac:dyDescent="0.25">
      <c r="A315" s="54" t="s">
        <v>188</v>
      </c>
      <c r="B315" s="14" t="s">
        <v>616</v>
      </c>
      <c r="C315" s="47" t="s">
        <v>617</v>
      </c>
      <c r="D315" s="39">
        <v>0</v>
      </c>
      <c r="E315" s="39">
        <v>0</v>
      </c>
      <c r="F315" s="37" t="s">
        <v>50</v>
      </c>
      <c r="G315" s="39">
        <v>0</v>
      </c>
      <c r="H315" s="39">
        <f t="shared" si="38"/>
        <v>0</v>
      </c>
      <c r="I315" s="39">
        <f t="shared" si="35"/>
        <v>7.233887E-2</v>
      </c>
      <c r="J315" s="39">
        <v>0</v>
      </c>
      <c r="K315" s="39">
        <v>0</v>
      </c>
      <c r="L315" s="39">
        <v>0</v>
      </c>
      <c r="M315" s="37">
        <f>72.33887/1000</f>
        <v>7.233887E-2</v>
      </c>
      <c r="N315" s="39">
        <v>0</v>
      </c>
      <c r="O315" s="37">
        <v>0</v>
      </c>
      <c r="P315" s="39">
        <v>0</v>
      </c>
      <c r="Q315" s="37" t="s">
        <v>50</v>
      </c>
      <c r="R315" s="37" t="s">
        <v>50</v>
      </c>
      <c r="S315" s="39">
        <f t="shared" si="36"/>
        <v>-7.233887E-2</v>
      </c>
      <c r="T315" s="39">
        <f t="shared" si="39"/>
        <v>7.233887E-2</v>
      </c>
      <c r="U315" s="40">
        <v>100</v>
      </c>
      <c r="V315" s="32" t="s">
        <v>420</v>
      </c>
    </row>
    <row r="316" spans="1:22" ht="45" x14ac:dyDescent="0.25">
      <c r="A316" s="54" t="s">
        <v>188</v>
      </c>
      <c r="B316" s="14" t="s">
        <v>618</v>
      </c>
      <c r="C316" s="47" t="s">
        <v>619</v>
      </c>
      <c r="D316" s="39">
        <v>0</v>
      </c>
      <c r="E316" s="39">
        <v>0</v>
      </c>
      <c r="F316" s="37" t="s">
        <v>50</v>
      </c>
      <c r="G316" s="39">
        <v>0</v>
      </c>
      <c r="H316" s="39">
        <f t="shared" si="38"/>
        <v>0</v>
      </c>
      <c r="I316" s="39">
        <f t="shared" si="35"/>
        <v>0.12006351</v>
      </c>
      <c r="J316" s="39">
        <v>0</v>
      </c>
      <c r="K316" s="39">
        <v>0</v>
      </c>
      <c r="L316" s="39">
        <v>0</v>
      </c>
      <c r="M316" s="37">
        <f>120.06351/1000</f>
        <v>0.12006351</v>
      </c>
      <c r="N316" s="39">
        <v>0</v>
      </c>
      <c r="O316" s="37">
        <v>0</v>
      </c>
      <c r="P316" s="39">
        <v>0</v>
      </c>
      <c r="Q316" s="37" t="s">
        <v>50</v>
      </c>
      <c r="R316" s="37" t="s">
        <v>50</v>
      </c>
      <c r="S316" s="39">
        <f t="shared" si="36"/>
        <v>-0.12006351</v>
      </c>
      <c r="T316" s="39">
        <f t="shared" si="39"/>
        <v>0.12006351</v>
      </c>
      <c r="U316" s="40">
        <v>100</v>
      </c>
      <c r="V316" s="32" t="s">
        <v>420</v>
      </c>
    </row>
    <row r="317" spans="1:22" ht="45" x14ac:dyDescent="0.25">
      <c r="A317" s="54" t="s">
        <v>188</v>
      </c>
      <c r="B317" s="14" t="s">
        <v>620</v>
      </c>
      <c r="C317" s="47" t="s">
        <v>621</v>
      </c>
      <c r="D317" s="39">
        <v>0</v>
      </c>
      <c r="E317" s="39">
        <v>0</v>
      </c>
      <c r="F317" s="37" t="s">
        <v>50</v>
      </c>
      <c r="G317" s="39">
        <v>0</v>
      </c>
      <c r="H317" s="39">
        <f t="shared" si="38"/>
        <v>0</v>
      </c>
      <c r="I317" s="39">
        <f t="shared" si="35"/>
        <v>0.19347269</v>
      </c>
      <c r="J317" s="39">
        <v>0</v>
      </c>
      <c r="K317" s="39">
        <v>0</v>
      </c>
      <c r="L317" s="39">
        <v>0</v>
      </c>
      <c r="M317" s="37">
        <f>193.47269/1000</f>
        <v>0.19347269</v>
      </c>
      <c r="N317" s="39">
        <v>0</v>
      </c>
      <c r="O317" s="37">
        <v>0</v>
      </c>
      <c r="P317" s="39">
        <v>0</v>
      </c>
      <c r="Q317" s="37" t="s">
        <v>50</v>
      </c>
      <c r="R317" s="37" t="s">
        <v>50</v>
      </c>
      <c r="S317" s="39">
        <f t="shared" si="36"/>
        <v>-0.19347269</v>
      </c>
      <c r="T317" s="39">
        <f t="shared" si="39"/>
        <v>0.19347269</v>
      </c>
      <c r="U317" s="40">
        <v>100</v>
      </c>
      <c r="V317" s="32" t="s">
        <v>420</v>
      </c>
    </row>
    <row r="318" spans="1:22" ht="45" x14ac:dyDescent="0.25">
      <c r="A318" s="54" t="s">
        <v>188</v>
      </c>
      <c r="B318" s="14" t="s">
        <v>712</v>
      </c>
      <c r="C318" s="47" t="s">
        <v>713</v>
      </c>
      <c r="D318" s="39">
        <v>0</v>
      </c>
      <c r="E318" s="39">
        <v>0</v>
      </c>
      <c r="F318" s="37" t="s">
        <v>50</v>
      </c>
      <c r="G318" s="39">
        <v>0</v>
      </c>
      <c r="H318" s="39">
        <f t="shared" si="38"/>
        <v>0</v>
      </c>
      <c r="I318" s="39">
        <f t="shared" si="35"/>
        <v>0.36422356</v>
      </c>
      <c r="J318" s="39">
        <v>0</v>
      </c>
      <c r="K318" s="39">
        <v>0</v>
      </c>
      <c r="L318" s="39">
        <v>0</v>
      </c>
      <c r="M318" s="37">
        <v>0</v>
      </c>
      <c r="N318" s="39">
        <v>0</v>
      </c>
      <c r="O318" s="37">
        <v>0.36422356</v>
      </c>
      <c r="P318" s="39">
        <v>0</v>
      </c>
      <c r="Q318" s="37" t="s">
        <v>50</v>
      </c>
      <c r="R318" s="37" t="s">
        <v>50</v>
      </c>
      <c r="S318" s="39">
        <f t="shared" si="36"/>
        <v>-0.36422356</v>
      </c>
      <c r="T318" s="39">
        <f t="shared" si="39"/>
        <v>0.36422356</v>
      </c>
      <c r="U318" s="40">
        <v>100</v>
      </c>
      <c r="V318" s="32" t="s">
        <v>420</v>
      </c>
    </row>
    <row r="319" spans="1:22" ht="45" x14ac:dyDescent="0.25">
      <c r="A319" s="54" t="s">
        <v>188</v>
      </c>
      <c r="B319" s="14" t="s">
        <v>714</v>
      </c>
      <c r="C319" s="47" t="s">
        <v>715</v>
      </c>
      <c r="D319" s="39">
        <v>0</v>
      </c>
      <c r="E319" s="39">
        <v>0</v>
      </c>
      <c r="F319" s="37" t="s">
        <v>50</v>
      </c>
      <c r="G319" s="39">
        <v>0</v>
      </c>
      <c r="H319" s="39">
        <f t="shared" si="38"/>
        <v>0</v>
      </c>
      <c r="I319" s="39">
        <f t="shared" si="35"/>
        <v>0.18864391000000003</v>
      </c>
      <c r="J319" s="39">
        <v>0</v>
      </c>
      <c r="K319" s="39">
        <v>0</v>
      </c>
      <c r="L319" s="39">
        <v>0</v>
      </c>
      <c r="M319" s="37">
        <v>0</v>
      </c>
      <c r="N319" s="39">
        <v>0</v>
      </c>
      <c r="O319" s="37">
        <v>0.18864391000000003</v>
      </c>
      <c r="P319" s="39">
        <v>0</v>
      </c>
      <c r="Q319" s="37" t="s">
        <v>50</v>
      </c>
      <c r="R319" s="37" t="s">
        <v>50</v>
      </c>
      <c r="S319" s="39">
        <f t="shared" si="36"/>
        <v>-0.18864391000000003</v>
      </c>
      <c r="T319" s="39">
        <f t="shared" si="39"/>
        <v>0.18864391000000003</v>
      </c>
      <c r="U319" s="40">
        <v>100</v>
      </c>
      <c r="V319" s="32" t="s">
        <v>420</v>
      </c>
    </row>
    <row r="320" spans="1:22" ht="45" x14ac:dyDescent="0.25">
      <c r="A320" s="54" t="s">
        <v>188</v>
      </c>
      <c r="B320" s="14" t="s">
        <v>716</v>
      </c>
      <c r="C320" s="47" t="s">
        <v>717</v>
      </c>
      <c r="D320" s="39">
        <v>0</v>
      </c>
      <c r="E320" s="39">
        <v>0</v>
      </c>
      <c r="F320" s="37" t="s">
        <v>50</v>
      </c>
      <c r="G320" s="39">
        <v>0</v>
      </c>
      <c r="H320" s="39">
        <f t="shared" si="38"/>
        <v>0</v>
      </c>
      <c r="I320" s="39">
        <f t="shared" si="35"/>
        <v>0.17223198000000001</v>
      </c>
      <c r="J320" s="39">
        <v>0</v>
      </c>
      <c r="K320" s="39">
        <v>0</v>
      </c>
      <c r="L320" s="39">
        <v>0</v>
      </c>
      <c r="M320" s="37">
        <v>0</v>
      </c>
      <c r="N320" s="39">
        <v>0</v>
      </c>
      <c r="O320" s="37">
        <v>0.17223198000000001</v>
      </c>
      <c r="P320" s="39">
        <v>0</v>
      </c>
      <c r="Q320" s="37" t="s">
        <v>50</v>
      </c>
      <c r="R320" s="37" t="s">
        <v>50</v>
      </c>
      <c r="S320" s="39">
        <f t="shared" si="36"/>
        <v>-0.17223198000000001</v>
      </c>
      <c r="T320" s="39">
        <f t="shared" si="39"/>
        <v>0.17223198000000001</v>
      </c>
      <c r="U320" s="40">
        <v>100</v>
      </c>
      <c r="V320" s="32" t="s">
        <v>420</v>
      </c>
    </row>
    <row r="321" spans="1:22" ht="57" x14ac:dyDescent="0.25">
      <c r="A321" s="2" t="s">
        <v>259</v>
      </c>
      <c r="B321" s="5" t="s">
        <v>260</v>
      </c>
      <c r="C321" s="6" t="s">
        <v>52</v>
      </c>
      <c r="D321" s="41">
        <v>0</v>
      </c>
      <c r="E321" s="41">
        <v>0</v>
      </c>
      <c r="F321" s="36" t="s">
        <v>50</v>
      </c>
      <c r="G321" s="41">
        <v>0</v>
      </c>
      <c r="H321" s="41">
        <f t="shared" si="38"/>
        <v>0</v>
      </c>
      <c r="I321" s="41">
        <f t="shared" ref="I321:I378" si="40">K321+M321+O321</f>
        <v>0</v>
      </c>
      <c r="J321" s="41">
        <v>0</v>
      </c>
      <c r="K321" s="41">
        <v>0</v>
      </c>
      <c r="L321" s="41">
        <v>0</v>
      </c>
      <c r="M321" s="36">
        <v>0</v>
      </c>
      <c r="N321" s="41">
        <v>0</v>
      </c>
      <c r="O321" s="36">
        <v>0</v>
      </c>
      <c r="P321" s="41">
        <v>0</v>
      </c>
      <c r="Q321" s="36" t="s">
        <v>50</v>
      </c>
      <c r="R321" s="36" t="s">
        <v>50</v>
      </c>
      <c r="S321" s="41">
        <f t="shared" ref="S321:S378" si="41">G321-I321</f>
        <v>0</v>
      </c>
      <c r="T321" s="41">
        <f t="shared" ref="T321:T378" si="42">(K321+M321+O321)-(J321+L321+N321)</f>
        <v>0</v>
      </c>
      <c r="U321" s="29">
        <v>0</v>
      </c>
      <c r="V321" s="30" t="s">
        <v>50</v>
      </c>
    </row>
    <row r="322" spans="1:22" ht="42.75" x14ac:dyDescent="0.25">
      <c r="A322" s="2" t="s">
        <v>30</v>
      </c>
      <c r="B322" s="5" t="s">
        <v>261</v>
      </c>
      <c r="C322" s="6" t="s">
        <v>52</v>
      </c>
      <c r="D322" s="41">
        <v>0</v>
      </c>
      <c r="E322" s="41">
        <v>0</v>
      </c>
      <c r="F322" s="36" t="s">
        <v>50</v>
      </c>
      <c r="G322" s="41">
        <v>0</v>
      </c>
      <c r="H322" s="41">
        <f t="shared" si="38"/>
        <v>0</v>
      </c>
      <c r="I322" s="41">
        <f t="shared" si="40"/>
        <v>0</v>
      </c>
      <c r="J322" s="41">
        <v>0</v>
      </c>
      <c r="K322" s="41">
        <v>0</v>
      </c>
      <c r="L322" s="41">
        <v>0</v>
      </c>
      <c r="M322" s="36">
        <v>0</v>
      </c>
      <c r="N322" s="41">
        <v>0</v>
      </c>
      <c r="O322" s="36">
        <v>0</v>
      </c>
      <c r="P322" s="41">
        <v>0</v>
      </c>
      <c r="Q322" s="36" t="s">
        <v>50</v>
      </c>
      <c r="R322" s="36" t="s">
        <v>50</v>
      </c>
      <c r="S322" s="41">
        <f t="shared" si="41"/>
        <v>0</v>
      </c>
      <c r="T322" s="41">
        <f t="shared" si="42"/>
        <v>0</v>
      </c>
      <c r="U322" s="29">
        <v>0</v>
      </c>
      <c r="V322" s="30" t="s">
        <v>50</v>
      </c>
    </row>
    <row r="323" spans="1:22" ht="42.75" x14ac:dyDescent="0.25">
      <c r="A323" s="2" t="s">
        <v>31</v>
      </c>
      <c r="B323" s="5" t="s">
        <v>262</v>
      </c>
      <c r="C323" s="6" t="s">
        <v>52</v>
      </c>
      <c r="D323" s="41">
        <v>0</v>
      </c>
      <c r="E323" s="41">
        <v>0</v>
      </c>
      <c r="F323" s="36" t="s">
        <v>50</v>
      </c>
      <c r="G323" s="41">
        <v>0</v>
      </c>
      <c r="H323" s="41">
        <f t="shared" si="38"/>
        <v>0</v>
      </c>
      <c r="I323" s="41">
        <f t="shared" si="40"/>
        <v>0</v>
      </c>
      <c r="J323" s="41">
        <v>0</v>
      </c>
      <c r="K323" s="41">
        <v>0</v>
      </c>
      <c r="L323" s="41">
        <v>0</v>
      </c>
      <c r="M323" s="36">
        <v>0</v>
      </c>
      <c r="N323" s="41">
        <v>0</v>
      </c>
      <c r="O323" s="36">
        <v>0</v>
      </c>
      <c r="P323" s="41">
        <v>0</v>
      </c>
      <c r="Q323" s="36" t="s">
        <v>50</v>
      </c>
      <c r="R323" s="36" t="s">
        <v>50</v>
      </c>
      <c r="S323" s="41">
        <f t="shared" si="41"/>
        <v>0</v>
      </c>
      <c r="T323" s="41">
        <f t="shared" si="42"/>
        <v>0</v>
      </c>
      <c r="U323" s="29">
        <v>0</v>
      </c>
      <c r="V323" s="30" t="s">
        <v>50</v>
      </c>
    </row>
    <row r="324" spans="1:22" ht="42.75" x14ac:dyDescent="0.25">
      <c r="A324" s="2" t="s">
        <v>32</v>
      </c>
      <c r="B324" s="5" t="s">
        <v>263</v>
      </c>
      <c r="C324" s="6" t="s">
        <v>52</v>
      </c>
      <c r="D324" s="41">
        <v>0</v>
      </c>
      <c r="E324" s="41">
        <v>0</v>
      </c>
      <c r="F324" s="36" t="s">
        <v>50</v>
      </c>
      <c r="G324" s="41">
        <v>0</v>
      </c>
      <c r="H324" s="41">
        <f t="shared" si="38"/>
        <v>0</v>
      </c>
      <c r="I324" s="41">
        <f t="shared" si="40"/>
        <v>0</v>
      </c>
      <c r="J324" s="41">
        <v>0</v>
      </c>
      <c r="K324" s="41">
        <v>0</v>
      </c>
      <c r="L324" s="41">
        <v>0</v>
      </c>
      <c r="M324" s="36">
        <v>0</v>
      </c>
      <c r="N324" s="41">
        <v>0</v>
      </c>
      <c r="O324" s="36">
        <v>0</v>
      </c>
      <c r="P324" s="41">
        <v>0</v>
      </c>
      <c r="Q324" s="36" t="s">
        <v>50</v>
      </c>
      <c r="R324" s="36" t="s">
        <v>50</v>
      </c>
      <c r="S324" s="41">
        <f t="shared" si="41"/>
        <v>0</v>
      </c>
      <c r="T324" s="41">
        <f t="shared" si="42"/>
        <v>0</v>
      </c>
      <c r="U324" s="29">
        <v>0</v>
      </c>
      <c r="V324" s="30" t="s">
        <v>50</v>
      </c>
    </row>
    <row r="325" spans="1:22" ht="42.75" x14ac:dyDescent="0.25">
      <c r="A325" s="2" t="s">
        <v>33</v>
      </c>
      <c r="B325" s="5" t="s">
        <v>264</v>
      </c>
      <c r="C325" s="6" t="s">
        <v>52</v>
      </c>
      <c r="D325" s="41">
        <v>0</v>
      </c>
      <c r="E325" s="41">
        <v>0</v>
      </c>
      <c r="F325" s="36" t="s">
        <v>50</v>
      </c>
      <c r="G325" s="41">
        <v>0</v>
      </c>
      <c r="H325" s="41">
        <f t="shared" si="38"/>
        <v>0</v>
      </c>
      <c r="I325" s="41">
        <f t="shared" si="40"/>
        <v>0</v>
      </c>
      <c r="J325" s="41">
        <v>0</v>
      </c>
      <c r="K325" s="41">
        <v>0</v>
      </c>
      <c r="L325" s="41">
        <v>0</v>
      </c>
      <c r="M325" s="36">
        <v>0</v>
      </c>
      <c r="N325" s="41">
        <v>0</v>
      </c>
      <c r="O325" s="36">
        <v>0</v>
      </c>
      <c r="P325" s="41">
        <v>0</v>
      </c>
      <c r="Q325" s="36" t="s">
        <v>50</v>
      </c>
      <c r="R325" s="36" t="s">
        <v>50</v>
      </c>
      <c r="S325" s="41">
        <f t="shared" si="41"/>
        <v>0</v>
      </c>
      <c r="T325" s="41">
        <f t="shared" si="42"/>
        <v>0</v>
      </c>
      <c r="U325" s="29">
        <v>0</v>
      </c>
      <c r="V325" s="30" t="s">
        <v>50</v>
      </c>
    </row>
    <row r="326" spans="1:22" ht="42.75" x14ac:dyDescent="0.25">
      <c r="A326" s="2" t="s">
        <v>34</v>
      </c>
      <c r="B326" s="5" t="s">
        <v>265</v>
      </c>
      <c r="C326" s="6" t="s">
        <v>52</v>
      </c>
      <c r="D326" s="41">
        <v>0</v>
      </c>
      <c r="E326" s="41">
        <v>0</v>
      </c>
      <c r="F326" s="36" t="s">
        <v>50</v>
      </c>
      <c r="G326" s="41">
        <v>0</v>
      </c>
      <c r="H326" s="41">
        <f t="shared" si="38"/>
        <v>0</v>
      </c>
      <c r="I326" s="41">
        <f t="shared" si="40"/>
        <v>0</v>
      </c>
      <c r="J326" s="41">
        <v>0</v>
      </c>
      <c r="K326" s="41">
        <v>0</v>
      </c>
      <c r="L326" s="41">
        <v>0</v>
      </c>
      <c r="M326" s="36">
        <v>0</v>
      </c>
      <c r="N326" s="41">
        <v>0</v>
      </c>
      <c r="O326" s="36">
        <v>0</v>
      </c>
      <c r="P326" s="41">
        <v>0</v>
      </c>
      <c r="Q326" s="36" t="s">
        <v>50</v>
      </c>
      <c r="R326" s="36" t="s">
        <v>50</v>
      </c>
      <c r="S326" s="41">
        <f t="shared" si="41"/>
        <v>0</v>
      </c>
      <c r="T326" s="41">
        <f t="shared" si="42"/>
        <v>0</v>
      </c>
      <c r="U326" s="29">
        <v>0</v>
      </c>
      <c r="V326" s="30" t="s">
        <v>50</v>
      </c>
    </row>
    <row r="327" spans="1:22" ht="57" x14ac:dyDescent="0.25">
      <c r="A327" s="2" t="s">
        <v>35</v>
      </c>
      <c r="B327" s="5" t="s">
        <v>266</v>
      </c>
      <c r="C327" s="6" t="s">
        <v>52</v>
      </c>
      <c r="D327" s="41">
        <v>0</v>
      </c>
      <c r="E327" s="41">
        <v>0</v>
      </c>
      <c r="F327" s="36" t="s">
        <v>50</v>
      </c>
      <c r="G327" s="41">
        <v>0</v>
      </c>
      <c r="H327" s="41">
        <f t="shared" si="38"/>
        <v>0</v>
      </c>
      <c r="I327" s="41">
        <f t="shared" si="40"/>
        <v>0</v>
      </c>
      <c r="J327" s="41">
        <v>0</v>
      </c>
      <c r="K327" s="41">
        <v>0</v>
      </c>
      <c r="L327" s="41">
        <v>0</v>
      </c>
      <c r="M327" s="36">
        <v>0</v>
      </c>
      <c r="N327" s="41">
        <v>0</v>
      </c>
      <c r="O327" s="36">
        <v>0</v>
      </c>
      <c r="P327" s="41">
        <v>0</v>
      </c>
      <c r="Q327" s="36" t="s">
        <v>50</v>
      </c>
      <c r="R327" s="36" t="s">
        <v>50</v>
      </c>
      <c r="S327" s="41">
        <f t="shared" si="41"/>
        <v>0</v>
      </c>
      <c r="T327" s="41">
        <f t="shared" si="42"/>
        <v>0</v>
      </c>
      <c r="U327" s="29">
        <v>0</v>
      </c>
      <c r="V327" s="30" t="s">
        <v>50</v>
      </c>
    </row>
    <row r="328" spans="1:22" ht="57" x14ac:dyDescent="0.25">
      <c r="A328" s="2" t="s">
        <v>36</v>
      </c>
      <c r="B328" s="5" t="s">
        <v>267</v>
      </c>
      <c r="C328" s="6" t="s">
        <v>52</v>
      </c>
      <c r="D328" s="41">
        <v>0</v>
      </c>
      <c r="E328" s="41">
        <v>0</v>
      </c>
      <c r="F328" s="36" t="s">
        <v>50</v>
      </c>
      <c r="G328" s="41">
        <v>0</v>
      </c>
      <c r="H328" s="41">
        <f t="shared" si="38"/>
        <v>0</v>
      </c>
      <c r="I328" s="41">
        <f t="shared" si="40"/>
        <v>0</v>
      </c>
      <c r="J328" s="41">
        <v>0</v>
      </c>
      <c r="K328" s="41">
        <v>0</v>
      </c>
      <c r="L328" s="41">
        <v>0</v>
      </c>
      <c r="M328" s="36">
        <v>0</v>
      </c>
      <c r="N328" s="41">
        <v>0</v>
      </c>
      <c r="O328" s="36">
        <v>0</v>
      </c>
      <c r="P328" s="41">
        <v>0</v>
      </c>
      <c r="Q328" s="36" t="s">
        <v>50</v>
      </c>
      <c r="R328" s="36" t="s">
        <v>50</v>
      </c>
      <c r="S328" s="41">
        <f t="shared" si="41"/>
        <v>0</v>
      </c>
      <c r="T328" s="41">
        <f t="shared" si="42"/>
        <v>0</v>
      </c>
      <c r="U328" s="29">
        <v>0</v>
      </c>
      <c r="V328" s="30" t="s">
        <v>50</v>
      </c>
    </row>
    <row r="329" spans="1:22" ht="57" x14ac:dyDescent="0.25">
      <c r="A329" s="2" t="s">
        <v>37</v>
      </c>
      <c r="B329" s="5" t="s">
        <v>268</v>
      </c>
      <c r="C329" s="6" t="s">
        <v>52</v>
      </c>
      <c r="D329" s="41">
        <v>0</v>
      </c>
      <c r="E329" s="41">
        <v>0</v>
      </c>
      <c r="F329" s="36" t="s">
        <v>50</v>
      </c>
      <c r="G329" s="41">
        <v>0</v>
      </c>
      <c r="H329" s="41">
        <f t="shared" si="38"/>
        <v>0</v>
      </c>
      <c r="I329" s="41">
        <f t="shared" si="40"/>
        <v>0</v>
      </c>
      <c r="J329" s="41">
        <v>0</v>
      </c>
      <c r="K329" s="41">
        <v>0</v>
      </c>
      <c r="L329" s="41">
        <v>0</v>
      </c>
      <c r="M329" s="36">
        <v>0</v>
      </c>
      <c r="N329" s="41">
        <v>0</v>
      </c>
      <c r="O329" s="36">
        <v>0</v>
      </c>
      <c r="P329" s="41">
        <v>0</v>
      </c>
      <c r="Q329" s="36" t="s">
        <v>50</v>
      </c>
      <c r="R329" s="36" t="s">
        <v>50</v>
      </c>
      <c r="S329" s="41">
        <f t="shared" si="41"/>
        <v>0</v>
      </c>
      <c r="T329" s="41">
        <f t="shared" si="42"/>
        <v>0</v>
      </c>
      <c r="U329" s="29">
        <v>0</v>
      </c>
      <c r="V329" s="30" t="s">
        <v>50</v>
      </c>
    </row>
    <row r="330" spans="1:22" ht="57" x14ac:dyDescent="0.25">
      <c r="A330" s="2" t="s">
        <v>269</v>
      </c>
      <c r="B330" s="5" t="s">
        <v>270</v>
      </c>
      <c r="C330" s="6" t="s">
        <v>52</v>
      </c>
      <c r="D330" s="41">
        <v>0</v>
      </c>
      <c r="E330" s="41">
        <v>0</v>
      </c>
      <c r="F330" s="36" t="s">
        <v>50</v>
      </c>
      <c r="G330" s="41">
        <v>0</v>
      </c>
      <c r="H330" s="41">
        <f t="shared" si="38"/>
        <v>0</v>
      </c>
      <c r="I330" s="41">
        <f t="shared" si="40"/>
        <v>0</v>
      </c>
      <c r="J330" s="41">
        <v>0</v>
      </c>
      <c r="K330" s="41">
        <v>0</v>
      </c>
      <c r="L330" s="41">
        <v>0</v>
      </c>
      <c r="M330" s="36">
        <v>0</v>
      </c>
      <c r="N330" s="41">
        <v>0</v>
      </c>
      <c r="O330" s="36">
        <v>0</v>
      </c>
      <c r="P330" s="41">
        <v>0</v>
      </c>
      <c r="Q330" s="36" t="s">
        <v>50</v>
      </c>
      <c r="R330" s="36" t="s">
        <v>50</v>
      </c>
      <c r="S330" s="41">
        <f t="shared" si="41"/>
        <v>0</v>
      </c>
      <c r="T330" s="41">
        <f t="shared" si="42"/>
        <v>0</v>
      </c>
      <c r="U330" s="29">
        <v>0</v>
      </c>
      <c r="V330" s="30" t="s">
        <v>50</v>
      </c>
    </row>
    <row r="331" spans="1:22" ht="57" x14ac:dyDescent="0.25">
      <c r="A331" s="2" t="s">
        <v>271</v>
      </c>
      <c r="B331" s="5" t="s">
        <v>272</v>
      </c>
      <c r="C331" s="6" t="s">
        <v>52</v>
      </c>
      <c r="D331" s="41">
        <v>0</v>
      </c>
      <c r="E331" s="41">
        <v>0</v>
      </c>
      <c r="F331" s="36" t="s">
        <v>50</v>
      </c>
      <c r="G331" s="41">
        <v>16.731524740000001</v>
      </c>
      <c r="H331" s="41">
        <f t="shared" si="38"/>
        <v>16.731524740000001</v>
      </c>
      <c r="I331" s="41">
        <f t="shared" si="40"/>
        <v>0</v>
      </c>
      <c r="J331" s="41">
        <v>0.58259816999999992</v>
      </c>
      <c r="K331" s="41">
        <v>0</v>
      </c>
      <c r="L331" s="41">
        <v>9.2198265699999986</v>
      </c>
      <c r="M331" s="36">
        <v>0</v>
      </c>
      <c r="N331" s="41">
        <v>6.9291000000000009</v>
      </c>
      <c r="O331" s="36">
        <v>0</v>
      </c>
      <c r="P331" s="41">
        <v>0</v>
      </c>
      <c r="Q331" s="36" t="s">
        <v>50</v>
      </c>
      <c r="R331" s="36" t="s">
        <v>50</v>
      </c>
      <c r="S331" s="41">
        <f t="shared" si="41"/>
        <v>16.731524740000001</v>
      </c>
      <c r="T331" s="41">
        <f t="shared" si="42"/>
        <v>-16.731524740000001</v>
      </c>
      <c r="U331" s="29">
        <f t="shared" ref="U331:U362" si="43">(K331+M331+O331)/(J331+L331+N331)*100-100</f>
        <v>-100</v>
      </c>
      <c r="V331" s="30" t="s">
        <v>50</v>
      </c>
    </row>
    <row r="332" spans="1:22" ht="42.75" x14ac:dyDescent="0.25">
      <c r="A332" s="2" t="s">
        <v>273</v>
      </c>
      <c r="B332" s="5" t="s">
        <v>274</v>
      </c>
      <c r="C332" s="6" t="s">
        <v>52</v>
      </c>
      <c r="D332" s="41">
        <v>0</v>
      </c>
      <c r="E332" s="41">
        <v>0</v>
      </c>
      <c r="F332" s="36" t="s">
        <v>50</v>
      </c>
      <c r="G332" s="41">
        <v>0</v>
      </c>
      <c r="H332" s="41">
        <f t="shared" si="38"/>
        <v>0</v>
      </c>
      <c r="I332" s="41">
        <f t="shared" si="40"/>
        <v>0</v>
      </c>
      <c r="J332" s="41">
        <v>0</v>
      </c>
      <c r="K332" s="41">
        <v>0</v>
      </c>
      <c r="L332" s="41">
        <v>0</v>
      </c>
      <c r="M332" s="36">
        <v>0</v>
      </c>
      <c r="N332" s="41">
        <v>0</v>
      </c>
      <c r="O332" s="36">
        <v>0</v>
      </c>
      <c r="P332" s="41">
        <v>0</v>
      </c>
      <c r="Q332" s="36" t="s">
        <v>50</v>
      </c>
      <c r="R332" s="36" t="s">
        <v>50</v>
      </c>
      <c r="S332" s="41">
        <f t="shared" si="41"/>
        <v>0</v>
      </c>
      <c r="T332" s="41">
        <f t="shared" si="42"/>
        <v>0</v>
      </c>
      <c r="U332" s="29">
        <v>0</v>
      </c>
      <c r="V332" s="30" t="s">
        <v>50</v>
      </c>
    </row>
    <row r="333" spans="1:22" ht="57" x14ac:dyDescent="0.25">
      <c r="A333" s="2" t="s">
        <v>275</v>
      </c>
      <c r="B333" s="5" t="s">
        <v>276</v>
      </c>
      <c r="C333" s="6" t="s">
        <v>52</v>
      </c>
      <c r="D333" s="41">
        <v>0.15210833333333335</v>
      </c>
      <c r="E333" s="41">
        <f>SUM(E334:E336)</f>
        <v>0</v>
      </c>
      <c r="F333" s="36" t="s">
        <v>50</v>
      </c>
      <c r="G333" s="41">
        <v>9.8024247399999993</v>
      </c>
      <c r="H333" s="41">
        <f t="shared" si="38"/>
        <v>9.8024247399999993</v>
      </c>
      <c r="I333" s="41">
        <f t="shared" si="40"/>
        <v>0</v>
      </c>
      <c r="J333" s="41">
        <v>0.58259816999999992</v>
      </c>
      <c r="K333" s="41">
        <f>SUM(K334:K336)</f>
        <v>0</v>
      </c>
      <c r="L333" s="41">
        <v>9.2198265699999986</v>
      </c>
      <c r="M333" s="36">
        <f>SUM(M334:M336)</f>
        <v>0</v>
      </c>
      <c r="N333" s="41">
        <f>N334+N335+N336</f>
        <v>0</v>
      </c>
      <c r="O333" s="36">
        <f>SUM(O334:O336)</f>
        <v>0</v>
      </c>
      <c r="P333" s="41">
        <v>0</v>
      </c>
      <c r="Q333" s="36" t="s">
        <v>50</v>
      </c>
      <c r="R333" s="36" t="s">
        <v>50</v>
      </c>
      <c r="S333" s="41">
        <f t="shared" si="41"/>
        <v>9.8024247399999993</v>
      </c>
      <c r="T333" s="41">
        <f t="shared" si="42"/>
        <v>-9.8024247399999993</v>
      </c>
      <c r="U333" s="29">
        <f t="shared" si="43"/>
        <v>-100</v>
      </c>
      <c r="V333" s="30" t="s">
        <v>50</v>
      </c>
    </row>
    <row r="334" spans="1:22" ht="45" x14ac:dyDescent="0.25">
      <c r="A334" s="13" t="s">
        <v>275</v>
      </c>
      <c r="B334" s="23" t="s">
        <v>277</v>
      </c>
      <c r="C334" s="24" t="s">
        <v>278</v>
      </c>
      <c r="D334" s="39">
        <v>0</v>
      </c>
      <c r="E334" s="39">
        <v>0</v>
      </c>
      <c r="F334" s="37" t="s">
        <v>50</v>
      </c>
      <c r="G334" s="39">
        <v>9.2198265699999986</v>
      </c>
      <c r="H334" s="39">
        <f t="shared" si="38"/>
        <v>9.2198265699999986</v>
      </c>
      <c r="I334" s="39">
        <f t="shared" si="40"/>
        <v>0</v>
      </c>
      <c r="J334" s="39">
        <v>0</v>
      </c>
      <c r="K334" s="39">
        <v>0</v>
      </c>
      <c r="L334" s="39">
        <v>9.2198265699999986</v>
      </c>
      <c r="M334" s="37">
        <v>0</v>
      </c>
      <c r="N334" s="39">
        <v>0</v>
      </c>
      <c r="O334" s="37">
        <v>0</v>
      </c>
      <c r="P334" s="39">
        <v>0</v>
      </c>
      <c r="Q334" s="37" t="s">
        <v>50</v>
      </c>
      <c r="R334" s="37" t="s">
        <v>50</v>
      </c>
      <c r="S334" s="39">
        <f t="shared" si="41"/>
        <v>9.2198265699999986</v>
      </c>
      <c r="T334" s="39">
        <f t="shared" si="42"/>
        <v>-9.2198265699999986</v>
      </c>
      <c r="U334" s="40">
        <f t="shared" si="43"/>
        <v>-100</v>
      </c>
      <c r="V334" s="33" t="s">
        <v>767</v>
      </c>
    </row>
    <row r="335" spans="1:22" ht="30" x14ac:dyDescent="0.25">
      <c r="A335" s="13" t="s">
        <v>275</v>
      </c>
      <c r="B335" s="23" t="s">
        <v>279</v>
      </c>
      <c r="C335" s="24" t="s">
        <v>280</v>
      </c>
      <c r="D335" s="39">
        <v>6.3966666666666672E-2</v>
      </c>
      <c r="E335" s="39">
        <v>0</v>
      </c>
      <c r="F335" s="37" t="s">
        <v>50</v>
      </c>
      <c r="G335" s="39">
        <v>0.245</v>
      </c>
      <c r="H335" s="39">
        <f t="shared" si="38"/>
        <v>0.245</v>
      </c>
      <c r="I335" s="39">
        <f t="shared" si="40"/>
        <v>0</v>
      </c>
      <c r="J335" s="39">
        <v>0.245</v>
      </c>
      <c r="K335" s="39">
        <v>0</v>
      </c>
      <c r="L335" s="39">
        <v>0</v>
      </c>
      <c r="M335" s="37">
        <v>0</v>
      </c>
      <c r="N335" s="39">
        <v>0</v>
      </c>
      <c r="O335" s="37">
        <v>0</v>
      </c>
      <c r="P335" s="39">
        <v>0</v>
      </c>
      <c r="Q335" s="37" t="s">
        <v>50</v>
      </c>
      <c r="R335" s="37" t="s">
        <v>50</v>
      </c>
      <c r="S335" s="39">
        <f t="shared" si="41"/>
        <v>0.245</v>
      </c>
      <c r="T335" s="39">
        <f t="shared" si="42"/>
        <v>-0.245</v>
      </c>
      <c r="U335" s="40">
        <f t="shared" si="43"/>
        <v>-100</v>
      </c>
      <c r="V335" s="33" t="s">
        <v>748</v>
      </c>
    </row>
    <row r="336" spans="1:22" ht="30" x14ac:dyDescent="0.25">
      <c r="A336" s="13" t="s">
        <v>275</v>
      </c>
      <c r="B336" s="23" t="s">
        <v>281</v>
      </c>
      <c r="C336" s="24" t="s">
        <v>282</v>
      </c>
      <c r="D336" s="39">
        <v>8.8141666666666674E-2</v>
      </c>
      <c r="E336" s="39">
        <v>0</v>
      </c>
      <c r="F336" s="37" t="s">
        <v>50</v>
      </c>
      <c r="G336" s="39">
        <v>0.33759816999999998</v>
      </c>
      <c r="H336" s="39">
        <f t="shared" si="38"/>
        <v>0.33759816999999998</v>
      </c>
      <c r="I336" s="39">
        <f t="shared" si="40"/>
        <v>0</v>
      </c>
      <c r="J336" s="39">
        <v>0.33759816999999998</v>
      </c>
      <c r="K336" s="39">
        <v>0</v>
      </c>
      <c r="L336" s="39">
        <v>0</v>
      </c>
      <c r="M336" s="37">
        <v>0</v>
      </c>
      <c r="N336" s="39">
        <v>0</v>
      </c>
      <c r="O336" s="37">
        <v>0</v>
      </c>
      <c r="P336" s="39">
        <v>0</v>
      </c>
      <c r="Q336" s="37" t="s">
        <v>50</v>
      </c>
      <c r="R336" s="37" t="s">
        <v>50</v>
      </c>
      <c r="S336" s="39">
        <f t="shared" si="41"/>
        <v>0.33759816999999998</v>
      </c>
      <c r="T336" s="39">
        <f t="shared" si="42"/>
        <v>-0.33759816999999998</v>
      </c>
      <c r="U336" s="40">
        <f t="shared" si="43"/>
        <v>-100</v>
      </c>
      <c r="V336" s="33" t="s">
        <v>748</v>
      </c>
    </row>
    <row r="337" spans="1:22" ht="85.5" x14ac:dyDescent="0.25">
      <c r="A337" s="2" t="s">
        <v>38</v>
      </c>
      <c r="B337" s="5" t="s">
        <v>283</v>
      </c>
      <c r="C337" s="6" t="s">
        <v>52</v>
      </c>
      <c r="D337" s="41">
        <v>0</v>
      </c>
      <c r="E337" s="41">
        <v>0</v>
      </c>
      <c r="F337" s="36" t="s">
        <v>50</v>
      </c>
      <c r="G337" s="41">
        <v>0</v>
      </c>
      <c r="H337" s="41">
        <f t="shared" ref="H337:H387" si="44">J337+L337+N337+P337</f>
        <v>0</v>
      </c>
      <c r="I337" s="41">
        <f t="shared" si="40"/>
        <v>0</v>
      </c>
      <c r="J337" s="41">
        <v>0</v>
      </c>
      <c r="K337" s="41">
        <v>0</v>
      </c>
      <c r="L337" s="41">
        <v>0</v>
      </c>
      <c r="M337" s="36">
        <v>0</v>
      </c>
      <c r="N337" s="41">
        <v>0</v>
      </c>
      <c r="O337" s="36">
        <v>0</v>
      </c>
      <c r="P337" s="41">
        <v>0</v>
      </c>
      <c r="Q337" s="36" t="s">
        <v>50</v>
      </c>
      <c r="R337" s="36" t="s">
        <v>50</v>
      </c>
      <c r="S337" s="41">
        <f t="shared" si="41"/>
        <v>0</v>
      </c>
      <c r="T337" s="41">
        <f t="shared" si="42"/>
        <v>0</v>
      </c>
      <c r="U337" s="29">
        <v>0</v>
      </c>
      <c r="V337" s="30" t="s">
        <v>50</v>
      </c>
    </row>
    <row r="338" spans="1:22" ht="71.25" x14ac:dyDescent="0.25">
      <c r="A338" s="2" t="s">
        <v>284</v>
      </c>
      <c r="B338" s="5" t="s">
        <v>285</v>
      </c>
      <c r="C338" s="6" t="s">
        <v>52</v>
      </c>
      <c r="D338" s="41">
        <v>0</v>
      </c>
      <c r="E338" s="41">
        <v>0</v>
      </c>
      <c r="F338" s="36" t="s">
        <v>50</v>
      </c>
      <c r="G338" s="41">
        <v>0</v>
      </c>
      <c r="H338" s="41">
        <f t="shared" si="44"/>
        <v>0</v>
      </c>
      <c r="I338" s="41">
        <f t="shared" si="40"/>
        <v>0</v>
      </c>
      <c r="J338" s="41">
        <v>0</v>
      </c>
      <c r="K338" s="41">
        <v>0</v>
      </c>
      <c r="L338" s="41">
        <v>0</v>
      </c>
      <c r="M338" s="36">
        <v>0</v>
      </c>
      <c r="N338" s="41">
        <v>0</v>
      </c>
      <c r="O338" s="36">
        <v>0</v>
      </c>
      <c r="P338" s="41">
        <v>0</v>
      </c>
      <c r="Q338" s="36" t="s">
        <v>50</v>
      </c>
      <c r="R338" s="36" t="s">
        <v>50</v>
      </c>
      <c r="S338" s="41">
        <f t="shared" si="41"/>
        <v>0</v>
      </c>
      <c r="T338" s="41">
        <f t="shared" si="42"/>
        <v>0</v>
      </c>
      <c r="U338" s="29">
        <v>0</v>
      </c>
      <c r="V338" s="30" t="s">
        <v>50</v>
      </c>
    </row>
    <row r="339" spans="1:22" ht="71.25" x14ac:dyDescent="0.25">
      <c r="A339" s="2" t="s">
        <v>286</v>
      </c>
      <c r="B339" s="5" t="s">
        <v>287</v>
      </c>
      <c r="C339" s="6" t="s">
        <v>52</v>
      </c>
      <c r="D339" s="41">
        <v>0</v>
      </c>
      <c r="E339" s="41">
        <v>0</v>
      </c>
      <c r="F339" s="36" t="s">
        <v>50</v>
      </c>
      <c r="G339" s="41">
        <v>0</v>
      </c>
      <c r="H339" s="41">
        <f t="shared" si="44"/>
        <v>0</v>
      </c>
      <c r="I339" s="41">
        <f t="shared" si="40"/>
        <v>0</v>
      </c>
      <c r="J339" s="41">
        <v>0</v>
      </c>
      <c r="K339" s="41">
        <v>0</v>
      </c>
      <c r="L339" s="41">
        <v>0</v>
      </c>
      <c r="M339" s="36">
        <v>0</v>
      </c>
      <c r="N339" s="41">
        <v>0</v>
      </c>
      <c r="O339" s="36">
        <v>0</v>
      </c>
      <c r="P339" s="41">
        <v>0</v>
      </c>
      <c r="Q339" s="36" t="s">
        <v>50</v>
      </c>
      <c r="R339" s="36" t="s">
        <v>50</v>
      </c>
      <c r="S339" s="41">
        <f t="shared" si="41"/>
        <v>0</v>
      </c>
      <c r="T339" s="41">
        <f t="shared" si="42"/>
        <v>0</v>
      </c>
      <c r="U339" s="29">
        <v>0</v>
      </c>
      <c r="V339" s="30" t="s">
        <v>50</v>
      </c>
    </row>
    <row r="340" spans="1:22" ht="42.75" x14ac:dyDescent="0.25">
      <c r="A340" s="2" t="s">
        <v>39</v>
      </c>
      <c r="B340" s="5" t="s">
        <v>288</v>
      </c>
      <c r="C340" s="6" t="s">
        <v>52</v>
      </c>
      <c r="D340" s="41">
        <v>3.7325568633156565</v>
      </c>
      <c r="E340" s="41">
        <f>SUM(E341:E365)</f>
        <v>1.1462098439999999</v>
      </c>
      <c r="F340" s="36" t="s">
        <v>50</v>
      </c>
      <c r="G340" s="41">
        <v>24.219407979544428</v>
      </c>
      <c r="H340" s="41">
        <f t="shared" si="44"/>
        <v>24.219407979544428</v>
      </c>
      <c r="I340" s="41">
        <f t="shared" si="40"/>
        <v>6.1136198400000001</v>
      </c>
      <c r="J340" s="41">
        <f>SUM(J341:J380)</f>
        <v>1.4124602974576277</v>
      </c>
      <c r="K340" s="41">
        <f t="shared" ref="K340" si="45">SUM(K341:K365)</f>
        <v>0.86449767</v>
      </c>
      <c r="L340" s="41">
        <f>SUM(L341:L380)</f>
        <v>4.3464498694915248</v>
      </c>
      <c r="M340" s="41">
        <f>SUM(M341:M380)</f>
        <v>2.8603621400000003</v>
      </c>
      <c r="N340" s="41">
        <f>SUM(N341:N380)</f>
        <v>15.021621629491531</v>
      </c>
      <c r="O340" s="36">
        <f>SUM(O341:O380)</f>
        <v>2.3887600300000003</v>
      </c>
      <c r="P340" s="41">
        <f>SUM(P341:P380)</f>
        <v>3.4388761831037424</v>
      </c>
      <c r="Q340" s="36" t="s">
        <v>50</v>
      </c>
      <c r="R340" s="36" t="s">
        <v>50</v>
      </c>
      <c r="S340" s="41">
        <f t="shared" si="41"/>
        <v>18.10578813954443</v>
      </c>
      <c r="T340" s="41">
        <f t="shared" si="42"/>
        <v>-14.666911956440684</v>
      </c>
      <c r="U340" s="29">
        <f t="shared" si="43"/>
        <v>-70.580060703513141</v>
      </c>
      <c r="V340" s="30" t="s">
        <v>50</v>
      </c>
    </row>
    <row r="341" spans="1:22" ht="30" x14ac:dyDescent="0.25">
      <c r="A341" s="10" t="s">
        <v>39</v>
      </c>
      <c r="B341" s="11" t="s">
        <v>522</v>
      </c>
      <c r="C341" s="43" t="s">
        <v>523</v>
      </c>
      <c r="D341" s="39">
        <v>0</v>
      </c>
      <c r="E341" s="39">
        <f>15117*1.2/1000000</f>
        <v>1.8140399999999997E-2</v>
      </c>
      <c r="F341" s="37" t="s">
        <v>50</v>
      </c>
      <c r="G341" s="39">
        <v>0</v>
      </c>
      <c r="H341" s="39">
        <f t="shared" si="44"/>
        <v>0</v>
      </c>
      <c r="I341" s="39">
        <f t="shared" si="40"/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7">
        <v>0</v>
      </c>
      <c r="P341" s="39">
        <v>0</v>
      </c>
      <c r="Q341" s="37" t="s">
        <v>50</v>
      </c>
      <c r="R341" s="37" t="s">
        <v>50</v>
      </c>
      <c r="S341" s="39">
        <f t="shared" si="41"/>
        <v>0</v>
      </c>
      <c r="T341" s="39">
        <f t="shared" si="42"/>
        <v>0</v>
      </c>
      <c r="U341" s="40">
        <v>0</v>
      </c>
      <c r="V341" s="38" t="s">
        <v>50</v>
      </c>
    </row>
    <row r="342" spans="1:22" ht="45" x14ac:dyDescent="0.25">
      <c r="A342" s="10" t="s">
        <v>39</v>
      </c>
      <c r="B342" s="11" t="s">
        <v>524</v>
      </c>
      <c r="C342" s="43" t="s">
        <v>525</v>
      </c>
      <c r="D342" s="39">
        <v>0</v>
      </c>
      <c r="E342" s="39">
        <f>299495.2*1.2/1000000</f>
        <v>0.35939423999999998</v>
      </c>
      <c r="F342" s="37" t="s">
        <v>50</v>
      </c>
      <c r="G342" s="39">
        <v>0</v>
      </c>
      <c r="H342" s="39">
        <f t="shared" si="44"/>
        <v>0</v>
      </c>
      <c r="I342" s="39">
        <f t="shared" si="40"/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7">
        <v>0</v>
      </c>
      <c r="P342" s="39">
        <v>0</v>
      </c>
      <c r="Q342" s="37" t="s">
        <v>50</v>
      </c>
      <c r="R342" s="37" t="s">
        <v>50</v>
      </c>
      <c r="S342" s="39">
        <f t="shared" si="41"/>
        <v>0</v>
      </c>
      <c r="T342" s="39">
        <f t="shared" si="42"/>
        <v>0</v>
      </c>
      <c r="U342" s="40">
        <v>0</v>
      </c>
      <c r="V342" s="38" t="s">
        <v>50</v>
      </c>
    </row>
    <row r="343" spans="1:22" ht="45" x14ac:dyDescent="0.25">
      <c r="A343" s="10" t="s">
        <v>39</v>
      </c>
      <c r="B343" s="11" t="s">
        <v>526</v>
      </c>
      <c r="C343" s="43" t="s">
        <v>527</v>
      </c>
      <c r="D343" s="39">
        <v>0</v>
      </c>
      <c r="E343" s="39">
        <f>15577*1.2/1000000</f>
        <v>1.8692399999999998E-2</v>
      </c>
      <c r="F343" s="37" t="s">
        <v>50</v>
      </c>
      <c r="G343" s="39">
        <v>0</v>
      </c>
      <c r="H343" s="39">
        <f t="shared" si="44"/>
        <v>0</v>
      </c>
      <c r="I343" s="39">
        <f t="shared" si="40"/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7">
        <v>0</v>
      </c>
      <c r="P343" s="39">
        <v>0</v>
      </c>
      <c r="Q343" s="37" t="s">
        <v>50</v>
      </c>
      <c r="R343" s="37" t="s">
        <v>50</v>
      </c>
      <c r="S343" s="39">
        <f t="shared" si="41"/>
        <v>0</v>
      </c>
      <c r="T343" s="39">
        <f t="shared" si="42"/>
        <v>0</v>
      </c>
      <c r="U343" s="40">
        <v>0</v>
      </c>
      <c r="V343" s="38" t="s">
        <v>50</v>
      </c>
    </row>
    <row r="344" spans="1:22" ht="30" x14ac:dyDescent="0.25">
      <c r="A344" s="10" t="s">
        <v>39</v>
      </c>
      <c r="B344" s="11" t="s">
        <v>528</v>
      </c>
      <c r="C344" s="43" t="s">
        <v>529</v>
      </c>
      <c r="D344" s="39">
        <v>0</v>
      </c>
      <c r="E344" s="39">
        <f>45913.89*1.2/1000000</f>
        <v>5.5096667999999994E-2</v>
      </c>
      <c r="F344" s="37" t="s">
        <v>50</v>
      </c>
      <c r="G344" s="39">
        <v>0</v>
      </c>
      <c r="H344" s="39">
        <f t="shared" si="44"/>
        <v>0</v>
      </c>
      <c r="I344" s="39">
        <f t="shared" si="40"/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7">
        <v>0</v>
      </c>
      <c r="P344" s="39">
        <v>0</v>
      </c>
      <c r="Q344" s="37" t="s">
        <v>50</v>
      </c>
      <c r="R344" s="37" t="s">
        <v>50</v>
      </c>
      <c r="S344" s="39">
        <f t="shared" si="41"/>
        <v>0</v>
      </c>
      <c r="T344" s="39">
        <f t="shared" si="42"/>
        <v>0</v>
      </c>
      <c r="U344" s="40">
        <v>0</v>
      </c>
      <c r="V344" s="38" t="s">
        <v>50</v>
      </c>
    </row>
    <row r="345" spans="1:22" ht="30" x14ac:dyDescent="0.25">
      <c r="A345" s="10" t="s">
        <v>39</v>
      </c>
      <c r="B345" s="11" t="s">
        <v>530</v>
      </c>
      <c r="C345" s="43" t="s">
        <v>531</v>
      </c>
      <c r="D345" s="39">
        <v>0</v>
      </c>
      <c r="E345" s="39">
        <f>11023*1.2/1000000</f>
        <v>1.3227600000000001E-2</v>
      </c>
      <c r="F345" s="37" t="s">
        <v>50</v>
      </c>
      <c r="G345" s="39">
        <v>0</v>
      </c>
      <c r="H345" s="39">
        <f t="shared" si="44"/>
        <v>0</v>
      </c>
      <c r="I345" s="39">
        <f t="shared" si="40"/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7">
        <v>0</v>
      </c>
      <c r="P345" s="39">
        <v>0</v>
      </c>
      <c r="Q345" s="37" t="s">
        <v>50</v>
      </c>
      <c r="R345" s="37" t="s">
        <v>50</v>
      </c>
      <c r="S345" s="39">
        <f t="shared" si="41"/>
        <v>0</v>
      </c>
      <c r="T345" s="39">
        <f t="shared" si="42"/>
        <v>0</v>
      </c>
      <c r="U345" s="40">
        <v>0</v>
      </c>
      <c r="V345" s="38" t="s">
        <v>50</v>
      </c>
    </row>
    <row r="346" spans="1:22" ht="30" x14ac:dyDescent="0.25">
      <c r="A346" s="10" t="s">
        <v>39</v>
      </c>
      <c r="B346" s="11" t="s">
        <v>532</v>
      </c>
      <c r="C346" s="43" t="s">
        <v>533</v>
      </c>
      <c r="D346" s="39">
        <v>0</v>
      </c>
      <c r="E346" s="39">
        <f>47925.03*1.2/1000000</f>
        <v>5.7510036E-2</v>
      </c>
      <c r="F346" s="37" t="s">
        <v>50</v>
      </c>
      <c r="G346" s="39">
        <v>0</v>
      </c>
      <c r="H346" s="39">
        <f t="shared" si="44"/>
        <v>0</v>
      </c>
      <c r="I346" s="39">
        <f t="shared" si="40"/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7">
        <v>0</v>
      </c>
      <c r="P346" s="39">
        <v>0</v>
      </c>
      <c r="Q346" s="37" t="s">
        <v>50</v>
      </c>
      <c r="R346" s="37" t="s">
        <v>50</v>
      </c>
      <c r="S346" s="39">
        <f t="shared" si="41"/>
        <v>0</v>
      </c>
      <c r="T346" s="39">
        <f t="shared" si="42"/>
        <v>0</v>
      </c>
      <c r="U346" s="40">
        <v>0</v>
      </c>
      <c r="V346" s="38" t="s">
        <v>50</v>
      </c>
    </row>
    <row r="347" spans="1:22" ht="30" x14ac:dyDescent="0.25">
      <c r="A347" s="10" t="s">
        <v>39</v>
      </c>
      <c r="B347" s="11" t="s">
        <v>534</v>
      </c>
      <c r="C347" s="43" t="s">
        <v>535</v>
      </c>
      <c r="D347" s="39">
        <v>0</v>
      </c>
      <c r="E347" s="39">
        <f>295043.83*1.2/1000000</f>
        <v>0.354052596</v>
      </c>
      <c r="F347" s="37" t="s">
        <v>50</v>
      </c>
      <c r="G347" s="39">
        <v>0</v>
      </c>
      <c r="H347" s="39">
        <f t="shared" si="44"/>
        <v>0</v>
      </c>
      <c r="I347" s="39">
        <f t="shared" si="40"/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7">
        <v>0</v>
      </c>
      <c r="P347" s="39">
        <v>0</v>
      </c>
      <c r="Q347" s="37" t="s">
        <v>50</v>
      </c>
      <c r="R347" s="37" t="s">
        <v>50</v>
      </c>
      <c r="S347" s="39">
        <f t="shared" si="41"/>
        <v>0</v>
      </c>
      <c r="T347" s="39">
        <f t="shared" si="42"/>
        <v>0</v>
      </c>
      <c r="U347" s="40">
        <v>0</v>
      </c>
      <c r="V347" s="38" t="s">
        <v>50</v>
      </c>
    </row>
    <row r="348" spans="1:22" ht="65.25" customHeight="1" x14ac:dyDescent="0.25">
      <c r="A348" s="13" t="s">
        <v>39</v>
      </c>
      <c r="B348" s="23" t="s">
        <v>289</v>
      </c>
      <c r="C348" s="24" t="s">
        <v>290</v>
      </c>
      <c r="D348" s="39">
        <v>0.31346441658315544</v>
      </c>
      <c r="E348" s="39">
        <f>17872*1.2/1000000</f>
        <v>2.1446399999999997E-2</v>
      </c>
      <c r="F348" s="37" t="s">
        <v>50</v>
      </c>
      <c r="G348" s="39">
        <v>2.4387531610169488</v>
      </c>
      <c r="H348" s="39">
        <f t="shared" si="44"/>
        <v>2.4387531610169488</v>
      </c>
      <c r="I348" s="39">
        <f t="shared" si="40"/>
        <v>0</v>
      </c>
      <c r="J348" s="39">
        <v>0.17262134745762714</v>
      </c>
      <c r="K348" s="39">
        <v>0</v>
      </c>
      <c r="L348" s="39">
        <v>0</v>
      </c>
      <c r="M348" s="37">
        <v>0</v>
      </c>
      <c r="N348" s="39">
        <v>2.2661318135593218</v>
      </c>
      <c r="O348" s="37">
        <v>0</v>
      </c>
      <c r="P348" s="39">
        <v>0</v>
      </c>
      <c r="Q348" s="37" t="s">
        <v>50</v>
      </c>
      <c r="R348" s="37" t="s">
        <v>50</v>
      </c>
      <c r="S348" s="39">
        <f t="shared" si="41"/>
        <v>2.4387531610169488</v>
      </c>
      <c r="T348" s="39">
        <f t="shared" si="42"/>
        <v>-2.4387531610169488</v>
      </c>
      <c r="U348" s="40">
        <f t="shared" si="43"/>
        <v>-100</v>
      </c>
      <c r="V348" s="33" t="s">
        <v>749</v>
      </c>
    </row>
    <row r="349" spans="1:22" ht="65.25" customHeight="1" x14ac:dyDescent="0.25">
      <c r="A349" s="13" t="s">
        <v>39</v>
      </c>
      <c r="B349" s="23" t="s">
        <v>291</v>
      </c>
      <c r="C349" s="24" t="s">
        <v>292</v>
      </c>
      <c r="D349" s="39">
        <v>0.27663518637532131</v>
      </c>
      <c r="E349" s="39">
        <f>16862*1.2/1000000</f>
        <v>2.0234399999999996E-2</v>
      </c>
      <c r="F349" s="37" t="s">
        <v>50</v>
      </c>
      <c r="G349" s="39">
        <v>2.1522217499999998</v>
      </c>
      <c r="H349" s="39">
        <f t="shared" si="44"/>
        <v>2.1522217499999998</v>
      </c>
      <c r="I349" s="39">
        <f t="shared" si="40"/>
        <v>0</v>
      </c>
      <c r="J349" s="39">
        <v>0.14216605000000002</v>
      </c>
      <c r="K349" s="39">
        <v>0</v>
      </c>
      <c r="L349" s="39">
        <v>2.0100556999999997</v>
      </c>
      <c r="M349" s="37">
        <v>0</v>
      </c>
      <c r="N349" s="39">
        <v>0</v>
      </c>
      <c r="O349" s="37">
        <v>0</v>
      </c>
      <c r="P349" s="39">
        <v>0</v>
      </c>
      <c r="Q349" s="37" t="s">
        <v>50</v>
      </c>
      <c r="R349" s="37" t="s">
        <v>50</v>
      </c>
      <c r="S349" s="39">
        <f t="shared" si="41"/>
        <v>2.1522217499999998</v>
      </c>
      <c r="T349" s="39">
        <f t="shared" si="42"/>
        <v>-2.1522217499999998</v>
      </c>
      <c r="U349" s="40">
        <f t="shared" si="43"/>
        <v>-100</v>
      </c>
      <c r="V349" s="33" t="s">
        <v>749</v>
      </c>
    </row>
    <row r="350" spans="1:22" ht="75" x14ac:dyDescent="0.25">
      <c r="A350" s="13" t="s">
        <v>39</v>
      </c>
      <c r="B350" s="23" t="s">
        <v>293</v>
      </c>
      <c r="C350" s="24" t="s">
        <v>294</v>
      </c>
      <c r="D350" s="39">
        <v>0.35732157840616963</v>
      </c>
      <c r="E350" s="39">
        <f>19947*1.2/1000000</f>
        <v>2.3936399999999997E-2</v>
      </c>
      <c r="F350" s="37" t="s">
        <v>50</v>
      </c>
      <c r="G350" s="39">
        <v>2.7799618799999997</v>
      </c>
      <c r="H350" s="39">
        <f t="shared" si="44"/>
        <v>2.7799618799999997</v>
      </c>
      <c r="I350" s="39">
        <f t="shared" si="40"/>
        <v>0</v>
      </c>
      <c r="J350" s="39">
        <v>0.24657788</v>
      </c>
      <c r="K350" s="39">
        <v>0</v>
      </c>
      <c r="L350" s="39">
        <v>0</v>
      </c>
      <c r="M350" s="37">
        <v>0</v>
      </c>
      <c r="N350" s="39">
        <v>2.5333839999999999</v>
      </c>
      <c r="O350" s="37">
        <v>0</v>
      </c>
      <c r="P350" s="39">
        <v>0</v>
      </c>
      <c r="Q350" s="37" t="s">
        <v>50</v>
      </c>
      <c r="R350" s="37" t="s">
        <v>50</v>
      </c>
      <c r="S350" s="39">
        <f t="shared" si="41"/>
        <v>2.7799618799999997</v>
      </c>
      <c r="T350" s="39">
        <f t="shared" si="42"/>
        <v>-2.7799618799999997</v>
      </c>
      <c r="U350" s="40">
        <f t="shared" si="43"/>
        <v>-100</v>
      </c>
      <c r="V350" s="33" t="s">
        <v>749</v>
      </c>
    </row>
    <row r="351" spans="1:22" ht="30" x14ac:dyDescent="0.25">
      <c r="A351" s="13" t="s">
        <v>39</v>
      </c>
      <c r="B351" s="23" t="s">
        <v>295</v>
      </c>
      <c r="C351" s="24" t="s">
        <v>296</v>
      </c>
      <c r="D351" s="39">
        <v>0.17817867731253542</v>
      </c>
      <c r="E351" s="39">
        <f>15096*1.2/1000000</f>
        <v>1.8115200000000001E-2</v>
      </c>
      <c r="F351" s="37" t="s">
        <v>50</v>
      </c>
      <c r="G351" s="39">
        <v>1.3862301094915255</v>
      </c>
      <c r="H351" s="39">
        <f t="shared" si="44"/>
        <v>1.3862301094915255</v>
      </c>
      <c r="I351" s="39">
        <f t="shared" si="40"/>
        <v>0</v>
      </c>
      <c r="J351" s="39">
        <v>3.771294E-2</v>
      </c>
      <c r="K351" s="39">
        <v>0</v>
      </c>
      <c r="L351" s="39">
        <v>1.3485171694915254</v>
      </c>
      <c r="M351" s="37">
        <v>0</v>
      </c>
      <c r="N351" s="39">
        <v>0</v>
      </c>
      <c r="O351" s="37">
        <v>0</v>
      </c>
      <c r="P351" s="39">
        <v>0</v>
      </c>
      <c r="Q351" s="37" t="s">
        <v>50</v>
      </c>
      <c r="R351" s="37" t="s">
        <v>50</v>
      </c>
      <c r="S351" s="39">
        <f t="shared" si="41"/>
        <v>1.3862301094915255</v>
      </c>
      <c r="T351" s="39">
        <f t="shared" si="42"/>
        <v>-1.3862301094915255</v>
      </c>
      <c r="U351" s="40">
        <f t="shared" si="43"/>
        <v>-100</v>
      </c>
      <c r="V351" s="33" t="s">
        <v>750</v>
      </c>
    </row>
    <row r="352" spans="1:22" ht="45" x14ac:dyDescent="0.25">
      <c r="A352" s="13" t="s">
        <v>39</v>
      </c>
      <c r="B352" s="23" t="s">
        <v>297</v>
      </c>
      <c r="C352" s="24" t="s">
        <v>298</v>
      </c>
      <c r="D352" s="39">
        <v>0.2220814549692828</v>
      </c>
      <c r="E352" s="39">
        <f>16777.46*1.2/1000000</f>
        <v>2.0132951999999999E-2</v>
      </c>
      <c r="F352" s="37" t="s">
        <v>50</v>
      </c>
      <c r="G352" s="39">
        <v>1.72779371966102</v>
      </c>
      <c r="H352" s="39">
        <f t="shared" si="44"/>
        <v>1.72779371966102</v>
      </c>
      <c r="I352" s="39">
        <f t="shared" si="40"/>
        <v>0</v>
      </c>
      <c r="J352" s="39">
        <v>3.771294E-2</v>
      </c>
      <c r="K352" s="39">
        <v>0</v>
      </c>
      <c r="L352" s="39">
        <v>0</v>
      </c>
      <c r="M352" s="37">
        <v>0</v>
      </c>
      <c r="N352" s="39">
        <v>1.69008077966102</v>
      </c>
      <c r="O352" s="37">
        <v>0</v>
      </c>
      <c r="P352" s="39">
        <v>0</v>
      </c>
      <c r="Q352" s="37" t="s">
        <v>50</v>
      </c>
      <c r="R352" s="37" t="s">
        <v>50</v>
      </c>
      <c r="S352" s="39">
        <f t="shared" si="41"/>
        <v>1.72779371966102</v>
      </c>
      <c r="T352" s="39">
        <f t="shared" si="42"/>
        <v>-1.72779371966102</v>
      </c>
      <c r="U352" s="40">
        <f t="shared" si="43"/>
        <v>-100</v>
      </c>
      <c r="V352" s="33" t="s">
        <v>751</v>
      </c>
    </row>
    <row r="353" spans="1:22" ht="45" x14ac:dyDescent="0.25">
      <c r="A353" s="13" t="s">
        <v>39</v>
      </c>
      <c r="B353" s="23" t="s">
        <v>299</v>
      </c>
      <c r="C353" s="24" t="s">
        <v>300</v>
      </c>
      <c r="D353" s="39">
        <v>0.17163212160690164</v>
      </c>
      <c r="E353" s="39">
        <f>14822*1.2/1000000</f>
        <v>1.7786399999999997E-2</v>
      </c>
      <c r="F353" s="37" t="s">
        <v>50</v>
      </c>
      <c r="G353" s="39">
        <v>1.335297906101695</v>
      </c>
      <c r="H353" s="39">
        <f t="shared" si="44"/>
        <v>1.335297906101695</v>
      </c>
      <c r="I353" s="39">
        <f t="shared" si="40"/>
        <v>0</v>
      </c>
      <c r="J353" s="39">
        <v>3.771294E-2</v>
      </c>
      <c r="K353" s="39">
        <v>0</v>
      </c>
      <c r="L353" s="39">
        <v>0</v>
      </c>
      <c r="M353" s="37">
        <v>0</v>
      </c>
      <c r="N353" s="39">
        <v>1.2975849661016949</v>
      </c>
      <c r="O353" s="37">
        <v>0</v>
      </c>
      <c r="P353" s="39">
        <v>0</v>
      </c>
      <c r="Q353" s="37" t="s">
        <v>50</v>
      </c>
      <c r="R353" s="37" t="s">
        <v>50</v>
      </c>
      <c r="S353" s="39">
        <f t="shared" si="41"/>
        <v>1.335297906101695</v>
      </c>
      <c r="T353" s="39">
        <f t="shared" si="42"/>
        <v>-1.335297906101695</v>
      </c>
      <c r="U353" s="40">
        <f t="shared" si="43"/>
        <v>-100</v>
      </c>
      <c r="V353" s="33" t="s">
        <v>749</v>
      </c>
    </row>
    <row r="354" spans="1:22" ht="45" x14ac:dyDescent="0.25">
      <c r="A354" s="13" t="s">
        <v>39</v>
      </c>
      <c r="B354" s="23" t="s">
        <v>301</v>
      </c>
      <c r="C354" s="24" t="s">
        <v>302</v>
      </c>
      <c r="D354" s="39">
        <v>0.40895994087403598</v>
      </c>
      <c r="E354" s="39">
        <f>15223*1.2/1000000</f>
        <v>1.8267599999999998E-2</v>
      </c>
      <c r="F354" s="37" t="s">
        <v>50</v>
      </c>
      <c r="G354" s="39">
        <v>3.1817083400000001</v>
      </c>
      <c r="H354" s="39">
        <f t="shared" si="44"/>
        <v>3.1817083400000001</v>
      </c>
      <c r="I354" s="39">
        <f t="shared" si="40"/>
        <v>0</v>
      </c>
      <c r="J354" s="39">
        <v>0.12022588000000001</v>
      </c>
      <c r="K354" s="39">
        <v>0</v>
      </c>
      <c r="L354" s="39">
        <v>0</v>
      </c>
      <c r="M354" s="37">
        <v>0</v>
      </c>
      <c r="N354" s="39">
        <v>3.0614824600000001</v>
      </c>
      <c r="O354" s="37">
        <v>0</v>
      </c>
      <c r="P354" s="39">
        <v>0</v>
      </c>
      <c r="Q354" s="37" t="s">
        <v>50</v>
      </c>
      <c r="R354" s="37" t="s">
        <v>50</v>
      </c>
      <c r="S354" s="39">
        <f t="shared" si="41"/>
        <v>3.1817083400000001</v>
      </c>
      <c r="T354" s="39">
        <f t="shared" si="42"/>
        <v>-3.1817083400000001</v>
      </c>
      <c r="U354" s="40">
        <f t="shared" si="43"/>
        <v>-100</v>
      </c>
      <c r="V354" s="33" t="s">
        <v>749</v>
      </c>
    </row>
    <row r="355" spans="1:22" ht="45" x14ac:dyDescent="0.25">
      <c r="A355" s="13" t="s">
        <v>39</v>
      </c>
      <c r="B355" s="23" t="s">
        <v>303</v>
      </c>
      <c r="C355" s="24" t="s">
        <v>304</v>
      </c>
      <c r="D355" s="39">
        <v>9.5635580366868547E-2</v>
      </c>
      <c r="E355" s="39">
        <v>0</v>
      </c>
      <c r="F355" s="37" t="s">
        <v>50</v>
      </c>
      <c r="G355" s="39">
        <v>0.74404481525423749</v>
      </c>
      <c r="H355" s="39">
        <f t="shared" si="44"/>
        <v>0.74404481525423749</v>
      </c>
      <c r="I355" s="39">
        <f t="shared" si="40"/>
        <v>0.18891775000000002</v>
      </c>
      <c r="J355" s="39">
        <v>3.5712900000000006E-2</v>
      </c>
      <c r="K355" s="39">
        <v>0</v>
      </c>
      <c r="L355" s="39">
        <v>0</v>
      </c>
      <c r="M355" s="37">
        <v>0.18891775000000002</v>
      </c>
      <c r="N355" s="39">
        <v>0.70833191525423744</v>
      </c>
      <c r="O355" s="37">
        <v>0</v>
      </c>
      <c r="P355" s="39">
        <v>0</v>
      </c>
      <c r="Q355" s="37" t="s">
        <v>50</v>
      </c>
      <c r="R355" s="37" t="s">
        <v>50</v>
      </c>
      <c r="S355" s="39">
        <f t="shared" si="41"/>
        <v>0.5551270652542375</v>
      </c>
      <c r="T355" s="39">
        <f t="shared" si="42"/>
        <v>-0.5551270652542375</v>
      </c>
      <c r="U355" s="40">
        <f t="shared" si="43"/>
        <v>-74.609358720489496</v>
      </c>
      <c r="V355" s="33" t="s">
        <v>752</v>
      </c>
    </row>
    <row r="356" spans="1:22" ht="30" x14ac:dyDescent="0.25">
      <c r="A356" s="13" t="s">
        <v>39</v>
      </c>
      <c r="B356" s="23" t="s">
        <v>305</v>
      </c>
      <c r="C356" s="24" t="s">
        <v>306</v>
      </c>
      <c r="D356" s="39">
        <v>9.5635580366868547E-2</v>
      </c>
      <c r="E356" s="39">
        <f>15223*1.2/1000000</f>
        <v>1.8267599999999998E-2</v>
      </c>
      <c r="F356" s="37" t="s">
        <v>50</v>
      </c>
      <c r="G356" s="39">
        <v>0.74404481525423749</v>
      </c>
      <c r="H356" s="39">
        <f t="shared" si="44"/>
        <v>0.74404481525423749</v>
      </c>
      <c r="I356" s="39">
        <f t="shared" si="40"/>
        <v>0.58702223000000009</v>
      </c>
      <c r="J356" s="39">
        <v>3.5712900000000006E-2</v>
      </c>
      <c r="K356" s="39">
        <v>0</v>
      </c>
      <c r="L356" s="39">
        <v>0</v>
      </c>
      <c r="M356" s="37">
        <v>0</v>
      </c>
      <c r="N356" s="39">
        <v>0.70833191525423744</v>
      </c>
      <c r="O356" s="37">
        <v>0.58702223000000009</v>
      </c>
      <c r="P356" s="39">
        <v>0</v>
      </c>
      <c r="Q356" s="37" t="s">
        <v>50</v>
      </c>
      <c r="R356" s="37" t="s">
        <v>50</v>
      </c>
      <c r="S356" s="39">
        <f t="shared" si="41"/>
        <v>0.1570225852542374</v>
      </c>
      <c r="T356" s="39">
        <f t="shared" si="42"/>
        <v>-0.1570225852542374</v>
      </c>
      <c r="U356" s="40">
        <f t="shared" si="43"/>
        <v>-21.103914984016569</v>
      </c>
      <c r="V356" s="33" t="s">
        <v>764</v>
      </c>
    </row>
    <row r="357" spans="1:22" ht="30" x14ac:dyDescent="0.25">
      <c r="A357" s="13" t="s">
        <v>39</v>
      </c>
      <c r="B357" s="23" t="s">
        <v>307</v>
      </c>
      <c r="C357" s="24" t="s">
        <v>308</v>
      </c>
      <c r="D357" s="39">
        <v>9.5635580366868547E-2</v>
      </c>
      <c r="E357" s="39">
        <f>15055*1.2/1000000</f>
        <v>1.8065999999999999E-2</v>
      </c>
      <c r="F357" s="37" t="s">
        <v>50</v>
      </c>
      <c r="G357" s="39">
        <v>0.74404481525423749</v>
      </c>
      <c r="H357" s="39">
        <f t="shared" si="44"/>
        <v>0.74404481525423749</v>
      </c>
      <c r="I357" s="39">
        <f t="shared" si="40"/>
        <v>0.93499367</v>
      </c>
      <c r="J357" s="39">
        <v>3.5712900000000006E-2</v>
      </c>
      <c r="K357" s="39">
        <v>0</v>
      </c>
      <c r="L357" s="39">
        <v>0</v>
      </c>
      <c r="M357" s="37">
        <v>0</v>
      </c>
      <c r="N357" s="39">
        <v>0.70833191525423744</v>
      </c>
      <c r="O357" s="37">
        <v>0.93499367</v>
      </c>
      <c r="P357" s="39">
        <v>0</v>
      </c>
      <c r="Q357" s="37" t="s">
        <v>50</v>
      </c>
      <c r="R357" s="37" t="s">
        <v>50</v>
      </c>
      <c r="S357" s="39">
        <f t="shared" si="41"/>
        <v>-0.19094885474576251</v>
      </c>
      <c r="T357" s="39">
        <f t="shared" si="42"/>
        <v>0.19094885474576251</v>
      </c>
      <c r="U357" s="40">
        <f t="shared" si="43"/>
        <v>25.663622786016731</v>
      </c>
      <c r="V357" s="33" t="s">
        <v>765</v>
      </c>
    </row>
    <row r="358" spans="1:22" ht="30" x14ac:dyDescent="0.25">
      <c r="A358" s="13" t="s">
        <v>39</v>
      </c>
      <c r="B358" s="23" t="s">
        <v>309</v>
      </c>
      <c r="C358" s="24" t="s">
        <v>310</v>
      </c>
      <c r="D358" s="39">
        <v>0.11875537253278726</v>
      </c>
      <c r="E358" s="39">
        <f>15202*1.2/1000000</f>
        <v>1.8242399999999999E-2</v>
      </c>
      <c r="F358" s="37" t="s">
        <v>50</v>
      </c>
      <c r="G358" s="39">
        <v>0.92391679830508489</v>
      </c>
      <c r="H358" s="39">
        <f t="shared" si="44"/>
        <v>0.92391679830508489</v>
      </c>
      <c r="I358" s="39">
        <f t="shared" si="40"/>
        <v>0.71852953000000008</v>
      </c>
      <c r="J358" s="39">
        <v>3.5712900000000006E-2</v>
      </c>
      <c r="K358" s="39">
        <v>0</v>
      </c>
      <c r="L358" s="39">
        <v>0</v>
      </c>
      <c r="M358" s="37">
        <v>0</v>
      </c>
      <c r="N358" s="39">
        <v>0.88820389830508484</v>
      </c>
      <c r="O358" s="37">
        <v>0.71852953000000008</v>
      </c>
      <c r="P358" s="39">
        <v>0</v>
      </c>
      <c r="Q358" s="37" t="s">
        <v>50</v>
      </c>
      <c r="R358" s="37" t="s">
        <v>50</v>
      </c>
      <c r="S358" s="39">
        <f t="shared" si="41"/>
        <v>0.2053872683050848</v>
      </c>
      <c r="T358" s="39">
        <f t="shared" si="42"/>
        <v>-0.2053872683050848</v>
      </c>
      <c r="U358" s="40">
        <f t="shared" si="43"/>
        <v>-22.230061048988986</v>
      </c>
      <c r="V358" s="33" t="s">
        <v>764</v>
      </c>
    </row>
    <row r="359" spans="1:22" ht="45" x14ac:dyDescent="0.25">
      <c r="A359" s="13" t="s">
        <v>39</v>
      </c>
      <c r="B359" s="23" t="s">
        <v>311</v>
      </c>
      <c r="C359" s="24" t="s">
        <v>312</v>
      </c>
      <c r="D359" s="39">
        <v>0.54582070179948583</v>
      </c>
      <c r="E359" s="39">
        <f>17915*1.2/1000000</f>
        <v>2.1498E-2</v>
      </c>
      <c r="F359" s="37" t="s">
        <v>50</v>
      </c>
      <c r="G359" s="39">
        <v>0</v>
      </c>
      <c r="H359" s="39">
        <f t="shared" si="44"/>
        <v>0</v>
      </c>
      <c r="I359" s="39">
        <f t="shared" si="40"/>
        <v>0</v>
      </c>
      <c r="J359" s="39">
        <v>0</v>
      </c>
      <c r="K359" s="39">
        <v>0</v>
      </c>
      <c r="L359" s="39">
        <v>0</v>
      </c>
      <c r="M359" s="37">
        <v>0</v>
      </c>
      <c r="N359" s="39">
        <v>0</v>
      </c>
      <c r="O359" s="37">
        <v>0</v>
      </c>
      <c r="P359" s="39">
        <v>0</v>
      </c>
      <c r="Q359" s="37" t="s">
        <v>50</v>
      </c>
      <c r="R359" s="37" t="s">
        <v>50</v>
      </c>
      <c r="S359" s="39">
        <f t="shared" si="41"/>
        <v>0</v>
      </c>
      <c r="T359" s="39">
        <f t="shared" si="42"/>
        <v>0</v>
      </c>
      <c r="U359" s="40">
        <v>0</v>
      </c>
      <c r="V359" s="33" t="s">
        <v>50</v>
      </c>
    </row>
    <row r="360" spans="1:22" ht="45" x14ac:dyDescent="0.25">
      <c r="A360" s="13" t="s">
        <v>39</v>
      </c>
      <c r="B360" s="23" t="s">
        <v>313</v>
      </c>
      <c r="C360" s="24" t="s">
        <v>314</v>
      </c>
      <c r="D360" s="39">
        <v>0.15391656890767288</v>
      </c>
      <c r="E360" s="39">
        <f>15055*1.2/1000000</f>
        <v>1.8065999999999999E-2</v>
      </c>
      <c r="F360" s="37" t="s">
        <v>50</v>
      </c>
      <c r="G360" s="39">
        <v>1.197470906101695</v>
      </c>
      <c r="H360" s="39">
        <f t="shared" si="44"/>
        <v>1.197470906101695</v>
      </c>
      <c r="I360" s="39">
        <f t="shared" si="40"/>
        <v>0</v>
      </c>
      <c r="J360" s="39">
        <v>3.771294E-2</v>
      </c>
      <c r="K360" s="39">
        <v>0</v>
      </c>
      <c r="L360" s="39">
        <v>0</v>
      </c>
      <c r="M360" s="37">
        <v>0</v>
      </c>
      <c r="N360" s="39">
        <v>1.159757966101695</v>
      </c>
      <c r="O360" s="37">
        <v>0</v>
      </c>
      <c r="P360" s="39">
        <v>0</v>
      </c>
      <c r="Q360" s="37" t="s">
        <v>50</v>
      </c>
      <c r="R360" s="37" t="s">
        <v>50</v>
      </c>
      <c r="S360" s="39">
        <f t="shared" si="41"/>
        <v>1.197470906101695</v>
      </c>
      <c r="T360" s="39">
        <f t="shared" si="42"/>
        <v>-1.197470906101695</v>
      </c>
      <c r="U360" s="40">
        <f t="shared" si="43"/>
        <v>-100</v>
      </c>
      <c r="V360" s="33" t="s">
        <v>753</v>
      </c>
    </row>
    <row r="361" spans="1:22" ht="60" x14ac:dyDescent="0.25">
      <c r="A361" s="13" t="s">
        <v>39</v>
      </c>
      <c r="B361" s="23" t="s">
        <v>315</v>
      </c>
      <c r="C361" s="24" t="s">
        <v>292</v>
      </c>
      <c r="D361" s="39">
        <v>0.14218569794344474</v>
      </c>
      <c r="E361" s="39">
        <f>30030.46*1.2/1000000</f>
        <v>3.6036551999999999E-2</v>
      </c>
      <c r="F361" s="37" t="s">
        <v>50</v>
      </c>
      <c r="G361" s="39">
        <v>1.10620473</v>
      </c>
      <c r="H361" s="39">
        <f t="shared" si="44"/>
        <v>1.10620473</v>
      </c>
      <c r="I361" s="39">
        <f t="shared" si="40"/>
        <v>0.56568319</v>
      </c>
      <c r="J361" s="39">
        <v>0.11832773000000001</v>
      </c>
      <c r="K361" s="39">
        <v>0</v>
      </c>
      <c r="L361" s="39">
        <v>0.98787700000000001</v>
      </c>
      <c r="M361" s="37">
        <v>0.56568319</v>
      </c>
      <c r="N361" s="39">
        <v>0</v>
      </c>
      <c r="O361" s="37">
        <v>0</v>
      </c>
      <c r="P361" s="39">
        <v>0</v>
      </c>
      <c r="Q361" s="37" t="s">
        <v>50</v>
      </c>
      <c r="R361" s="37" t="s">
        <v>50</v>
      </c>
      <c r="S361" s="39">
        <f t="shared" si="41"/>
        <v>0.54052153999999997</v>
      </c>
      <c r="T361" s="39">
        <f t="shared" si="42"/>
        <v>-0.54052153999999997</v>
      </c>
      <c r="U361" s="40">
        <f t="shared" si="43"/>
        <v>-48.862703742009849</v>
      </c>
      <c r="V361" s="33" t="s">
        <v>762</v>
      </c>
    </row>
    <row r="362" spans="1:22" ht="58.5" customHeight="1" x14ac:dyDescent="0.25">
      <c r="A362" s="13" t="s">
        <v>39</v>
      </c>
      <c r="B362" s="23" t="s">
        <v>316</v>
      </c>
      <c r="C362" s="24" t="s">
        <v>294</v>
      </c>
      <c r="D362" s="39">
        <v>0.5566984049042577</v>
      </c>
      <c r="E362" s="39">
        <v>0</v>
      </c>
      <c r="F362" s="37" t="s">
        <v>50</v>
      </c>
      <c r="G362" s="39">
        <v>3.7577142331037425</v>
      </c>
      <c r="H362" s="39">
        <f t="shared" si="44"/>
        <v>3.7577142331037425</v>
      </c>
      <c r="I362" s="39">
        <f t="shared" si="40"/>
        <v>0</v>
      </c>
      <c r="J362" s="39">
        <v>0.31883804999999998</v>
      </c>
      <c r="K362" s="39">
        <v>0</v>
      </c>
      <c r="L362" s="39">
        <v>0</v>
      </c>
      <c r="M362" s="37">
        <v>0</v>
      </c>
      <c r="N362" s="39">
        <v>0</v>
      </c>
      <c r="O362" s="37">
        <v>0</v>
      </c>
      <c r="P362" s="39">
        <v>3.4388761831037424</v>
      </c>
      <c r="Q362" s="37" t="s">
        <v>50</v>
      </c>
      <c r="R362" s="37" t="s">
        <v>50</v>
      </c>
      <c r="S362" s="39">
        <f t="shared" si="41"/>
        <v>3.7577142331037425</v>
      </c>
      <c r="T362" s="39">
        <f t="shared" si="42"/>
        <v>-0.31883804999999998</v>
      </c>
      <c r="U362" s="40">
        <f t="shared" si="43"/>
        <v>-100</v>
      </c>
      <c r="V362" s="33" t="s">
        <v>766</v>
      </c>
    </row>
    <row r="363" spans="1:22" ht="30" x14ac:dyDescent="0.25">
      <c r="A363" s="48" t="s">
        <v>39</v>
      </c>
      <c r="B363" s="14" t="s">
        <v>409</v>
      </c>
      <c r="C363" s="46" t="s">
        <v>296</v>
      </c>
      <c r="D363" s="39">
        <v>0</v>
      </c>
      <c r="E363" s="39">
        <v>0</v>
      </c>
      <c r="F363" s="37" t="s">
        <v>50</v>
      </c>
      <c r="G363" s="39">
        <v>0</v>
      </c>
      <c r="H363" s="39">
        <f t="shared" si="44"/>
        <v>0</v>
      </c>
      <c r="I363" s="39">
        <f t="shared" si="40"/>
        <v>3.5539050000000003E-2</v>
      </c>
      <c r="J363" s="39">
        <v>0</v>
      </c>
      <c r="K363" s="39">
        <f>35.53905/1000</f>
        <v>3.5539050000000003E-2</v>
      </c>
      <c r="L363" s="39">
        <v>0</v>
      </c>
      <c r="M363" s="37">
        <v>0</v>
      </c>
      <c r="N363" s="39">
        <v>0</v>
      </c>
      <c r="O363" s="37">
        <v>0</v>
      </c>
      <c r="P363" s="39">
        <v>0</v>
      </c>
      <c r="Q363" s="37" t="s">
        <v>50</v>
      </c>
      <c r="R363" s="37" t="s">
        <v>50</v>
      </c>
      <c r="S363" s="39">
        <f t="shared" si="41"/>
        <v>-3.5539050000000003E-2</v>
      </c>
      <c r="T363" s="39">
        <f t="shared" si="42"/>
        <v>3.5539050000000003E-2</v>
      </c>
      <c r="U363" s="40">
        <v>100</v>
      </c>
      <c r="V363" s="32" t="s">
        <v>754</v>
      </c>
    </row>
    <row r="364" spans="1:22" ht="101.25" customHeight="1" x14ac:dyDescent="0.25">
      <c r="A364" s="48" t="s">
        <v>39</v>
      </c>
      <c r="B364" s="14" t="s">
        <v>410</v>
      </c>
      <c r="C364" s="46" t="s">
        <v>298</v>
      </c>
      <c r="D364" s="39">
        <v>0</v>
      </c>
      <c r="E364" s="39">
        <v>0</v>
      </c>
      <c r="F364" s="37" t="s">
        <v>50</v>
      </c>
      <c r="G364" s="39">
        <v>0</v>
      </c>
      <c r="H364" s="39">
        <f t="shared" si="44"/>
        <v>0</v>
      </c>
      <c r="I364" s="39">
        <f t="shared" si="40"/>
        <v>0.13187735</v>
      </c>
      <c r="J364" s="39">
        <v>0</v>
      </c>
      <c r="K364" s="39">
        <f>131.87735/1000</f>
        <v>0.13187735</v>
      </c>
      <c r="L364" s="39">
        <v>0</v>
      </c>
      <c r="M364" s="37">
        <v>0</v>
      </c>
      <c r="N364" s="39">
        <v>0</v>
      </c>
      <c r="O364" s="37">
        <v>0</v>
      </c>
      <c r="P364" s="39">
        <v>0</v>
      </c>
      <c r="Q364" s="37" t="s">
        <v>50</v>
      </c>
      <c r="R364" s="37" t="s">
        <v>50</v>
      </c>
      <c r="S364" s="39">
        <f t="shared" si="41"/>
        <v>-0.13187735</v>
      </c>
      <c r="T364" s="39">
        <f t="shared" si="42"/>
        <v>0.13187735</v>
      </c>
      <c r="U364" s="40">
        <v>100</v>
      </c>
      <c r="V364" s="82" t="s">
        <v>766</v>
      </c>
    </row>
    <row r="365" spans="1:22" ht="60" x14ac:dyDescent="0.25">
      <c r="A365" s="48" t="s">
        <v>39</v>
      </c>
      <c r="B365" s="14" t="s">
        <v>411</v>
      </c>
      <c r="C365" s="46" t="s">
        <v>300</v>
      </c>
      <c r="D365" s="39">
        <v>0</v>
      </c>
      <c r="E365" s="39">
        <v>0</v>
      </c>
      <c r="F365" s="37" t="s">
        <v>50</v>
      </c>
      <c r="G365" s="39">
        <v>0</v>
      </c>
      <c r="H365" s="39">
        <f t="shared" si="44"/>
        <v>0</v>
      </c>
      <c r="I365" s="39">
        <f t="shared" si="40"/>
        <v>0.76645801999999996</v>
      </c>
      <c r="J365" s="39">
        <v>0</v>
      </c>
      <c r="K365" s="39">
        <f>697.08127/1000</f>
        <v>0.69708126999999998</v>
      </c>
      <c r="L365" s="39">
        <v>0</v>
      </c>
      <c r="M365" s="37">
        <v>6.9376750000000001E-2</v>
      </c>
      <c r="N365" s="39">
        <v>0</v>
      </c>
      <c r="O365" s="37">
        <v>0</v>
      </c>
      <c r="P365" s="39">
        <v>0</v>
      </c>
      <c r="Q365" s="37" t="s">
        <v>50</v>
      </c>
      <c r="R365" s="37" t="s">
        <v>50</v>
      </c>
      <c r="S365" s="39">
        <f t="shared" si="41"/>
        <v>-0.76645801999999996</v>
      </c>
      <c r="T365" s="39">
        <f t="shared" si="42"/>
        <v>0.76645801999999996</v>
      </c>
      <c r="U365" s="40">
        <v>100</v>
      </c>
      <c r="V365" s="83"/>
    </row>
    <row r="366" spans="1:22" ht="45" customHeight="1" x14ac:dyDescent="0.25">
      <c r="A366" s="54" t="s">
        <v>39</v>
      </c>
      <c r="B366" s="14" t="s">
        <v>718</v>
      </c>
      <c r="C366" s="46" t="s">
        <v>308</v>
      </c>
      <c r="D366" s="39">
        <v>0</v>
      </c>
      <c r="E366" s="39">
        <v>0</v>
      </c>
      <c r="F366" s="37" t="s">
        <v>50</v>
      </c>
      <c r="G366" s="39">
        <v>0</v>
      </c>
      <c r="H366" s="39">
        <f t="shared" si="44"/>
        <v>0</v>
      </c>
      <c r="I366" s="39">
        <f t="shared" si="40"/>
        <v>0.11855507</v>
      </c>
      <c r="J366" s="39">
        <v>0</v>
      </c>
      <c r="K366" s="39">
        <v>0</v>
      </c>
      <c r="L366" s="39">
        <v>0</v>
      </c>
      <c r="M366" s="37">
        <v>0</v>
      </c>
      <c r="N366" s="39">
        <v>0</v>
      </c>
      <c r="O366" s="37">
        <v>0.11855507</v>
      </c>
      <c r="P366" s="39">
        <v>0</v>
      </c>
      <c r="Q366" s="37" t="s">
        <v>50</v>
      </c>
      <c r="R366" s="37" t="s">
        <v>50</v>
      </c>
      <c r="S366" s="39">
        <f t="shared" si="41"/>
        <v>-0.11855507</v>
      </c>
      <c r="T366" s="39">
        <f t="shared" si="42"/>
        <v>0.11855507</v>
      </c>
      <c r="U366" s="40">
        <v>100</v>
      </c>
      <c r="V366" s="83"/>
    </row>
    <row r="367" spans="1:22" ht="111.75" customHeight="1" x14ac:dyDescent="0.25">
      <c r="A367" s="54" t="s">
        <v>39</v>
      </c>
      <c r="B367" s="14" t="s">
        <v>719</v>
      </c>
      <c r="C367" s="46" t="s">
        <v>310</v>
      </c>
      <c r="D367" s="39">
        <v>0</v>
      </c>
      <c r="E367" s="39">
        <v>0</v>
      </c>
      <c r="F367" s="37" t="s">
        <v>50</v>
      </c>
      <c r="G367" s="39">
        <v>0</v>
      </c>
      <c r="H367" s="39">
        <f t="shared" si="44"/>
        <v>0</v>
      </c>
      <c r="I367" s="39">
        <f t="shared" si="40"/>
        <v>2.965953E-2</v>
      </c>
      <c r="J367" s="39">
        <v>0</v>
      </c>
      <c r="K367" s="39">
        <v>0</v>
      </c>
      <c r="L367" s="39">
        <v>0</v>
      </c>
      <c r="M367" s="37">
        <v>0</v>
      </c>
      <c r="N367" s="39">
        <v>0</v>
      </c>
      <c r="O367" s="37">
        <v>2.965953E-2</v>
      </c>
      <c r="P367" s="39">
        <v>0</v>
      </c>
      <c r="Q367" s="37" t="s">
        <v>50</v>
      </c>
      <c r="R367" s="37" t="s">
        <v>50</v>
      </c>
      <c r="S367" s="39">
        <f t="shared" si="41"/>
        <v>-2.965953E-2</v>
      </c>
      <c r="T367" s="39">
        <f t="shared" si="42"/>
        <v>2.965953E-2</v>
      </c>
      <c r="U367" s="40">
        <v>100</v>
      </c>
      <c r="V367" s="84"/>
    </row>
    <row r="368" spans="1:22" ht="45" x14ac:dyDescent="0.25">
      <c r="A368" s="54" t="s">
        <v>39</v>
      </c>
      <c r="B368" s="14" t="s">
        <v>622</v>
      </c>
      <c r="C368" s="46" t="s">
        <v>312</v>
      </c>
      <c r="D368" s="39">
        <v>0</v>
      </c>
      <c r="E368" s="39">
        <v>0</v>
      </c>
      <c r="F368" s="37" t="s">
        <v>50</v>
      </c>
      <c r="G368" s="39">
        <v>0</v>
      </c>
      <c r="H368" s="39">
        <f t="shared" si="44"/>
        <v>0</v>
      </c>
      <c r="I368" s="39">
        <f t="shared" si="40"/>
        <v>4.418569E-2</v>
      </c>
      <c r="J368" s="39">
        <v>0</v>
      </c>
      <c r="K368" s="39">
        <v>0</v>
      </c>
      <c r="L368" s="39">
        <v>0</v>
      </c>
      <c r="M368" s="37">
        <v>4.418569E-2</v>
      </c>
      <c r="N368" s="39">
        <v>0</v>
      </c>
      <c r="O368" s="37">
        <v>0</v>
      </c>
      <c r="P368" s="39">
        <v>0</v>
      </c>
      <c r="Q368" s="37" t="s">
        <v>50</v>
      </c>
      <c r="R368" s="37" t="s">
        <v>50</v>
      </c>
      <c r="S368" s="39">
        <f t="shared" si="41"/>
        <v>-4.418569E-2</v>
      </c>
      <c r="T368" s="39">
        <f t="shared" si="42"/>
        <v>4.418569E-2</v>
      </c>
      <c r="U368" s="40">
        <v>100</v>
      </c>
      <c r="V368" s="32" t="s">
        <v>420</v>
      </c>
    </row>
    <row r="369" spans="1:22" ht="60" x14ac:dyDescent="0.25">
      <c r="A369" s="54" t="s">
        <v>39</v>
      </c>
      <c r="B369" s="14" t="s">
        <v>623</v>
      </c>
      <c r="C369" s="46" t="s">
        <v>314</v>
      </c>
      <c r="D369" s="39">
        <v>0</v>
      </c>
      <c r="E369" s="39">
        <v>0</v>
      </c>
      <c r="F369" s="37" t="s">
        <v>50</v>
      </c>
      <c r="G369" s="39">
        <v>0</v>
      </c>
      <c r="H369" s="39">
        <f t="shared" si="44"/>
        <v>0</v>
      </c>
      <c r="I369" s="39">
        <f t="shared" si="40"/>
        <v>0.14111050000000003</v>
      </c>
      <c r="J369" s="39">
        <v>0</v>
      </c>
      <c r="K369" s="39">
        <v>0</v>
      </c>
      <c r="L369" s="39">
        <v>0</v>
      </c>
      <c r="M369" s="37">
        <v>0.14111050000000003</v>
      </c>
      <c r="N369" s="39">
        <v>0</v>
      </c>
      <c r="O369" s="37">
        <v>0</v>
      </c>
      <c r="P369" s="39">
        <v>0</v>
      </c>
      <c r="Q369" s="37" t="s">
        <v>50</v>
      </c>
      <c r="R369" s="37" t="s">
        <v>50</v>
      </c>
      <c r="S369" s="39">
        <f t="shared" si="41"/>
        <v>-0.14111050000000003</v>
      </c>
      <c r="T369" s="39">
        <f t="shared" si="42"/>
        <v>0.14111050000000003</v>
      </c>
      <c r="U369" s="40">
        <v>100</v>
      </c>
      <c r="V369" s="32" t="s">
        <v>420</v>
      </c>
    </row>
    <row r="370" spans="1:22" ht="158.25" customHeight="1" x14ac:dyDescent="0.25">
      <c r="A370" s="19" t="s">
        <v>39</v>
      </c>
      <c r="B370" s="14" t="s">
        <v>624</v>
      </c>
      <c r="C370" s="46" t="s">
        <v>333</v>
      </c>
      <c r="D370" s="39">
        <v>0</v>
      </c>
      <c r="E370" s="39">
        <v>0</v>
      </c>
      <c r="F370" s="37" t="s">
        <v>50</v>
      </c>
      <c r="G370" s="39">
        <v>0</v>
      </c>
      <c r="H370" s="39">
        <f t="shared" si="44"/>
        <v>0</v>
      </c>
      <c r="I370" s="39">
        <f t="shared" si="40"/>
        <v>9.22761E-2</v>
      </c>
      <c r="J370" s="39">
        <v>0</v>
      </c>
      <c r="K370" s="39">
        <v>0</v>
      </c>
      <c r="L370" s="39">
        <v>0</v>
      </c>
      <c r="M370" s="37">
        <v>9.22761E-2</v>
      </c>
      <c r="N370" s="39">
        <v>0</v>
      </c>
      <c r="O370" s="37">
        <v>0</v>
      </c>
      <c r="P370" s="39">
        <v>0</v>
      </c>
      <c r="Q370" s="37" t="s">
        <v>50</v>
      </c>
      <c r="R370" s="37" t="s">
        <v>50</v>
      </c>
      <c r="S370" s="39">
        <f t="shared" si="41"/>
        <v>-9.22761E-2</v>
      </c>
      <c r="T370" s="39">
        <f t="shared" si="42"/>
        <v>9.22761E-2</v>
      </c>
      <c r="U370" s="40">
        <v>100</v>
      </c>
      <c r="V370" s="32" t="s">
        <v>766</v>
      </c>
    </row>
    <row r="371" spans="1:22" ht="45" x14ac:dyDescent="0.25">
      <c r="A371" s="19" t="s">
        <v>39</v>
      </c>
      <c r="B371" s="14" t="s">
        <v>625</v>
      </c>
      <c r="C371" s="46" t="s">
        <v>334</v>
      </c>
      <c r="D371" s="39">
        <v>0</v>
      </c>
      <c r="E371" s="39">
        <v>0</v>
      </c>
      <c r="F371" s="37" t="s">
        <v>50</v>
      </c>
      <c r="G371" s="39">
        <v>0</v>
      </c>
      <c r="H371" s="39">
        <f t="shared" si="44"/>
        <v>0</v>
      </c>
      <c r="I371" s="39">
        <f t="shared" si="40"/>
        <v>9.0688910000000011E-2</v>
      </c>
      <c r="J371" s="39">
        <v>0</v>
      </c>
      <c r="K371" s="39">
        <v>0</v>
      </c>
      <c r="L371" s="39">
        <v>0</v>
      </c>
      <c r="M371" s="37">
        <v>9.0688910000000011E-2</v>
      </c>
      <c r="N371" s="39">
        <v>0</v>
      </c>
      <c r="O371" s="37">
        <v>0</v>
      </c>
      <c r="P371" s="39">
        <v>0</v>
      </c>
      <c r="Q371" s="37" t="s">
        <v>50</v>
      </c>
      <c r="R371" s="37" t="s">
        <v>50</v>
      </c>
      <c r="S371" s="39">
        <f t="shared" si="41"/>
        <v>-9.0688910000000011E-2</v>
      </c>
      <c r="T371" s="39">
        <f t="shared" si="42"/>
        <v>9.0688910000000011E-2</v>
      </c>
      <c r="U371" s="40">
        <v>100</v>
      </c>
      <c r="V371" s="32" t="s">
        <v>739</v>
      </c>
    </row>
    <row r="372" spans="1:22" ht="45" x14ac:dyDescent="0.25">
      <c r="A372" s="19" t="s">
        <v>39</v>
      </c>
      <c r="B372" s="14" t="s">
        <v>626</v>
      </c>
      <c r="C372" s="46" t="s">
        <v>537</v>
      </c>
      <c r="D372" s="39">
        <v>0</v>
      </c>
      <c r="E372" s="39">
        <v>0</v>
      </c>
      <c r="F372" s="37" t="s">
        <v>50</v>
      </c>
      <c r="G372" s="39">
        <v>0</v>
      </c>
      <c r="H372" s="39">
        <f t="shared" si="44"/>
        <v>0</v>
      </c>
      <c r="I372" s="39">
        <f t="shared" si="40"/>
        <v>7.646907E-2</v>
      </c>
      <c r="J372" s="39">
        <v>0</v>
      </c>
      <c r="K372" s="39">
        <v>0</v>
      </c>
      <c r="L372" s="39">
        <v>0</v>
      </c>
      <c r="M372" s="37">
        <v>7.646907E-2</v>
      </c>
      <c r="N372" s="39">
        <v>0</v>
      </c>
      <c r="O372" s="37">
        <v>0</v>
      </c>
      <c r="P372" s="39">
        <v>0</v>
      </c>
      <c r="Q372" s="37" t="s">
        <v>50</v>
      </c>
      <c r="R372" s="37" t="s">
        <v>50</v>
      </c>
      <c r="S372" s="39">
        <f t="shared" si="41"/>
        <v>-7.646907E-2</v>
      </c>
      <c r="T372" s="39">
        <f t="shared" si="42"/>
        <v>7.646907E-2</v>
      </c>
      <c r="U372" s="40">
        <v>100</v>
      </c>
      <c r="V372" s="32" t="s">
        <v>755</v>
      </c>
    </row>
    <row r="373" spans="1:22" ht="45" x14ac:dyDescent="0.25">
      <c r="A373" s="19" t="s">
        <v>39</v>
      </c>
      <c r="B373" s="14" t="s">
        <v>627</v>
      </c>
      <c r="C373" s="46" t="s">
        <v>538</v>
      </c>
      <c r="D373" s="39">
        <v>0</v>
      </c>
      <c r="E373" s="39">
        <v>0</v>
      </c>
      <c r="F373" s="37" t="s">
        <v>50</v>
      </c>
      <c r="G373" s="39">
        <v>0</v>
      </c>
      <c r="H373" s="39">
        <f t="shared" si="44"/>
        <v>0</v>
      </c>
      <c r="I373" s="39">
        <f t="shared" si="40"/>
        <v>0.27741635999999997</v>
      </c>
      <c r="J373" s="39">
        <v>0</v>
      </c>
      <c r="K373" s="39">
        <v>0</v>
      </c>
      <c r="L373" s="39">
        <v>0</v>
      </c>
      <c r="M373" s="37">
        <v>0.27741635999999997</v>
      </c>
      <c r="N373" s="39">
        <v>0</v>
      </c>
      <c r="O373" s="37">
        <v>0</v>
      </c>
      <c r="P373" s="39">
        <v>0</v>
      </c>
      <c r="Q373" s="37" t="s">
        <v>50</v>
      </c>
      <c r="R373" s="37" t="s">
        <v>50</v>
      </c>
      <c r="S373" s="39">
        <f t="shared" si="41"/>
        <v>-0.27741635999999997</v>
      </c>
      <c r="T373" s="39">
        <f t="shared" si="42"/>
        <v>0.27741635999999997</v>
      </c>
      <c r="U373" s="40">
        <v>100</v>
      </c>
      <c r="V373" s="32" t="s">
        <v>420</v>
      </c>
    </row>
    <row r="374" spans="1:22" ht="60" x14ac:dyDescent="0.25">
      <c r="A374" s="19" t="s">
        <v>39</v>
      </c>
      <c r="B374" s="14" t="s">
        <v>628</v>
      </c>
      <c r="C374" s="46" t="s">
        <v>539</v>
      </c>
      <c r="D374" s="39">
        <v>0</v>
      </c>
      <c r="E374" s="39">
        <v>0</v>
      </c>
      <c r="F374" s="37" t="s">
        <v>50</v>
      </c>
      <c r="G374" s="39">
        <v>0</v>
      </c>
      <c r="H374" s="39">
        <f t="shared" si="44"/>
        <v>0</v>
      </c>
      <c r="I374" s="39">
        <f t="shared" si="40"/>
        <v>9.0891140000000009E-2</v>
      </c>
      <c r="J374" s="39">
        <v>0</v>
      </c>
      <c r="K374" s="39">
        <v>0</v>
      </c>
      <c r="L374" s="39">
        <v>0</v>
      </c>
      <c r="M374" s="37">
        <v>9.0891140000000009E-2</v>
      </c>
      <c r="N374" s="39">
        <v>0</v>
      </c>
      <c r="O374" s="37">
        <v>0</v>
      </c>
      <c r="P374" s="39">
        <v>0</v>
      </c>
      <c r="Q374" s="37" t="s">
        <v>50</v>
      </c>
      <c r="R374" s="37" t="s">
        <v>50</v>
      </c>
      <c r="S374" s="39">
        <f t="shared" si="41"/>
        <v>-9.0891140000000009E-2</v>
      </c>
      <c r="T374" s="39">
        <f t="shared" si="42"/>
        <v>9.0891140000000009E-2</v>
      </c>
      <c r="U374" s="40">
        <v>100</v>
      </c>
      <c r="V374" s="32" t="s">
        <v>420</v>
      </c>
    </row>
    <row r="375" spans="1:22" ht="45" x14ac:dyDescent="0.25">
      <c r="A375" s="19" t="s">
        <v>39</v>
      </c>
      <c r="B375" s="14" t="s">
        <v>629</v>
      </c>
      <c r="C375" s="46" t="s">
        <v>541</v>
      </c>
      <c r="D375" s="39">
        <v>0</v>
      </c>
      <c r="E375" s="39">
        <v>0</v>
      </c>
      <c r="F375" s="37" t="s">
        <v>50</v>
      </c>
      <c r="G375" s="39">
        <v>0</v>
      </c>
      <c r="H375" s="39">
        <f t="shared" si="44"/>
        <v>0</v>
      </c>
      <c r="I375" s="39">
        <f t="shared" si="40"/>
        <v>0.1535416</v>
      </c>
      <c r="J375" s="39">
        <v>0</v>
      </c>
      <c r="K375" s="39">
        <v>0</v>
      </c>
      <c r="L375" s="39">
        <v>0</v>
      </c>
      <c r="M375" s="37">
        <v>0.1535416</v>
      </c>
      <c r="N375" s="39">
        <v>0</v>
      </c>
      <c r="O375" s="37">
        <v>0</v>
      </c>
      <c r="P375" s="39">
        <v>0</v>
      </c>
      <c r="Q375" s="37" t="s">
        <v>50</v>
      </c>
      <c r="R375" s="37" t="s">
        <v>50</v>
      </c>
      <c r="S375" s="39">
        <f t="shared" si="41"/>
        <v>-0.1535416</v>
      </c>
      <c r="T375" s="39">
        <f t="shared" si="42"/>
        <v>0.1535416</v>
      </c>
      <c r="U375" s="40">
        <v>100</v>
      </c>
      <c r="V375" s="32" t="s">
        <v>420</v>
      </c>
    </row>
    <row r="376" spans="1:22" ht="45" x14ac:dyDescent="0.25">
      <c r="A376" s="19" t="s">
        <v>39</v>
      </c>
      <c r="B376" s="14" t="s">
        <v>630</v>
      </c>
      <c r="C376" s="46" t="s">
        <v>631</v>
      </c>
      <c r="D376" s="39">
        <v>0</v>
      </c>
      <c r="E376" s="39">
        <v>0</v>
      </c>
      <c r="F376" s="37" t="s">
        <v>50</v>
      </c>
      <c r="G376" s="39">
        <v>0</v>
      </c>
      <c r="H376" s="39">
        <f t="shared" si="44"/>
        <v>0</v>
      </c>
      <c r="I376" s="39">
        <f t="shared" si="40"/>
        <v>0.1535416</v>
      </c>
      <c r="J376" s="39">
        <v>0</v>
      </c>
      <c r="K376" s="39">
        <v>0</v>
      </c>
      <c r="L376" s="39">
        <v>0</v>
      </c>
      <c r="M376" s="37">
        <v>0.1535416</v>
      </c>
      <c r="N376" s="39">
        <v>0</v>
      </c>
      <c r="O376" s="37">
        <v>0</v>
      </c>
      <c r="P376" s="39">
        <v>0</v>
      </c>
      <c r="Q376" s="37" t="s">
        <v>50</v>
      </c>
      <c r="R376" s="37" t="s">
        <v>50</v>
      </c>
      <c r="S376" s="39">
        <f t="shared" si="41"/>
        <v>-0.1535416</v>
      </c>
      <c r="T376" s="39">
        <f t="shared" si="42"/>
        <v>0.1535416</v>
      </c>
      <c r="U376" s="40">
        <v>100</v>
      </c>
      <c r="V376" s="32" t="s">
        <v>420</v>
      </c>
    </row>
    <row r="377" spans="1:22" ht="45" x14ac:dyDescent="0.25">
      <c r="A377" s="19" t="s">
        <v>39</v>
      </c>
      <c r="B377" s="14" t="s">
        <v>632</v>
      </c>
      <c r="C377" s="46" t="s">
        <v>633</v>
      </c>
      <c r="D377" s="39">
        <v>0</v>
      </c>
      <c r="E377" s="39">
        <v>0</v>
      </c>
      <c r="F377" s="37" t="s">
        <v>50</v>
      </c>
      <c r="G377" s="39">
        <v>0</v>
      </c>
      <c r="H377" s="39">
        <f t="shared" si="44"/>
        <v>0</v>
      </c>
      <c r="I377" s="39">
        <f t="shared" si="40"/>
        <v>0.1172863</v>
      </c>
      <c r="J377" s="39">
        <v>0</v>
      </c>
      <c r="K377" s="39">
        <v>0</v>
      </c>
      <c r="L377" s="39">
        <v>0</v>
      </c>
      <c r="M377" s="37">
        <v>0.1172863</v>
      </c>
      <c r="N377" s="39">
        <v>0</v>
      </c>
      <c r="O377" s="37">
        <v>0</v>
      </c>
      <c r="P377" s="39">
        <v>0</v>
      </c>
      <c r="Q377" s="37" t="s">
        <v>50</v>
      </c>
      <c r="R377" s="37" t="s">
        <v>50</v>
      </c>
      <c r="S377" s="39">
        <f t="shared" si="41"/>
        <v>-0.1172863</v>
      </c>
      <c r="T377" s="39">
        <f t="shared" si="42"/>
        <v>0.1172863</v>
      </c>
      <c r="U377" s="40">
        <v>100</v>
      </c>
      <c r="V377" s="32" t="s">
        <v>420</v>
      </c>
    </row>
    <row r="378" spans="1:22" ht="45" x14ac:dyDescent="0.25">
      <c r="A378" s="19" t="s">
        <v>39</v>
      </c>
      <c r="B378" s="14" t="s">
        <v>634</v>
      </c>
      <c r="C378" s="46" t="s">
        <v>635</v>
      </c>
      <c r="D378" s="39">
        <v>0</v>
      </c>
      <c r="E378" s="39">
        <v>0</v>
      </c>
      <c r="F378" s="37" t="s">
        <v>50</v>
      </c>
      <c r="G378" s="39">
        <v>0</v>
      </c>
      <c r="H378" s="39">
        <f t="shared" si="44"/>
        <v>0</v>
      </c>
      <c r="I378" s="39">
        <f t="shared" si="40"/>
        <v>0.1535416</v>
      </c>
      <c r="J378" s="39">
        <v>0</v>
      </c>
      <c r="K378" s="39">
        <v>0</v>
      </c>
      <c r="L378" s="39">
        <v>0</v>
      </c>
      <c r="M378" s="37">
        <v>0.1535416</v>
      </c>
      <c r="N378" s="39">
        <v>0</v>
      </c>
      <c r="O378" s="37">
        <v>0</v>
      </c>
      <c r="P378" s="39">
        <v>0</v>
      </c>
      <c r="Q378" s="37" t="s">
        <v>50</v>
      </c>
      <c r="R378" s="37" t="s">
        <v>50</v>
      </c>
      <c r="S378" s="39">
        <f t="shared" si="41"/>
        <v>-0.1535416</v>
      </c>
      <c r="T378" s="39">
        <f t="shared" si="42"/>
        <v>0.1535416</v>
      </c>
      <c r="U378" s="40">
        <v>100</v>
      </c>
      <c r="V378" s="32" t="s">
        <v>420</v>
      </c>
    </row>
    <row r="379" spans="1:22" ht="45" x14ac:dyDescent="0.25">
      <c r="A379" s="19" t="s">
        <v>39</v>
      </c>
      <c r="B379" s="14" t="s">
        <v>636</v>
      </c>
      <c r="C379" s="46" t="s">
        <v>637</v>
      </c>
      <c r="D379" s="39">
        <v>0</v>
      </c>
      <c r="E379" s="39">
        <v>0</v>
      </c>
      <c r="F379" s="37" t="s">
        <v>50</v>
      </c>
      <c r="G379" s="39">
        <v>0</v>
      </c>
      <c r="H379" s="39">
        <f t="shared" si="44"/>
        <v>0</v>
      </c>
      <c r="I379" s="39">
        <f t="shared" ref="I379:I387" si="46">K379+M379+O379</f>
        <v>0.47168401000000004</v>
      </c>
      <c r="J379" s="39">
        <v>0</v>
      </c>
      <c r="K379" s="39">
        <v>0</v>
      </c>
      <c r="L379" s="39">
        <v>0</v>
      </c>
      <c r="M379" s="37">
        <v>0.47168401000000004</v>
      </c>
      <c r="N379" s="39">
        <v>0</v>
      </c>
      <c r="O379" s="37">
        <v>0</v>
      </c>
      <c r="P379" s="39">
        <v>0</v>
      </c>
      <c r="Q379" s="37" t="s">
        <v>50</v>
      </c>
      <c r="R379" s="37" t="s">
        <v>50</v>
      </c>
      <c r="S379" s="39">
        <f t="shared" ref="S379:S387" si="47">G379-I379</f>
        <v>-0.47168401000000004</v>
      </c>
      <c r="T379" s="39">
        <f t="shared" ref="T379:T387" si="48">(K379+M379+O379)-(J379+L379+N379)</f>
        <v>0.47168401000000004</v>
      </c>
      <c r="U379" s="40">
        <v>100</v>
      </c>
      <c r="V379" s="32" t="s">
        <v>420</v>
      </c>
    </row>
    <row r="380" spans="1:22" ht="45" x14ac:dyDescent="0.25">
      <c r="A380" s="19" t="s">
        <v>39</v>
      </c>
      <c r="B380" s="14" t="s">
        <v>638</v>
      </c>
      <c r="C380" s="46" t="s">
        <v>639</v>
      </c>
      <c r="D380" s="39">
        <v>0</v>
      </c>
      <c r="E380" s="39">
        <v>0</v>
      </c>
      <c r="F380" s="37" t="s">
        <v>50</v>
      </c>
      <c r="G380" s="39">
        <v>0</v>
      </c>
      <c r="H380" s="39">
        <f t="shared" si="44"/>
        <v>0</v>
      </c>
      <c r="I380" s="39">
        <f t="shared" si="46"/>
        <v>0.17375157000000002</v>
      </c>
      <c r="J380" s="39">
        <v>0</v>
      </c>
      <c r="K380" s="39">
        <v>0</v>
      </c>
      <c r="L380" s="39">
        <v>0</v>
      </c>
      <c r="M380" s="37">
        <v>0.17375157000000002</v>
      </c>
      <c r="N380" s="39">
        <v>0</v>
      </c>
      <c r="O380" s="37">
        <v>0</v>
      </c>
      <c r="P380" s="39">
        <v>0</v>
      </c>
      <c r="Q380" s="37" t="s">
        <v>50</v>
      </c>
      <c r="R380" s="37" t="s">
        <v>50</v>
      </c>
      <c r="S380" s="39">
        <f t="shared" si="47"/>
        <v>-0.17375157000000002</v>
      </c>
      <c r="T380" s="39">
        <f t="shared" si="48"/>
        <v>0.17375157000000002</v>
      </c>
      <c r="U380" s="40">
        <v>100</v>
      </c>
      <c r="V380" s="32" t="s">
        <v>420</v>
      </c>
    </row>
    <row r="381" spans="1:22" ht="42.75" x14ac:dyDescent="0.25">
      <c r="A381" s="2" t="s">
        <v>40</v>
      </c>
      <c r="B381" s="5" t="s">
        <v>317</v>
      </c>
      <c r="C381" s="6" t="s">
        <v>52</v>
      </c>
      <c r="D381" s="41">
        <v>0</v>
      </c>
      <c r="E381" s="41">
        <v>0</v>
      </c>
      <c r="F381" s="36" t="s">
        <v>50</v>
      </c>
      <c r="G381" s="41">
        <v>0</v>
      </c>
      <c r="H381" s="41">
        <f t="shared" si="44"/>
        <v>0</v>
      </c>
      <c r="I381" s="41">
        <f t="shared" si="46"/>
        <v>0</v>
      </c>
      <c r="J381" s="41">
        <v>0</v>
      </c>
      <c r="K381" s="41">
        <v>0</v>
      </c>
      <c r="L381" s="41">
        <v>0</v>
      </c>
      <c r="M381" s="36">
        <v>0</v>
      </c>
      <c r="N381" s="41">
        <v>0</v>
      </c>
      <c r="O381" s="36">
        <v>0</v>
      </c>
      <c r="P381" s="41">
        <v>0</v>
      </c>
      <c r="Q381" s="36" t="s">
        <v>50</v>
      </c>
      <c r="R381" s="36" t="s">
        <v>50</v>
      </c>
      <c r="S381" s="41">
        <f t="shared" si="47"/>
        <v>0</v>
      </c>
      <c r="T381" s="41">
        <f t="shared" si="48"/>
        <v>0</v>
      </c>
      <c r="U381" s="29">
        <v>0</v>
      </c>
      <c r="V381" s="30" t="s">
        <v>50</v>
      </c>
    </row>
    <row r="382" spans="1:22" ht="28.5" x14ac:dyDescent="0.25">
      <c r="A382" s="2" t="s">
        <v>41</v>
      </c>
      <c r="B382" s="5" t="s">
        <v>318</v>
      </c>
      <c r="C382" s="6" t="s">
        <v>52</v>
      </c>
      <c r="D382" s="41">
        <v>0</v>
      </c>
      <c r="E382" s="41">
        <f>SUM(E383:E386)</f>
        <v>0.77694914399999992</v>
      </c>
      <c r="F382" s="36" t="s">
        <v>50</v>
      </c>
      <c r="G382" s="41">
        <v>44.941780000000001</v>
      </c>
      <c r="H382" s="41">
        <f t="shared" si="44"/>
        <v>44.941780000000001</v>
      </c>
      <c r="I382" s="41">
        <f t="shared" si="46"/>
        <v>8.6140124199999999</v>
      </c>
      <c r="J382" s="41">
        <v>0</v>
      </c>
      <c r="K382" s="41">
        <f>SUM(K383:K386)</f>
        <v>8.7533330300000003</v>
      </c>
      <c r="L382" s="41">
        <f>L383+L384+L385</f>
        <v>18.889690000000002</v>
      </c>
      <c r="M382" s="36">
        <f>SUM(M383:M388)</f>
        <v>-0.13932061000000001</v>
      </c>
      <c r="N382" s="41">
        <v>7.0750000000000002</v>
      </c>
      <c r="O382" s="36">
        <f>SUM(O383:O388)</f>
        <v>0</v>
      </c>
      <c r="P382" s="41">
        <f>P385</f>
        <v>18.97709</v>
      </c>
      <c r="Q382" s="36" t="s">
        <v>50</v>
      </c>
      <c r="R382" s="37" t="s">
        <v>50</v>
      </c>
      <c r="S382" s="41">
        <f t="shared" si="47"/>
        <v>36.32776758</v>
      </c>
      <c r="T382" s="41">
        <f t="shared" si="48"/>
        <v>-17.350677580000003</v>
      </c>
      <c r="U382" s="29">
        <f t="shared" ref="U382:U385" si="49">(K382+M382+O382)/(J382+L382+N382)*100-100</f>
        <v>-66.82412761330869</v>
      </c>
      <c r="V382" s="30" t="s">
        <v>50</v>
      </c>
    </row>
    <row r="383" spans="1:22" ht="330.75" x14ac:dyDescent="0.25">
      <c r="A383" s="52" t="s">
        <v>41</v>
      </c>
      <c r="B383" s="45" t="s">
        <v>413</v>
      </c>
      <c r="C383" s="24" t="s">
        <v>414</v>
      </c>
      <c r="D383" s="39">
        <v>0</v>
      </c>
      <c r="E383" s="39">
        <v>0</v>
      </c>
      <c r="F383" s="37" t="s">
        <v>50</v>
      </c>
      <c r="G383" s="39">
        <v>0</v>
      </c>
      <c r="H383" s="39">
        <f t="shared" si="44"/>
        <v>0</v>
      </c>
      <c r="I383" s="39">
        <f t="shared" si="46"/>
        <v>7.5724056299999996</v>
      </c>
      <c r="J383" s="39">
        <v>0</v>
      </c>
      <c r="K383" s="39">
        <v>7.8349762499999995</v>
      </c>
      <c r="L383" s="39">
        <v>0</v>
      </c>
      <c r="M383" s="37">
        <f>-262.57062/1000</f>
        <v>-0.26257062000000003</v>
      </c>
      <c r="N383" s="39">
        <v>0</v>
      </c>
      <c r="O383" s="37">
        <v>0</v>
      </c>
      <c r="P383" s="39">
        <v>0</v>
      </c>
      <c r="Q383" s="37" t="s">
        <v>50</v>
      </c>
      <c r="R383" s="37" t="s">
        <v>50</v>
      </c>
      <c r="S383" s="39">
        <f t="shared" si="47"/>
        <v>-7.5724056299999996</v>
      </c>
      <c r="T383" s="39">
        <f t="shared" si="48"/>
        <v>7.5724056299999996</v>
      </c>
      <c r="U383" s="40">
        <v>100</v>
      </c>
      <c r="V383" s="32" t="s">
        <v>417</v>
      </c>
    </row>
    <row r="384" spans="1:22" ht="180" x14ac:dyDescent="0.25">
      <c r="A384" s="53" t="s">
        <v>41</v>
      </c>
      <c r="B384" s="14" t="s">
        <v>677</v>
      </c>
      <c r="C384" s="35" t="s">
        <v>319</v>
      </c>
      <c r="D384" s="39">
        <v>0</v>
      </c>
      <c r="E384" s="39">
        <v>0</v>
      </c>
      <c r="F384" s="37" t="s">
        <v>50</v>
      </c>
      <c r="G384" s="39">
        <v>5.629690000000001</v>
      </c>
      <c r="H384" s="39">
        <f t="shared" si="44"/>
        <v>5.629690000000001</v>
      </c>
      <c r="I384" s="39">
        <f t="shared" si="46"/>
        <v>0.27089915999999997</v>
      </c>
      <c r="J384" s="39">
        <v>0</v>
      </c>
      <c r="K384" s="39">
        <f>270.89916/1000</f>
        <v>0.27089915999999997</v>
      </c>
      <c r="L384" s="39">
        <v>5.5496900000000009</v>
      </c>
      <c r="M384" s="37">
        <v>0</v>
      </c>
      <c r="N384" s="39">
        <v>0.08</v>
      </c>
      <c r="O384" s="37">
        <v>0</v>
      </c>
      <c r="P384" s="39">
        <v>0</v>
      </c>
      <c r="Q384" s="37" t="s">
        <v>50</v>
      </c>
      <c r="R384" s="37" t="s">
        <v>50</v>
      </c>
      <c r="S384" s="39">
        <f t="shared" si="47"/>
        <v>5.3587908400000011</v>
      </c>
      <c r="T384" s="39">
        <f t="shared" si="48"/>
        <v>-5.3587908400000011</v>
      </c>
      <c r="U384" s="40">
        <f t="shared" si="49"/>
        <v>-95.188027049446774</v>
      </c>
      <c r="V384" s="33" t="s">
        <v>661</v>
      </c>
    </row>
    <row r="385" spans="1:22" ht="240" x14ac:dyDescent="0.25">
      <c r="A385" s="53" t="s">
        <v>41</v>
      </c>
      <c r="B385" s="59" t="s">
        <v>678</v>
      </c>
      <c r="C385" s="35" t="s">
        <v>320</v>
      </c>
      <c r="D385" s="39">
        <v>0</v>
      </c>
      <c r="E385" s="39">
        <v>0</v>
      </c>
      <c r="F385" s="37" t="s">
        <v>50</v>
      </c>
      <c r="G385" s="39">
        <v>39.312089999999998</v>
      </c>
      <c r="H385" s="39">
        <f t="shared" si="44"/>
        <v>39.312089999999998</v>
      </c>
      <c r="I385" s="39">
        <f t="shared" si="46"/>
        <v>0</v>
      </c>
      <c r="J385" s="39">
        <v>0</v>
      </c>
      <c r="K385" s="39">
        <v>0</v>
      </c>
      <c r="L385" s="39">
        <v>13.34</v>
      </c>
      <c r="M385" s="37">
        <v>0</v>
      </c>
      <c r="N385" s="39">
        <v>6.9950000000000001</v>
      </c>
      <c r="O385" s="37">
        <v>0</v>
      </c>
      <c r="P385" s="39">
        <v>18.97709</v>
      </c>
      <c r="Q385" s="37" t="s">
        <v>50</v>
      </c>
      <c r="R385" s="37" t="s">
        <v>50</v>
      </c>
      <c r="S385" s="39">
        <f t="shared" si="47"/>
        <v>39.312089999999998</v>
      </c>
      <c r="T385" s="39">
        <f t="shared" si="48"/>
        <v>-20.335000000000001</v>
      </c>
      <c r="U385" s="40">
        <f t="shared" si="49"/>
        <v>-100</v>
      </c>
      <c r="V385" s="33" t="s">
        <v>758</v>
      </c>
    </row>
    <row r="386" spans="1:22" ht="36" customHeight="1" x14ac:dyDescent="0.25">
      <c r="A386" s="52" t="s">
        <v>41</v>
      </c>
      <c r="B386" s="14" t="s">
        <v>415</v>
      </c>
      <c r="C386" s="24" t="s">
        <v>412</v>
      </c>
      <c r="D386" s="39">
        <v>0</v>
      </c>
      <c r="E386" s="39">
        <f>647457.62*1.2/1000000</f>
        <v>0.77694914399999992</v>
      </c>
      <c r="F386" s="37" t="s">
        <v>50</v>
      </c>
      <c r="G386" s="39">
        <v>0</v>
      </c>
      <c r="H386" s="39">
        <f t="shared" si="44"/>
        <v>0</v>
      </c>
      <c r="I386" s="39">
        <f t="shared" si="46"/>
        <v>0.64745762000000007</v>
      </c>
      <c r="J386" s="39">
        <v>0</v>
      </c>
      <c r="K386" s="39">
        <f>647.45762/1000</f>
        <v>0.64745762000000007</v>
      </c>
      <c r="L386" s="39">
        <v>0</v>
      </c>
      <c r="M386" s="37">
        <v>0</v>
      </c>
      <c r="N386" s="39">
        <v>0</v>
      </c>
      <c r="O386" s="37">
        <v>0</v>
      </c>
      <c r="P386" s="39">
        <v>0</v>
      </c>
      <c r="Q386" s="37" t="s">
        <v>50</v>
      </c>
      <c r="R386" s="37" t="s">
        <v>50</v>
      </c>
      <c r="S386" s="39">
        <f t="shared" si="47"/>
        <v>-0.64745762000000007</v>
      </c>
      <c r="T386" s="39">
        <f t="shared" si="48"/>
        <v>0.64745762000000007</v>
      </c>
      <c r="U386" s="40">
        <v>100</v>
      </c>
      <c r="V386" s="55" t="s">
        <v>756</v>
      </c>
    </row>
    <row r="387" spans="1:22" ht="30" x14ac:dyDescent="0.25">
      <c r="A387" s="54" t="s">
        <v>41</v>
      </c>
      <c r="B387" s="14" t="s">
        <v>640</v>
      </c>
      <c r="C387" s="46" t="s">
        <v>641</v>
      </c>
      <c r="D387" s="39">
        <v>0</v>
      </c>
      <c r="E387" s="39">
        <v>0</v>
      </c>
      <c r="F387" s="37" t="s">
        <v>50</v>
      </c>
      <c r="G387" s="39">
        <v>0</v>
      </c>
      <c r="H387" s="39">
        <f t="shared" si="44"/>
        <v>0</v>
      </c>
      <c r="I387" s="39">
        <f t="shared" si="46"/>
        <v>0.12325001000000001</v>
      </c>
      <c r="J387" s="39">
        <v>0</v>
      </c>
      <c r="K387" s="39">
        <v>0</v>
      </c>
      <c r="L387" s="39">
        <v>0</v>
      </c>
      <c r="M387" s="38">
        <f>123.25001/1000</f>
        <v>0.12325001000000001</v>
      </c>
      <c r="N387" s="39">
        <v>0</v>
      </c>
      <c r="O387" s="37">
        <v>0</v>
      </c>
      <c r="P387" s="39">
        <v>0</v>
      </c>
      <c r="Q387" s="37" t="s">
        <v>50</v>
      </c>
      <c r="R387" s="37" t="s">
        <v>50</v>
      </c>
      <c r="S387" s="39">
        <f t="shared" si="47"/>
        <v>-0.12325001000000001</v>
      </c>
      <c r="T387" s="39">
        <f t="shared" si="48"/>
        <v>0.12325001000000001</v>
      </c>
      <c r="U387" s="40">
        <v>100</v>
      </c>
      <c r="V387" s="32" t="s">
        <v>757</v>
      </c>
    </row>
  </sheetData>
  <mergeCells count="44">
    <mergeCell ref="A10:T10"/>
    <mergeCell ref="A11:T11"/>
    <mergeCell ref="A12:V12"/>
    <mergeCell ref="V364:V367"/>
    <mergeCell ref="A4:V4"/>
    <mergeCell ref="A5:V5"/>
    <mergeCell ref="A7:V7"/>
    <mergeCell ref="A8:V8"/>
    <mergeCell ref="A9:V9"/>
    <mergeCell ref="A13:A16"/>
    <mergeCell ref="B13:B16"/>
    <mergeCell ref="C13:C16"/>
    <mergeCell ref="D13:D16"/>
    <mergeCell ref="E13:E16"/>
    <mergeCell ref="H13:Q13"/>
    <mergeCell ref="R13:S13"/>
    <mergeCell ref="T13:U15"/>
    <mergeCell ref="V13:V16"/>
    <mergeCell ref="F14:F16"/>
    <mergeCell ref="G14:G16"/>
    <mergeCell ref="H14:I15"/>
    <mergeCell ref="J14:K15"/>
    <mergeCell ref="L14:M15"/>
    <mergeCell ref="U258:U260"/>
    <mergeCell ref="V258:V260"/>
    <mergeCell ref="N14:O15"/>
    <mergeCell ref="F13:G13"/>
    <mergeCell ref="V230:V237"/>
    <mergeCell ref="P14:Q15"/>
    <mergeCell ref="R14:R16"/>
    <mergeCell ref="S14:S16"/>
    <mergeCell ref="V26:V97"/>
    <mergeCell ref="V112:V117"/>
    <mergeCell ref="V119:V120"/>
    <mergeCell ref="V121:V123"/>
    <mergeCell ref="V181:V184"/>
    <mergeCell ref="V190:V193"/>
    <mergeCell ref="V194:V209"/>
    <mergeCell ref="V212:V229"/>
    <mergeCell ref="O258:O260"/>
    <mergeCell ref="S258:S260"/>
    <mergeCell ref="T258:T260"/>
    <mergeCell ref="I258:I260"/>
    <mergeCell ref="M258:M26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50" orientation="portrait" r:id="rId1"/>
  <headerFooter alignWithMargins="0"/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12квОсв </vt:lpstr>
      <vt:lpstr>'12квОсв 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2019-12-11T12:17:37Z</cp:lastPrinted>
  <dcterms:created xsi:type="dcterms:W3CDTF">2009-07-27T10:10:26Z</dcterms:created>
  <dcterms:modified xsi:type="dcterms:W3CDTF">2019-12-17T13:25:35Z</dcterms:modified>
</cp:coreProperties>
</file>