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435" yWindow="315" windowWidth="24765" windowHeight="14145" tabRatio="796"/>
  </bookViews>
  <sheets>
    <sheet name="12квОсв" sheetId="12" r:id="rId1"/>
  </sheets>
  <definedNames>
    <definedName name="_xlnm._FilterDatabase" localSheetId="0" hidden="1">'12квОсв'!$A$16:$BV$389</definedName>
    <definedName name="Z_500C2F4F_1743_499A_A051_20565DBF52B2_.wvu.PrintArea" localSheetId="0" hidden="1">'12квОсв'!$A$1:$V$16</definedName>
    <definedName name="_xlnm.Print_Area" localSheetId="0">'12квОсв'!$A$1:$V$16</definedName>
  </definedNames>
  <calcPr calcId="145621"/>
  <customWorkbookViews>
    <customWorkbookView name="KimIV - Личное представление" guid="{500C2F4F-1743-499A-A051-20565DBF52B2}" mergeInterval="0" personalView="1" maximized="1" xWindow="1" yWindow="1" windowWidth="1920" windowHeight="850" tabRatio="796" activeSheetId="1"/>
  </customWorkbookViews>
</workbook>
</file>

<file path=xl/calcChain.xml><?xml version="1.0" encoding="utf-8"?>
<calcChain xmlns="http://schemas.openxmlformats.org/spreadsheetml/2006/main">
  <c r="U252" i="12" l="1"/>
  <c r="U253" i="12"/>
  <c r="U254" i="12"/>
  <c r="U275" i="12"/>
  <c r="U276" i="12"/>
  <c r="U277" i="12"/>
  <c r="U278" i="12"/>
  <c r="U279" i="12"/>
  <c r="U280" i="12"/>
  <c r="U281" i="12"/>
  <c r="U282" i="12"/>
  <c r="U283" i="12"/>
  <c r="U284" i="12"/>
  <c r="U285" i="12"/>
  <c r="U286" i="12"/>
  <c r="U287" i="12"/>
  <c r="U288" i="12"/>
  <c r="U289" i="12"/>
  <c r="U290" i="12"/>
  <c r="U291" i="12"/>
  <c r="U292" i="12"/>
  <c r="U293" i="12"/>
  <c r="U294" i="12"/>
  <c r="U295" i="12"/>
  <c r="U296" i="12"/>
  <c r="U325" i="12"/>
  <c r="U328" i="12"/>
  <c r="U329" i="12"/>
  <c r="U330" i="12"/>
  <c r="U344" i="12"/>
  <c r="U345" i="12"/>
  <c r="U346" i="12"/>
  <c r="U347" i="12"/>
  <c r="U348" i="12"/>
  <c r="U349" i="12"/>
  <c r="U350" i="12"/>
  <c r="U351" i="12"/>
  <c r="U352" i="12"/>
  <c r="U353" i="12"/>
  <c r="U354" i="12"/>
  <c r="U355" i="12"/>
  <c r="U356" i="12"/>
  <c r="U357" i="12"/>
  <c r="U358" i="12"/>
  <c r="U385" i="12"/>
  <c r="U386" i="12"/>
  <c r="U387" i="12"/>
  <c r="U251" i="12"/>
  <c r="U250" i="12"/>
  <c r="U249" i="12"/>
  <c r="U248" i="12"/>
  <c r="U36" i="12"/>
  <c r="U37" i="12"/>
  <c r="U38" i="12"/>
  <c r="U39" i="12"/>
  <c r="U107" i="12"/>
  <c r="U166" i="12"/>
  <c r="U167" i="12"/>
  <c r="U198" i="12"/>
  <c r="U199" i="12"/>
  <c r="U209" i="12"/>
  <c r="U210" i="12"/>
  <c r="U217" i="12"/>
  <c r="U225" i="12"/>
  <c r="U242" i="12"/>
  <c r="U243" i="12"/>
  <c r="U244" i="12"/>
  <c r="U245" i="12"/>
  <c r="U246" i="12"/>
  <c r="U247" i="12"/>
  <c r="T24" i="12" l="1"/>
  <c r="T28" i="12"/>
  <c r="T29" i="12"/>
  <c r="T30" i="12"/>
  <c r="T31" i="12"/>
  <c r="T32" i="12"/>
  <c r="T33" i="12"/>
  <c r="T34" i="12"/>
  <c r="T35" i="12"/>
  <c r="T36" i="12"/>
  <c r="T37" i="12"/>
  <c r="T38" i="12"/>
  <c r="T39" i="12"/>
  <c r="T40" i="12"/>
  <c r="T41" i="12"/>
  <c r="T42" i="12"/>
  <c r="T44" i="12"/>
  <c r="T45" i="12"/>
  <c r="T46" i="12"/>
  <c r="T47" i="12"/>
  <c r="T48" i="12"/>
  <c r="T49" i="12"/>
  <c r="T50" i="12"/>
  <c r="T51" i="12"/>
  <c r="T52" i="12"/>
  <c r="T53" i="12"/>
  <c r="T54" i="12"/>
  <c r="T55" i="12"/>
  <c r="T56" i="12"/>
  <c r="T57" i="12"/>
  <c r="T58" i="12"/>
  <c r="T60" i="12"/>
  <c r="T61" i="12"/>
  <c r="T62" i="12"/>
  <c r="T63" i="12"/>
  <c r="T64" i="12"/>
  <c r="T65" i="12"/>
  <c r="T66" i="12"/>
  <c r="T67" i="12"/>
  <c r="T68" i="12"/>
  <c r="T69" i="12"/>
  <c r="T70" i="12"/>
  <c r="T71" i="12"/>
  <c r="T72" i="12"/>
  <c r="T73" i="12"/>
  <c r="T74" i="12"/>
  <c r="T75" i="12"/>
  <c r="T76" i="12"/>
  <c r="T77" i="12"/>
  <c r="T78" i="12"/>
  <c r="T79" i="12"/>
  <c r="T80" i="12"/>
  <c r="T81" i="12"/>
  <c r="T82" i="12"/>
  <c r="T83" i="12"/>
  <c r="T84" i="12"/>
  <c r="T85" i="12"/>
  <c r="T86" i="12"/>
  <c r="T87" i="12"/>
  <c r="T88" i="12"/>
  <c r="T89" i="12"/>
  <c r="T90" i="12"/>
  <c r="T91" i="12"/>
  <c r="T92" i="12"/>
  <c r="T93" i="12"/>
  <c r="T94" i="12"/>
  <c r="T95" i="12"/>
  <c r="T96" i="12"/>
  <c r="T97" i="12"/>
  <c r="T98" i="12"/>
  <c r="T99" i="12"/>
  <c r="T100" i="12"/>
  <c r="T101" i="12"/>
  <c r="T102" i="12"/>
  <c r="T103" i="12"/>
  <c r="T104" i="12"/>
  <c r="T107" i="12"/>
  <c r="T108" i="12"/>
  <c r="T109" i="12"/>
  <c r="T110" i="12"/>
  <c r="T111" i="12"/>
  <c r="T112" i="12"/>
  <c r="T113" i="12"/>
  <c r="T114" i="12"/>
  <c r="T115" i="12"/>
  <c r="T116" i="12"/>
  <c r="T117" i="12"/>
  <c r="T118" i="12"/>
  <c r="T119" i="12"/>
  <c r="T120" i="12"/>
  <c r="T121" i="12"/>
  <c r="T122" i="12"/>
  <c r="T123" i="12"/>
  <c r="T124" i="12"/>
  <c r="T125" i="12"/>
  <c r="T126" i="12"/>
  <c r="T128" i="12"/>
  <c r="T129" i="12"/>
  <c r="T130" i="12"/>
  <c r="T131" i="12"/>
  <c r="T132" i="12"/>
  <c r="T133" i="12"/>
  <c r="T134" i="12"/>
  <c r="T135" i="12"/>
  <c r="T136" i="12"/>
  <c r="T137" i="12"/>
  <c r="T138" i="12"/>
  <c r="T139" i="12"/>
  <c r="T140" i="12"/>
  <c r="T141" i="12"/>
  <c r="T142" i="12"/>
  <c r="T143" i="12"/>
  <c r="T144" i="12"/>
  <c r="T145" i="12"/>
  <c r="T148" i="12"/>
  <c r="T152" i="12"/>
  <c r="T153" i="12"/>
  <c r="T154" i="12"/>
  <c r="T155" i="12"/>
  <c r="T156" i="12"/>
  <c r="T157" i="12"/>
  <c r="T158" i="12"/>
  <c r="T159" i="12"/>
  <c r="T160" i="12"/>
  <c r="T161" i="12"/>
  <c r="T162" i="12"/>
  <c r="T164" i="12"/>
  <c r="T165" i="12"/>
  <c r="T166" i="12"/>
  <c r="T167" i="12"/>
  <c r="T168" i="12"/>
  <c r="T169" i="12"/>
  <c r="T170" i="12"/>
  <c r="T171" i="12"/>
  <c r="T172" i="12"/>
  <c r="T173" i="12"/>
  <c r="T174" i="12"/>
  <c r="T175" i="12"/>
  <c r="T176" i="12"/>
  <c r="T177" i="12"/>
  <c r="T178" i="12"/>
  <c r="T179" i="12"/>
  <c r="T180" i="12"/>
  <c r="T181" i="12"/>
  <c r="T182" i="12"/>
  <c r="T183" i="12"/>
  <c r="T184" i="12"/>
  <c r="T185" i="12"/>
  <c r="T186" i="12"/>
  <c r="T187" i="12"/>
  <c r="T188" i="12"/>
  <c r="T189" i="12"/>
  <c r="T190" i="12"/>
  <c r="T191" i="12"/>
  <c r="T192" i="12"/>
  <c r="T193" i="12"/>
  <c r="T194" i="12"/>
  <c r="T195" i="12"/>
  <c r="T196" i="12"/>
  <c r="T197" i="12"/>
  <c r="T198" i="12"/>
  <c r="T199" i="12"/>
  <c r="T200" i="12"/>
  <c r="T201" i="12"/>
  <c r="T202" i="12"/>
  <c r="T203" i="12"/>
  <c r="T204" i="12"/>
  <c r="T205" i="12"/>
  <c r="T206" i="12"/>
  <c r="T207" i="12"/>
  <c r="T208" i="12"/>
  <c r="T209" i="12"/>
  <c r="T210" i="12"/>
  <c r="T211" i="12"/>
  <c r="T212" i="12"/>
  <c r="T213" i="12"/>
  <c r="T214" i="12"/>
  <c r="T215" i="12"/>
  <c r="T216" i="12"/>
  <c r="T217" i="12"/>
  <c r="T218" i="12"/>
  <c r="T219" i="12"/>
  <c r="T220" i="12"/>
  <c r="T221" i="12"/>
  <c r="T222" i="12"/>
  <c r="T223" i="12"/>
  <c r="T224" i="12"/>
  <c r="T225" i="12"/>
  <c r="T226" i="12"/>
  <c r="T227" i="12"/>
  <c r="T230" i="12"/>
  <c r="T231" i="12"/>
  <c r="T232" i="12"/>
  <c r="T233" i="12"/>
  <c r="T234" i="12"/>
  <c r="T235" i="12"/>
  <c r="T236" i="12"/>
  <c r="T237" i="12"/>
  <c r="T238" i="12"/>
  <c r="T239" i="12"/>
  <c r="T240" i="12"/>
  <c r="T241" i="12"/>
  <c r="T242" i="12"/>
  <c r="T243" i="12"/>
  <c r="T244" i="12"/>
  <c r="T245" i="12"/>
  <c r="T246" i="12"/>
  <c r="T247" i="12"/>
  <c r="T248" i="12"/>
  <c r="T249" i="12"/>
  <c r="T250" i="12"/>
  <c r="T251" i="12"/>
  <c r="T252" i="12"/>
  <c r="T253" i="12"/>
  <c r="T254" i="12"/>
  <c r="T255" i="12"/>
  <c r="T256" i="12"/>
  <c r="T257" i="12"/>
  <c r="T258" i="12"/>
  <c r="T259" i="12"/>
  <c r="T260" i="12"/>
  <c r="T261" i="12"/>
  <c r="T262" i="12"/>
  <c r="T263" i="12"/>
  <c r="T264" i="12"/>
  <c r="T265" i="12"/>
  <c r="T266" i="12"/>
  <c r="T267" i="12"/>
  <c r="T268" i="12"/>
  <c r="T269" i="12"/>
  <c r="T270" i="12"/>
  <c r="T271" i="12"/>
  <c r="T272" i="12"/>
  <c r="T273" i="12"/>
  <c r="T274" i="12"/>
  <c r="T275" i="12"/>
  <c r="T276" i="12"/>
  <c r="T277" i="12"/>
  <c r="T278" i="12"/>
  <c r="T279" i="12"/>
  <c r="T280" i="12"/>
  <c r="T281" i="12"/>
  <c r="T282" i="12"/>
  <c r="T283" i="12"/>
  <c r="T284" i="12"/>
  <c r="T285" i="12"/>
  <c r="T286" i="12"/>
  <c r="T287" i="12"/>
  <c r="T288" i="12"/>
  <c r="T289" i="12"/>
  <c r="T290" i="12"/>
  <c r="T291" i="12"/>
  <c r="T292" i="12"/>
  <c r="T293" i="12"/>
  <c r="T294" i="12"/>
  <c r="T295" i="12"/>
  <c r="T296" i="12"/>
  <c r="T297" i="12"/>
  <c r="T298" i="12"/>
  <c r="T299" i="12"/>
  <c r="T300" i="12"/>
  <c r="T301" i="12"/>
  <c r="T302" i="12"/>
  <c r="T303" i="12"/>
  <c r="T304" i="12"/>
  <c r="T305" i="12"/>
  <c r="T306" i="12"/>
  <c r="T307" i="12"/>
  <c r="T308" i="12"/>
  <c r="T309" i="12"/>
  <c r="T310" i="12"/>
  <c r="T311" i="12"/>
  <c r="T312" i="12"/>
  <c r="T313" i="12"/>
  <c r="T314" i="12"/>
  <c r="T315" i="12"/>
  <c r="T316" i="12"/>
  <c r="T317" i="12"/>
  <c r="T318" i="12"/>
  <c r="T319" i="12"/>
  <c r="T320" i="12"/>
  <c r="T321" i="12"/>
  <c r="T322" i="12"/>
  <c r="T323" i="12"/>
  <c r="T324" i="12"/>
  <c r="T325" i="12"/>
  <c r="T326" i="12"/>
  <c r="T328" i="12"/>
  <c r="T329" i="12"/>
  <c r="T330" i="12"/>
  <c r="T331" i="12"/>
  <c r="T332" i="12"/>
  <c r="T333" i="12"/>
  <c r="T334" i="12"/>
  <c r="T335" i="12"/>
  <c r="T337" i="12"/>
  <c r="T338" i="12"/>
  <c r="T339" i="12"/>
  <c r="T340" i="12"/>
  <c r="T341" i="12"/>
  <c r="T342" i="12"/>
  <c r="T343" i="12"/>
  <c r="T344" i="12"/>
  <c r="T345" i="12"/>
  <c r="T346" i="12"/>
  <c r="T347" i="12"/>
  <c r="T348" i="12"/>
  <c r="T349" i="12"/>
  <c r="T350" i="12"/>
  <c r="T351" i="12"/>
  <c r="T352" i="12"/>
  <c r="T353" i="12"/>
  <c r="T354" i="12"/>
  <c r="T355" i="12"/>
  <c r="T356" i="12"/>
  <c r="T357" i="12"/>
  <c r="T358" i="12"/>
  <c r="T359" i="12"/>
  <c r="T360" i="12"/>
  <c r="T361" i="12"/>
  <c r="T362" i="12"/>
  <c r="T363" i="12"/>
  <c r="T364" i="12"/>
  <c r="T365" i="12"/>
  <c r="T366" i="12"/>
  <c r="T367" i="12"/>
  <c r="T368" i="12"/>
  <c r="T369" i="12"/>
  <c r="T370" i="12"/>
  <c r="T371" i="12"/>
  <c r="T372" i="12"/>
  <c r="T373" i="12"/>
  <c r="T374" i="12"/>
  <c r="T375" i="12"/>
  <c r="T376" i="12"/>
  <c r="T377" i="12"/>
  <c r="T378" i="12"/>
  <c r="T379" i="12"/>
  <c r="T380" i="12"/>
  <c r="T381" i="12"/>
  <c r="T382" i="12"/>
  <c r="T384" i="12"/>
  <c r="T385" i="12"/>
  <c r="T386" i="12"/>
  <c r="T387" i="12"/>
  <c r="T388" i="12"/>
  <c r="T389" i="12"/>
  <c r="G82" i="12" l="1"/>
  <c r="S82" i="12" s="1"/>
  <c r="G83" i="12"/>
  <c r="S83" i="12" s="1"/>
  <c r="G84" i="12"/>
  <c r="S84" i="12" s="1"/>
  <c r="G85" i="12"/>
  <c r="S85" i="12" s="1"/>
  <c r="G86" i="12"/>
  <c r="G87" i="12"/>
  <c r="S87" i="12" s="1"/>
  <c r="G88" i="12"/>
  <c r="S88" i="12" s="1"/>
  <c r="G89" i="12"/>
  <c r="S89" i="12" s="1"/>
  <c r="G90" i="12"/>
  <c r="G91" i="12"/>
  <c r="S91" i="12" s="1"/>
  <c r="G92" i="12"/>
  <c r="S92" i="12" s="1"/>
  <c r="S86" i="12"/>
  <c r="S90" i="12"/>
  <c r="M59" i="12"/>
  <c r="I24" i="12" l="1"/>
  <c r="I28" i="12"/>
  <c r="S28" i="12" s="1"/>
  <c r="I29" i="12"/>
  <c r="S29" i="12" s="1"/>
  <c r="I30" i="12"/>
  <c r="S30" i="12" s="1"/>
  <c r="I31" i="12"/>
  <c r="S31" i="12" s="1"/>
  <c r="I32" i="12"/>
  <c r="S32" i="12" s="1"/>
  <c r="I33" i="12"/>
  <c r="S33" i="12" s="1"/>
  <c r="I34" i="12"/>
  <c r="S34" i="12" s="1"/>
  <c r="I35" i="12"/>
  <c r="S35" i="12" s="1"/>
  <c r="I40" i="12"/>
  <c r="S40" i="12" s="1"/>
  <c r="I41" i="12"/>
  <c r="I42" i="12"/>
  <c r="I44" i="12"/>
  <c r="S44" i="12" s="1"/>
  <c r="I45" i="12"/>
  <c r="S45" i="12" s="1"/>
  <c r="I46" i="12"/>
  <c r="S46" i="12" s="1"/>
  <c r="I47" i="12"/>
  <c r="S47" i="12" s="1"/>
  <c r="I48" i="12"/>
  <c r="S48" i="12" s="1"/>
  <c r="I49" i="12"/>
  <c r="S49" i="12" s="1"/>
  <c r="I50" i="12"/>
  <c r="S50" i="12" s="1"/>
  <c r="I51" i="12"/>
  <c r="S51" i="12" s="1"/>
  <c r="I55" i="12"/>
  <c r="I56" i="12"/>
  <c r="S56" i="12" s="1"/>
  <c r="I57" i="12"/>
  <c r="I58" i="12"/>
  <c r="I60" i="12"/>
  <c r="S60" i="12" s="1"/>
  <c r="I61" i="12"/>
  <c r="S61" i="12" s="1"/>
  <c r="I62" i="12"/>
  <c r="S62" i="12" s="1"/>
  <c r="I63" i="12"/>
  <c r="S63" i="12" s="1"/>
  <c r="I64" i="12"/>
  <c r="S64" i="12" s="1"/>
  <c r="I65" i="12"/>
  <c r="S65" i="12" s="1"/>
  <c r="I66" i="12"/>
  <c r="S66" i="12" s="1"/>
  <c r="I67" i="12"/>
  <c r="S67" i="12" s="1"/>
  <c r="I68" i="12"/>
  <c r="S68" i="12" s="1"/>
  <c r="I69" i="12"/>
  <c r="S69" i="12" s="1"/>
  <c r="I70" i="12"/>
  <c r="S70" i="12" s="1"/>
  <c r="I71" i="12"/>
  <c r="S71" i="12" s="1"/>
  <c r="I72" i="12"/>
  <c r="S72" i="12" s="1"/>
  <c r="I73" i="12"/>
  <c r="S73" i="12" s="1"/>
  <c r="I74" i="12"/>
  <c r="S74" i="12" s="1"/>
  <c r="I75" i="12"/>
  <c r="S75" i="12" s="1"/>
  <c r="I76" i="12"/>
  <c r="S76" i="12" s="1"/>
  <c r="I79" i="12"/>
  <c r="S79" i="12" s="1"/>
  <c r="I80" i="12"/>
  <c r="I93" i="12"/>
  <c r="I94" i="12"/>
  <c r="I95" i="12"/>
  <c r="I96" i="12"/>
  <c r="I97" i="12"/>
  <c r="I98" i="12"/>
  <c r="I99" i="12"/>
  <c r="I100" i="12"/>
  <c r="I101" i="12"/>
  <c r="I102" i="12"/>
  <c r="I103" i="12"/>
  <c r="I104" i="12"/>
  <c r="I107" i="12"/>
  <c r="I112" i="12"/>
  <c r="I113" i="12"/>
  <c r="I114" i="12"/>
  <c r="I115" i="12"/>
  <c r="I116" i="12"/>
  <c r="I118" i="12"/>
  <c r="I119" i="12"/>
  <c r="I120" i="12"/>
  <c r="S120" i="12" s="1"/>
  <c r="I123" i="12"/>
  <c r="S123" i="12" s="1"/>
  <c r="I124" i="12"/>
  <c r="S124" i="12" s="1"/>
  <c r="I125" i="12"/>
  <c r="S125" i="12" s="1"/>
  <c r="I128" i="12"/>
  <c r="S128" i="12" s="1"/>
  <c r="I129" i="12"/>
  <c r="S129" i="12" s="1"/>
  <c r="I130" i="12"/>
  <c r="I131" i="12"/>
  <c r="I132" i="12"/>
  <c r="I133" i="12"/>
  <c r="I134" i="12"/>
  <c r="I135" i="12"/>
  <c r="I136" i="12"/>
  <c r="I137" i="12"/>
  <c r="I138" i="12"/>
  <c r="I139" i="12"/>
  <c r="S139" i="12" s="1"/>
  <c r="I145" i="12"/>
  <c r="I146" i="12"/>
  <c r="I147" i="12"/>
  <c r="I148" i="12"/>
  <c r="S148" i="12" s="1"/>
  <c r="I154" i="12"/>
  <c r="I155" i="12"/>
  <c r="I156" i="12"/>
  <c r="I157" i="12"/>
  <c r="I158" i="12"/>
  <c r="I159" i="12"/>
  <c r="I161" i="12"/>
  <c r="I164" i="12"/>
  <c r="S164" i="12" s="1"/>
  <c r="I166" i="12"/>
  <c r="I167" i="12"/>
  <c r="I168" i="12"/>
  <c r="I169" i="12"/>
  <c r="I170" i="12"/>
  <c r="I172" i="12"/>
  <c r="I173" i="12"/>
  <c r="I174" i="12"/>
  <c r="I175" i="12"/>
  <c r="I176" i="12"/>
  <c r="I177" i="12"/>
  <c r="I184" i="12"/>
  <c r="I185" i="12"/>
  <c r="I186" i="12"/>
  <c r="I187" i="12"/>
  <c r="I188" i="12"/>
  <c r="I189" i="12"/>
  <c r="I190" i="12"/>
  <c r="I191" i="12"/>
  <c r="I192" i="12"/>
  <c r="I193" i="12"/>
  <c r="I194" i="12"/>
  <c r="I195" i="12"/>
  <c r="I196" i="12"/>
  <c r="I197" i="12"/>
  <c r="I198" i="12"/>
  <c r="I199" i="12"/>
  <c r="I200" i="12"/>
  <c r="I201" i="12"/>
  <c r="I202" i="12"/>
  <c r="I203" i="12"/>
  <c r="I204" i="12"/>
  <c r="I205" i="12"/>
  <c r="I206" i="12"/>
  <c r="I207" i="12"/>
  <c r="I209" i="12"/>
  <c r="I210" i="12"/>
  <c r="I211" i="12"/>
  <c r="I212" i="12"/>
  <c r="I213" i="12"/>
  <c r="I214" i="12"/>
  <c r="I215" i="12"/>
  <c r="I216" i="12"/>
  <c r="I217" i="12"/>
  <c r="I225" i="12"/>
  <c r="I230" i="12"/>
  <c r="S230" i="12" s="1"/>
  <c r="I231" i="12"/>
  <c r="S231" i="12" s="1"/>
  <c r="I232" i="12"/>
  <c r="S232" i="12" s="1"/>
  <c r="I233" i="12"/>
  <c r="S233" i="12" s="1"/>
  <c r="I234" i="12"/>
  <c r="S234" i="12" s="1"/>
  <c r="I235" i="12"/>
  <c r="S235" i="12" s="1"/>
  <c r="I236" i="12"/>
  <c r="S236" i="12" s="1"/>
  <c r="I237" i="12"/>
  <c r="S237" i="12" s="1"/>
  <c r="I238" i="12"/>
  <c r="S238" i="12" s="1"/>
  <c r="I243" i="12"/>
  <c r="I245" i="12"/>
  <c r="I246" i="12"/>
  <c r="I249" i="12"/>
  <c r="I250" i="12"/>
  <c r="I258" i="12"/>
  <c r="S258" i="12" s="1"/>
  <c r="I259" i="12"/>
  <c r="S259" i="12" s="1"/>
  <c r="I260" i="12"/>
  <c r="S260" i="12" s="1"/>
  <c r="I261" i="12"/>
  <c r="S261" i="12" s="1"/>
  <c r="I262" i="12"/>
  <c r="S262" i="12" s="1"/>
  <c r="I263" i="12"/>
  <c r="S263" i="12" s="1"/>
  <c r="I275" i="12"/>
  <c r="I276" i="12"/>
  <c r="I277" i="12"/>
  <c r="I278" i="12"/>
  <c r="I279" i="12"/>
  <c r="I280" i="12"/>
  <c r="I281" i="12"/>
  <c r="I282" i="12"/>
  <c r="I283" i="12"/>
  <c r="I284" i="12"/>
  <c r="I285" i="12"/>
  <c r="I286" i="12"/>
  <c r="I287" i="12"/>
  <c r="I288" i="12"/>
  <c r="I289" i="12"/>
  <c r="I290" i="12"/>
  <c r="I291" i="12"/>
  <c r="I292" i="12"/>
  <c r="I295" i="12"/>
  <c r="I296" i="12"/>
  <c r="I302" i="12"/>
  <c r="I306" i="12"/>
  <c r="S306" i="12" s="1"/>
  <c r="I307" i="12"/>
  <c r="S307" i="12" s="1"/>
  <c r="I308" i="12"/>
  <c r="S308" i="12" s="1"/>
  <c r="I315" i="12"/>
  <c r="I316" i="12"/>
  <c r="I317" i="12"/>
  <c r="I318" i="12"/>
  <c r="I319" i="12"/>
  <c r="I320" i="12"/>
  <c r="I321" i="12"/>
  <c r="I322" i="12"/>
  <c r="I323" i="12"/>
  <c r="I324" i="12"/>
  <c r="I325" i="12"/>
  <c r="I326" i="12"/>
  <c r="I328" i="12"/>
  <c r="I329" i="12"/>
  <c r="I330" i="12"/>
  <c r="I331" i="12"/>
  <c r="I332" i="12"/>
  <c r="I333" i="12"/>
  <c r="I334" i="12"/>
  <c r="I335" i="12"/>
  <c r="I337" i="12"/>
  <c r="S337" i="12" s="1"/>
  <c r="I338" i="12"/>
  <c r="S338" i="12" s="1"/>
  <c r="I339" i="12"/>
  <c r="S339" i="12" s="1"/>
  <c r="I340" i="12"/>
  <c r="S340" i="12" s="1"/>
  <c r="I341" i="12"/>
  <c r="S341" i="12" s="1"/>
  <c r="I342" i="12"/>
  <c r="S342" i="12" s="1"/>
  <c r="I343" i="12"/>
  <c r="S343" i="12" s="1"/>
  <c r="I344" i="12"/>
  <c r="I345" i="12"/>
  <c r="I346" i="12"/>
  <c r="I347" i="12"/>
  <c r="I348" i="12"/>
  <c r="I349" i="12"/>
  <c r="I350" i="12"/>
  <c r="I351" i="12"/>
  <c r="I352" i="12"/>
  <c r="I353" i="12"/>
  <c r="I354" i="12"/>
  <c r="I355" i="12"/>
  <c r="I356" i="12"/>
  <c r="I357" i="12"/>
  <c r="I358" i="12"/>
  <c r="I362" i="12"/>
  <c r="S362" i="12" s="1"/>
  <c r="I363" i="12"/>
  <c r="S363" i="12" s="1"/>
  <c r="I364" i="12"/>
  <c r="S364" i="12" s="1"/>
  <c r="I365" i="12"/>
  <c r="S365" i="12" s="1"/>
  <c r="I366" i="12"/>
  <c r="S366" i="12" s="1"/>
  <c r="I367" i="12"/>
  <c r="S367" i="12" s="1"/>
  <c r="I368" i="12"/>
  <c r="S368" i="12" s="1"/>
  <c r="I369" i="12"/>
  <c r="S369" i="12" s="1"/>
  <c r="I370" i="12"/>
  <c r="S370" i="12" s="1"/>
  <c r="I371" i="12"/>
  <c r="S371" i="12" s="1"/>
  <c r="I372" i="12"/>
  <c r="S372" i="12" s="1"/>
  <c r="I373" i="12"/>
  <c r="S373" i="12" s="1"/>
  <c r="I374" i="12"/>
  <c r="S374" i="12" s="1"/>
  <c r="I375" i="12"/>
  <c r="S375" i="12" s="1"/>
  <c r="I376" i="12"/>
  <c r="S376" i="12" s="1"/>
  <c r="I377" i="12"/>
  <c r="S377" i="12" s="1"/>
  <c r="I378" i="12"/>
  <c r="S378" i="12" s="1"/>
  <c r="I379" i="12"/>
  <c r="S379" i="12" s="1"/>
  <c r="I380" i="12"/>
  <c r="S380" i="12" s="1"/>
  <c r="I381" i="12"/>
  <c r="S381" i="12" s="1"/>
  <c r="I382" i="12"/>
  <c r="I385" i="12"/>
  <c r="I387" i="12"/>
  <c r="M389" i="12" l="1"/>
  <c r="I389" i="12" s="1"/>
  <c r="S389" i="12" s="1"/>
  <c r="M384" i="12"/>
  <c r="I384" i="12" s="1"/>
  <c r="M314" i="12"/>
  <c r="I314" i="12" s="1"/>
  <c r="S314" i="12" s="1"/>
  <c r="M313" i="12"/>
  <c r="I313" i="12" s="1"/>
  <c r="S313" i="12" s="1"/>
  <c r="M312" i="12"/>
  <c r="I312" i="12" s="1"/>
  <c r="S312" i="12" s="1"/>
  <c r="M311" i="12"/>
  <c r="I311" i="12" s="1"/>
  <c r="S311" i="12" s="1"/>
  <c r="M310" i="12"/>
  <c r="I310" i="12" s="1"/>
  <c r="S310" i="12" s="1"/>
  <c r="M309" i="12"/>
  <c r="I309" i="12" s="1"/>
  <c r="S309" i="12" s="1"/>
  <c r="M305" i="12"/>
  <c r="I305" i="12" s="1"/>
  <c r="S305" i="12" s="1"/>
  <c r="M304" i="12"/>
  <c r="I304" i="12" s="1"/>
  <c r="S304" i="12" s="1"/>
  <c r="M303" i="12"/>
  <c r="I303" i="12" s="1"/>
  <c r="S303" i="12" s="1"/>
  <c r="M301" i="12"/>
  <c r="M300" i="12"/>
  <c r="M299" i="12"/>
  <c r="I299" i="12" s="1"/>
  <c r="M294" i="12"/>
  <c r="I294" i="12" s="1"/>
  <c r="M293" i="12"/>
  <c r="I293" i="12" s="1"/>
  <c r="M274" i="12"/>
  <c r="I274" i="12" s="1"/>
  <c r="S274" i="12" s="1"/>
  <c r="M273" i="12"/>
  <c r="I273" i="12" s="1"/>
  <c r="S273" i="12" s="1"/>
  <c r="M272" i="12"/>
  <c r="I272" i="12" s="1"/>
  <c r="S272" i="12" s="1"/>
  <c r="M271" i="12"/>
  <c r="I271" i="12" s="1"/>
  <c r="S271" i="12" s="1"/>
  <c r="M270" i="12"/>
  <c r="I270" i="12" s="1"/>
  <c r="S270" i="12" s="1"/>
  <c r="M269" i="12"/>
  <c r="I269" i="12" s="1"/>
  <c r="S269" i="12" s="1"/>
  <c r="M268" i="12"/>
  <c r="I268" i="12" s="1"/>
  <c r="S268" i="12" s="1"/>
  <c r="M267" i="12"/>
  <c r="I267" i="12" s="1"/>
  <c r="S267" i="12" s="1"/>
  <c r="M266" i="12"/>
  <c r="I266" i="12" s="1"/>
  <c r="S266" i="12" s="1"/>
  <c r="M265" i="12"/>
  <c r="I265" i="12" s="1"/>
  <c r="S265" i="12" s="1"/>
  <c r="M264" i="12"/>
  <c r="I264" i="12" s="1"/>
  <c r="S264" i="12" s="1"/>
  <c r="M257" i="12"/>
  <c r="I257" i="12" s="1"/>
  <c r="S257" i="12" s="1"/>
  <c r="M254" i="12"/>
  <c r="I254" i="12" s="1"/>
  <c r="M253" i="12"/>
  <c r="I253" i="12" s="1"/>
  <c r="M252" i="12"/>
  <c r="I252" i="12" s="1"/>
  <c r="M251" i="12"/>
  <c r="I251" i="12" s="1"/>
  <c r="M248" i="12"/>
  <c r="I248" i="12" s="1"/>
  <c r="M247" i="12"/>
  <c r="I247" i="12" s="1"/>
  <c r="M244" i="12"/>
  <c r="I244" i="12" s="1"/>
  <c r="M242" i="12"/>
  <c r="I242" i="12" s="1"/>
  <c r="M240" i="12"/>
  <c r="M227" i="12"/>
  <c r="I227" i="12" s="1"/>
  <c r="S227" i="12" s="1"/>
  <c r="M226" i="12"/>
  <c r="I226" i="12" s="1"/>
  <c r="S226" i="12" s="1"/>
  <c r="M224" i="12"/>
  <c r="I224" i="12" s="1"/>
  <c r="S224" i="12" s="1"/>
  <c r="M223" i="12"/>
  <c r="I223" i="12" s="1"/>
  <c r="S223" i="12" s="1"/>
  <c r="M222" i="12"/>
  <c r="I222" i="12" s="1"/>
  <c r="S222" i="12" s="1"/>
  <c r="M221" i="12"/>
  <c r="I221" i="12" s="1"/>
  <c r="S221" i="12" s="1"/>
  <c r="M220" i="12"/>
  <c r="I220" i="12" s="1"/>
  <c r="S220" i="12" s="1"/>
  <c r="M219" i="12"/>
  <c r="I219" i="12" s="1"/>
  <c r="S219" i="12" s="1"/>
  <c r="M208" i="12"/>
  <c r="I208" i="12" s="1"/>
  <c r="S208" i="12" s="1"/>
  <c r="M183" i="12"/>
  <c r="I183" i="12" s="1"/>
  <c r="S183" i="12" s="1"/>
  <c r="M182" i="12"/>
  <c r="I182" i="12" s="1"/>
  <c r="S182" i="12" s="1"/>
  <c r="M181" i="12"/>
  <c r="I181" i="12" s="1"/>
  <c r="S181" i="12" s="1"/>
  <c r="M180" i="12"/>
  <c r="I180" i="12" s="1"/>
  <c r="S180" i="12" s="1"/>
  <c r="M179" i="12"/>
  <c r="I179" i="12" s="1"/>
  <c r="S179" i="12" s="1"/>
  <c r="M178" i="12"/>
  <c r="I178" i="12" s="1"/>
  <c r="M171" i="12"/>
  <c r="I171" i="12" s="1"/>
  <c r="M153" i="12"/>
  <c r="I153" i="12" s="1"/>
  <c r="M152" i="12"/>
  <c r="I152" i="12" s="1"/>
  <c r="M144" i="12"/>
  <c r="I144" i="12" s="1"/>
  <c r="S144" i="12" s="1"/>
  <c r="M143" i="12"/>
  <c r="I143" i="12" s="1"/>
  <c r="S143" i="12" s="1"/>
  <c r="M142" i="12"/>
  <c r="M141" i="12"/>
  <c r="I141" i="12" s="1"/>
  <c r="S141" i="12" s="1"/>
  <c r="M140" i="12"/>
  <c r="I140" i="12" s="1"/>
  <c r="S140" i="12" s="1"/>
  <c r="M126" i="12"/>
  <c r="I126" i="12" s="1"/>
  <c r="S126" i="12" s="1"/>
  <c r="M122" i="12"/>
  <c r="I122" i="12" s="1"/>
  <c r="S122" i="12" s="1"/>
  <c r="M121" i="12"/>
  <c r="I117" i="12"/>
  <c r="M383" i="12"/>
  <c r="I121" i="12" l="1"/>
  <c r="S121" i="12" s="1"/>
  <c r="M106" i="12"/>
  <c r="M127" i="12"/>
  <c r="I142" i="12"/>
  <c r="S142" i="12" s="1"/>
  <c r="M336" i="12"/>
  <c r="M229" i="12"/>
  <c r="M163" i="12"/>
  <c r="M23" i="12" l="1"/>
  <c r="M21" i="12"/>
  <c r="M327" i="12"/>
  <c r="M228" i="12"/>
  <c r="M151" i="12"/>
  <c r="M43" i="12"/>
  <c r="M27" i="12"/>
  <c r="M22" i="12"/>
  <c r="M20" i="12"/>
  <c r="H385" i="12"/>
  <c r="G385" i="12" s="1"/>
  <c r="S385" i="12" s="1"/>
  <c r="M105" i="12" l="1"/>
  <c r="M150" i="12"/>
  <c r="M149" i="12" s="1"/>
  <c r="M19" i="12" s="1"/>
  <c r="M26" i="12"/>
  <c r="E388" i="12"/>
  <c r="M25" i="12" l="1"/>
  <c r="E113" i="12"/>
  <c r="J336" i="12"/>
  <c r="L336" i="12"/>
  <c r="N336" i="12"/>
  <c r="P336" i="12"/>
  <c r="Q336" i="12"/>
  <c r="E357" i="12"/>
  <c r="E356" i="12"/>
  <c r="E355" i="12"/>
  <c r="E354" i="12"/>
  <c r="E353" i="12"/>
  <c r="E352" i="12"/>
  <c r="E350" i="12"/>
  <c r="E349" i="12"/>
  <c r="E348" i="12"/>
  <c r="E347" i="12"/>
  <c r="E346" i="12"/>
  <c r="E345" i="12"/>
  <c r="E344" i="12"/>
  <c r="E343" i="12"/>
  <c r="E342" i="12"/>
  <c r="E341" i="12"/>
  <c r="E340" i="12"/>
  <c r="E339" i="12"/>
  <c r="E338" i="12"/>
  <c r="E337" i="12"/>
  <c r="E301" i="12"/>
  <c r="E300" i="12"/>
  <c r="E296" i="12"/>
  <c r="E295" i="12"/>
  <c r="E294" i="12"/>
  <c r="E293" i="12"/>
  <c r="E286" i="12"/>
  <c r="E285" i="12"/>
  <c r="E284" i="12"/>
  <c r="E277" i="12"/>
  <c r="E276" i="12"/>
  <c r="E275" i="12"/>
  <c r="E255" i="12"/>
  <c r="E254" i="12"/>
  <c r="E253" i="12"/>
  <c r="E248" i="12"/>
  <c r="E247" i="12"/>
  <c r="E246" i="12"/>
  <c r="E245" i="12"/>
  <c r="E244" i="12"/>
  <c r="E243" i="12"/>
  <c r="E242" i="12"/>
  <c r="J229" i="12"/>
  <c r="L229" i="12"/>
  <c r="N229" i="12"/>
  <c r="P229" i="12"/>
  <c r="Q229" i="12"/>
  <c r="E238" i="12"/>
  <c r="E237" i="12"/>
  <c r="E236" i="12"/>
  <c r="E235" i="12"/>
  <c r="E234" i="12"/>
  <c r="E233" i="12"/>
  <c r="E232" i="12"/>
  <c r="E231" i="12"/>
  <c r="E230" i="12"/>
  <c r="J163" i="12"/>
  <c r="L163" i="12"/>
  <c r="N163" i="12"/>
  <c r="P163" i="12"/>
  <c r="Q163" i="12"/>
  <c r="E165" i="12"/>
  <c r="E164" i="12"/>
  <c r="E163" i="12" s="1"/>
  <c r="J127" i="12"/>
  <c r="K127" i="12"/>
  <c r="N127" i="12"/>
  <c r="P127" i="12"/>
  <c r="Q127" i="12"/>
  <c r="E127" i="12"/>
  <c r="J59" i="12"/>
  <c r="L59" i="12"/>
  <c r="N59" i="12"/>
  <c r="P59" i="12"/>
  <c r="Q59" i="12"/>
  <c r="E74" i="12"/>
  <c r="E73" i="12"/>
  <c r="E72" i="12"/>
  <c r="E71" i="12"/>
  <c r="E70" i="12"/>
  <c r="E69" i="12"/>
  <c r="E68" i="12"/>
  <c r="E67" i="12"/>
  <c r="E66" i="12"/>
  <c r="E65" i="12"/>
  <c r="E64" i="12"/>
  <c r="E63" i="12"/>
  <c r="E62" i="12"/>
  <c r="E61" i="12"/>
  <c r="E60" i="12"/>
  <c r="J43" i="12"/>
  <c r="L43" i="12"/>
  <c r="N43" i="12"/>
  <c r="P43" i="12"/>
  <c r="Q43" i="12"/>
  <c r="E51" i="12"/>
  <c r="E50" i="12"/>
  <c r="E49" i="12"/>
  <c r="E48" i="12"/>
  <c r="E47" i="12"/>
  <c r="E46" i="12"/>
  <c r="E45" i="12"/>
  <c r="E44" i="12"/>
  <c r="J27" i="12"/>
  <c r="L27" i="12"/>
  <c r="N27" i="12"/>
  <c r="P27" i="12"/>
  <c r="Q27" i="12"/>
  <c r="E35" i="12"/>
  <c r="E34" i="12"/>
  <c r="E33" i="12"/>
  <c r="E32" i="12"/>
  <c r="E31" i="12"/>
  <c r="E30" i="12"/>
  <c r="E29" i="12"/>
  <c r="E28" i="12"/>
  <c r="I127" i="12" l="1"/>
  <c r="M18" i="12"/>
  <c r="E336" i="12"/>
  <c r="E43" i="12"/>
  <c r="E59" i="12"/>
  <c r="E229" i="12"/>
  <c r="E27" i="12"/>
  <c r="M17" i="12" l="1"/>
  <c r="E383" i="12"/>
  <c r="E23" i="12" s="1"/>
  <c r="E21" i="12"/>
  <c r="E327" i="12"/>
  <c r="E228" i="12"/>
  <c r="E151" i="12"/>
  <c r="E106" i="12"/>
  <c r="E22" i="12"/>
  <c r="E20" i="12"/>
  <c r="E150" i="12" l="1"/>
  <c r="E149" i="12" s="1"/>
  <c r="E19" i="12" s="1"/>
  <c r="E105" i="12"/>
  <c r="E26" i="12"/>
  <c r="E25" i="12" l="1"/>
  <c r="E18" i="12" s="1"/>
  <c r="E17" i="12" s="1"/>
  <c r="H78" i="12"/>
  <c r="H79" i="12"/>
  <c r="H80" i="12"/>
  <c r="G80" i="12" s="1"/>
  <c r="S80" i="12" s="1"/>
  <c r="G81" i="12"/>
  <c r="S81" i="12" s="1"/>
  <c r="H77" i="12"/>
  <c r="G59" i="12" l="1"/>
  <c r="K78" i="12" l="1"/>
  <c r="K77" i="12"/>
  <c r="H75" i="12"/>
  <c r="H59" i="12" s="1"/>
  <c r="I78" i="12" l="1"/>
  <c r="S78" i="12" s="1"/>
  <c r="I77" i="12"/>
  <c r="S77" i="12" s="1"/>
  <c r="K59" i="12"/>
  <c r="T59" i="12" s="1"/>
  <c r="H20" i="12"/>
  <c r="G20" i="12" s="1"/>
  <c r="H21" i="12"/>
  <c r="G21" i="12" s="1"/>
  <c r="H22" i="12"/>
  <c r="G22" i="12" s="1"/>
  <c r="H23" i="12"/>
  <c r="G23" i="12" s="1"/>
  <c r="H24" i="12"/>
  <c r="G24" i="12" s="1"/>
  <c r="S24" i="12" s="1"/>
  <c r="H26" i="12"/>
  <c r="G26" i="12" s="1"/>
  <c r="H36" i="12"/>
  <c r="G36" i="12" s="1"/>
  <c r="H37" i="12"/>
  <c r="G37" i="12" s="1"/>
  <c r="H38" i="12"/>
  <c r="G38" i="12" s="1"/>
  <c r="H39" i="12"/>
  <c r="G39" i="12" s="1"/>
  <c r="H41" i="12"/>
  <c r="G41" i="12" s="1"/>
  <c r="S41" i="12" s="1"/>
  <c r="H42" i="12"/>
  <c r="G42" i="12" s="1"/>
  <c r="S42" i="12" s="1"/>
  <c r="H52" i="12"/>
  <c r="G52" i="12" s="1"/>
  <c r="H53" i="12"/>
  <c r="G53" i="12" s="1"/>
  <c r="S55" i="12"/>
  <c r="H57" i="12"/>
  <c r="G57" i="12" s="1"/>
  <c r="S57" i="12" s="1"/>
  <c r="H58" i="12"/>
  <c r="G58" i="12" s="1"/>
  <c r="S58" i="12" s="1"/>
  <c r="H93" i="12"/>
  <c r="G93" i="12" s="1"/>
  <c r="S93" i="12" s="1"/>
  <c r="H94" i="12"/>
  <c r="G94" i="12" s="1"/>
  <c r="S94" i="12" s="1"/>
  <c r="H95" i="12"/>
  <c r="G95" i="12" s="1"/>
  <c r="S95" i="12" s="1"/>
  <c r="H96" i="12"/>
  <c r="G96" i="12" s="1"/>
  <c r="S96" i="12" s="1"/>
  <c r="H97" i="12"/>
  <c r="G97" i="12" s="1"/>
  <c r="S97" i="12" s="1"/>
  <c r="H98" i="12"/>
  <c r="G98" i="12" s="1"/>
  <c r="S98" i="12" s="1"/>
  <c r="H99" i="12"/>
  <c r="G99" i="12" s="1"/>
  <c r="S99" i="12" s="1"/>
  <c r="H100" i="12"/>
  <c r="G100" i="12" s="1"/>
  <c r="S100" i="12" s="1"/>
  <c r="H101" i="12"/>
  <c r="G101" i="12" s="1"/>
  <c r="S101" i="12" s="1"/>
  <c r="H102" i="12"/>
  <c r="G102" i="12" s="1"/>
  <c r="S102" i="12" s="1"/>
  <c r="H103" i="12"/>
  <c r="G103" i="12" s="1"/>
  <c r="S103" i="12" s="1"/>
  <c r="H104" i="12"/>
  <c r="G104" i="12" s="1"/>
  <c r="S104" i="12" s="1"/>
  <c r="H106" i="12"/>
  <c r="G106" i="12" s="1"/>
  <c r="H107" i="12"/>
  <c r="G107" i="12" s="1"/>
  <c r="S107" i="12" s="1"/>
  <c r="H108" i="12"/>
  <c r="G108" i="12" s="1"/>
  <c r="H109" i="12"/>
  <c r="G109" i="12" s="1"/>
  <c r="H110" i="12"/>
  <c r="G110" i="12" s="1"/>
  <c r="H111" i="12"/>
  <c r="G111" i="12" s="1"/>
  <c r="H112" i="12"/>
  <c r="G112" i="12" s="1"/>
  <c r="S112" i="12" s="1"/>
  <c r="H113" i="12"/>
  <c r="G113" i="12" s="1"/>
  <c r="S113" i="12" s="1"/>
  <c r="H114" i="12"/>
  <c r="G114" i="12" s="1"/>
  <c r="S114" i="12" s="1"/>
  <c r="H115" i="12"/>
  <c r="G115" i="12" s="1"/>
  <c r="S115" i="12" s="1"/>
  <c r="H116" i="12"/>
  <c r="G116" i="12" s="1"/>
  <c r="S116" i="12" s="1"/>
  <c r="H117" i="12"/>
  <c r="G117" i="12" s="1"/>
  <c r="S117" i="12" s="1"/>
  <c r="H118" i="12"/>
  <c r="G118" i="12" s="1"/>
  <c r="S118" i="12" s="1"/>
  <c r="H119" i="12"/>
  <c r="G119" i="12" s="1"/>
  <c r="S119" i="12" s="1"/>
  <c r="H130" i="12"/>
  <c r="G130" i="12" s="1"/>
  <c r="S130" i="12" s="1"/>
  <c r="H131" i="12"/>
  <c r="G131" i="12" s="1"/>
  <c r="S131" i="12" s="1"/>
  <c r="H132" i="12"/>
  <c r="G132" i="12" s="1"/>
  <c r="S132" i="12" s="1"/>
  <c r="H133" i="12"/>
  <c r="G133" i="12" s="1"/>
  <c r="S133" i="12" s="1"/>
  <c r="H134" i="12"/>
  <c r="G134" i="12" s="1"/>
  <c r="S134" i="12" s="1"/>
  <c r="H135" i="12"/>
  <c r="G135" i="12" s="1"/>
  <c r="S135" i="12" s="1"/>
  <c r="H136" i="12"/>
  <c r="G136" i="12" s="1"/>
  <c r="S136" i="12" s="1"/>
  <c r="H137" i="12"/>
  <c r="G137" i="12" s="1"/>
  <c r="S137" i="12" s="1"/>
  <c r="H138" i="12"/>
  <c r="G138" i="12" s="1"/>
  <c r="S138" i="12" s="1"/>
  <c r="H145" i="12"/>
  <c r="G145" i="12" s="1"/>
  <c r="S145" i="12" s="1"/>
  <c r="H151" i="12"/>
  <c r="G151" i="12" s="1"/>
  <c r="H152" i="12"/>
  <c r="G152" i="12" s="1"/>
  <c r="S152" i="12" s="1"/>
  <c r="H153" i="12"/>
  <c r="G153" i="12" s="1"/>
  <c r="S153" i="12" s="1"/>
  <c r="H154" i="12"/>
  <c r="G154" i="12" s="1"/>
  <c r="S154" i="12" s="1"/>
  <c r="H155" i="12"/>
  <c r="G155" i="12" s="1"/>
  <c r="S155" i="12" s="1"/>
  <c r="H156" i="12"/>
  <c r="G156" i="12" s="1"/>
  <c r="S156" i="12" s="1"/>
  <c r="H157" i="12"/>
  <c r="G157" i="12" s="1"/>
  <c r="S157" i="12" s="1"/>
  <c r="H158" i="12"/>
  <c r="G158" i="12" s="1"/>
  <c r="S158" i="12" s="1"/>
  <c r="H159" i="12"/>
  <c r="G159" i="12" s="1"/>
  <c r="S159" i="12" s="1"/>
  <c r="H160" i="12"/>
  <c r="G160" i="12" s="1"/>
  <c r="H161" i="12"/>
  <c r="G161" i="12" s="1"/>
  <c r="S161" i="12" s="1"/>
  <c r="H162" i="12"/>
  <c r="G162" i="12" s="1"/>
  <c r="H165" i="12"/>
  <c r="G165" i="12" s="1"/>
  <c r="H166" i="12"/>
  <c r="G166" i="12" s="1"/>
  <c r="S166" i="12" s="1"/>
  <c r="H167" i="12"/>
  <c r="G167" i="12" s="1"/>
  <c r="S167" i="12" s="1"/>
  <c r="H168" i="12"/>
  <c r="G168" i="12" s="1"/>
  <c r="S168" i="12" s="1"/>
  <c r="H169" i="12"/>
  <c r="G169" i="12" s="1"/>
  <c r="S169" i="12" s="1"/>
  <c r="H170" i="12"/>
  <c r="G170" i="12" s="1"/>
  <c r="S170" i="12" s="1"/>
  <c r="H171" i="12"/>
  <c r="G171" i="12" s="1"/>
  <c r="S171" i="12" s="1"/>
  <c r="H172" i="12"/>
  <c r="G172" i="12" s="1"/>
  <c r="S172" i="12" s="1"/>
  <c r="H173" i="12"/>
  <c r="G173" i="12" s="1"/>
  <c r="S173" i="12" s="1"/>
  <c r="H174" i="12"/>
  <c r="G174" i="12" s="1"/>
  <c r="S174" i="12" s="1"/>
  <c r="H175" i="12"/>
  <c r="G175" i="12" s="1"/>
  <c r="S175" i="12" s="1"/>
  <c r="H176" i="12"/>
  <c r="G176" i="12" s="1"/>
  <c r="S176" i="12" s="1"/>
  <c r="H177" i="12"/>
  <c r="G177" i="12" s="1"/>
  <c r="S177" i="12" s="1"/>
  <c r="H178" i="12"/>
  <c r="G178" i="12" s="1"/>
  <c r="S178" i="12" s="1"/>
  <c r="H184" i="12"/>
  <c r="G184" i="12" s="1"/>
  <c r="S184" i="12" s="1"/>
  <c r="H185" i="12"/>
  <c r="G185" i="12" s="1"/>
  <c r="S185" i="12" s="1"/>
  <c r="H186" i="12"/>
  <c r="G186" i="12" s="1"/>
  <c r="S186" i="12" s="1"/>
  <c r="H187" i="12"/>
  <c r="G187" i="12" s="1"/>
  <c r="S187" i="12" s="1"/>
  <c r="H188" i="12"/>
  <c r="G188" i="12" s="1"/>
  <c r="S188" i="12" s="1"/>
  <c r="H189" i="12"/>
  <c r="G189" i="12" s="1"/>
  <c r="S189" i="12" s="1"/>
  <c r="H190" i="12"/>
  <c r="G190" i="12" s="1"/>
  <c r="S190" i="12" s="1"/>
  <c r="H191" i="12"/>
  <c r="G191" i="12" s="1"/>
  <c r="S191" i="12" s="1"/>
  <c r="H192" i="12"/>
  <c r="G192" i="12" s="1"/>
  <c r="S192" i="12" s="1"/>
  <c r="H193" i="12"/>
  <c r="G193" i="12" s="1"/>
  <c r="S193" i="12" s="1"/>
  <c r="H194" i="12"/>
  <c r="G194" i="12" s="1"/>
  <c r="S194" i="12" s="1"/>
  <c r="H195" i="12"/>
  <c r="G195" i="12" s="1"/>
  <c r="S195" i="12" s="1"/>
  <c r="H196" i="12"/>
  <c r="G196" i="12" s="1"/>
  <c r="S196" i="12" s="1"/>
  <c r="H197" i="12"/>
  <c r="G197" i="12" s="1"/>
  <c r="S197" i="12" s="1"/>
  <c r="H198" i="12"/>
  <c r="G198" i="12" s="1"/>
  <c r="S198" i="12" s="1"/>
  <c r="H199" i="12"/>
  <c r="G199" i="12" s="1"/>
  <c r="S199" i="12" s="1"/>
  <c r="H200" i="12"/>
  <c r="G200" i="12" s="1"/>
  <c r="S200" i="12" s="1"/>
  <c r="H201" i="12"/>
  <c r="G201" i="12" s="1"/>
  <c r="S201" i="12" s="1"/>
  <c r="H202" i="12"/>
  <c r="G202" i="12" s="1"/>
  <c r="S202" i="12" s="1"/>
  <c r="H203" i="12"/>
  <c r="G203" i="12" s="1"/>
  <c r="S203" i="12" s="1"/>
  <c r="H204" i="12"/>
  <c r="G204" i="12" s="1"/>
  <c r="S204" i="12" s="1"/>
  <c r="H205" i="12"/>
  <c r="G205" i="12" s="1"/>
  <c r="S205" i="12" s="1"/>
  <c r="H206" i="12"/>
  <c r="G206" i="12" s="1"/>
  <c r="S206" i="12" s="1"/>
  <c r="H207" i="12"/>
  <c r="G207" i="12" s="1"/>
  <c r="S207" i="12" s="1"/>
  <c r="H209" i="12"/>
  <c r="G209" i="12" s="1"/>
  <c r="S209" i="12" s="1"/>
  <c r="H210" i="12"/>
  <c r="G210" i="12" s="1"/>
  <c r="S210" i="12" s="1"/>
  <c r="H211" i="12"/>
  <c r="G211" i="12" s="1"/>
  <c r="S211" i="12" s="1"/>
  <c r="H212" i="12"/>
  <c r="G212" i="12" s="1"/>
  <c r="S212" i="12" s="1"/>
  <c r="H213" i="12"/>
  <c r="G213" i="12" s="1"/>
  <c r="S213" i="12" s="1"/>
  <c r="H214" i="12"/>
  <c r="G214" i="12" s="1"/>
  <c r="S214" i="12" s="1"/>
  <c r="H215" i="12"/>
  <c r="G215" i="12" s="1"/>
  <c r="S215" i="12" s="1"/>
  <c r="H216" i="12"/>
  <c r="G216" i="12" s="1"/>
  <c r="S216" i="12" s="1"/>
  <c r="H217" i="12"/>
  <c r="G217" i="12" s="1"/>
  <c r="S217" i="12" s="1"/>
  <c r="H218" i="12"/>
  <c r="G218" i="12" s="1"/>
  <c r="H225" i="12"/>
  <c r="G225" i="12" s="1"/>
  <c r="S225" i="12" s="1"/>
  <c r="H228" i="12"/>
  <c r="G228" i="12" s="1"/>
  <c r="H239" i="12"/>
  <c r="G239" i="12" s="1"/>
  <c r="H240" i="12"/>
  <c r="G240" i="12" s="1"/>
  <c r="H241" i="12"/>
  <c r="G241" i="12" s="1"/>
  <c r="H242" i="12"/>
  <c r="G242" i="12" s="1"/>
  <c r="S242" i="12" s="1"/>
  <c r="H243" i="12"/>
  <c r="G243" i="12" s="1"/>
  <c r="S243" i="12" s="1"/>
  <c r="H244" i="12"/>
  <c r="G244" i="12" s="1"/>
  <c r="S244" i="12" s="1"/>
  <c r="H245" i="12"/>
  <c r="G245" i="12" s="1"/>
  <c r="S245" i="12" s="1"/>
  <c r="H246" i="12"/>
  <c r="G246" i="12" s="1"/>
  <c r="S246" i="12" s="1"/>
  <c r="H247" i="12"/>
  <c r="G247" i="12" s="1"/>
  <c r="S247" i="12" s="1"/>
  <c r="H248" i="12"/>
  <c r="G248" i="12" s="1"/>
  <c r="S248" i="12" s="1"/>
  <c r="H249" i="12"/>
  <c r="G249" i="12" s="1"/>
  <c r="S249" i="12" s="1"/>
  <c r="H250" i="12"/>
  <c r="G250" i="12" s="1"/>
  <c r="S250" i="12" s="1"/>
  <c r="H251" i="12"/>
  <c r="G251" i="12" s="1"/>
  <c r="S251" i="12" s="1"/>
  <c r="H252" i="12"/>
  <c r="G252" i="12" s="1"/>
  <c r="S252" i="12" s="1"/>
  <c r="H253" i="12"/>
  <c r="G253" i="12" s="1"/>
  <c r="S253" i="12" s="1"/>
  <c r="H254" i="12"/>
  <c r="G254" i="12" s="1"/>
  <c r="S254" i="12" s="1"/>
  <c r="H255" i="12"/>
  <c r="G255" i="12" s="1"/>
  <c r="H256" i="12"/>
  <c r="G256" i="12" s="1"/>
  <c r="H275" i="12"/>
  <c r="G275" i="12" s="1"/>
  <c r="S275" i="12" s="1"/>
  <c r="H276" i="12"/>
  <c r="G276" i="12" s="1"/>
  <c r="S276" i="12" s="1"/>
  <c r="H277" i="12"/>
  <c r="G277" i="12" s="1"/>
  <c r="S277" i="12" s="1"/>
  <c r="H278" i="12"/>
  <c r="G278" i="12" s="1"/>
  <c r="S278" i="12" s="1"/>
  <c r="H279" i="12"/>
  <c r="G279" i="12" s="1"/>
  <c r="S279" i="12" s="1"/>
  <c r="H280" i="12"/>
  <c r="G280" i="12" s="1"/>
  <c r="S280" i="12" s="1"/>
  <c r="H281" i="12"/>
  <c r="G281" i="12" s="1"/>
  <c r="S281" i="12" s="1"/>
  <c r="H282" i="12"/>
  <c r="G282" i="12" s="1"/>
  <c r="S282" i="12" s="1"/>
  <c r="H283" i="12"/>
  <c r="G283" i="12" s="1"/>
  <c r="S283" i="12" s="1"/>
  <c r="H284" i="12"/>
  <c r="G284" i="12" s="1"/>
  <c r="S284" i="12" s="1"/>
  <c r="H285" i="12"/>
  <c r="G285" i="12" s="1"/>
  <c r="S285" i="12" s="1"/>
  <c r="H286" i="12"/>
  <c r="G286" i="12" s="1"/>
  <c r="S286" i="12" s="1"/>
  <c r="H287" i="12"/>
  <c r="G287" i="12" s="1"/>
  <c r="S287" i="12" s="1"/>
  <c r="H288" i="12"/>
  <c r="G288" i="12" s="1"/>
  <c r="S288" i="12" s="1"/>
  <c r="H289" i="12"/>
  <c r="G289" i="12" s="1"/>
  <c r="S289" i="12" s="1"/>
  <c r="H290" i="12"/>
  <c r="G290" i="12" s="1"/>
  <c r="S290" i="12" s="1"/>
  <c r="H291" i="12"/>
  <c r="G291" i="12" s="1"/>
  <c r="S291" i="12" s="1"/>
  <c r="H292" i="12"/>
  <c r="G292" i="12" s="1"/>
  <c r="S292" i="12" s="1"/>
  <c r="H293" i="12"/>
  <c r="G293" i="12" s="1"/>
  <c r="S293" i="12" s="1"/>
  <c r="H294" i="12"/>
  <c r="G294" i="12" s="1"/>
  <c r="S294" i="12" s="1"/>
  <c r="H295" i="12"/>
  <c r="G295" i="12" s="1"/>
  <c r="S295" i="12" s="1"/>
  <c r="H296" i="12"/>
  <c r="G296" i="12" s="1"/>
  <c r="S296" i="12" s="1"/>
  <c r="H297" i="12"/>
  <c r="G297" i="12" s="1"/>
  <c r="H298" i="12"/>
  <c r="G298" i="12" s="1"/>
  <c r="H299" i="12"/>
  <c r="G299" i="12" s="1"/>
  <c r="S299" i="12" s="1"/>
  <c r="H300" i="12"/>
  <c r="G300" i="12" s="1"/>
  <c r="H301" i="12"/>
  <c r="G301" i="12" s="1"/>
  <c r="H302" i="12"/>
  <c r="G302" i="12" s="1"/>
  <c r="S302" i="12" s="1"/>
  <c r="H315" i="12"/>
  <c r="G315" i="12" s="1"/>
  <c r="S315" i="12" s="1"/>
  <c r="H316" i="12"/>
  <c r="G316" i="12" s="1"/>
  <c r="S316" i="12" s="1"/>
  <c r="H317" i="12"/>
  <c r="G317" i="12" s="1"/>
  <c r="S317" i="12" s="1"/>
  <c r="H318" i="12"/>
  <c r="G318" i="12" s="1"/>
  <c r="S318" i="12" s="1"/>
  <c r="H319" i="12"/>
  <c r="G319" i="12" s="1"/>
  <c r="S319" i="12" s="1"/>
  <c r="H320" i="12"/>
  <c r="G320" i="12" s="1"/>
  <c r="S320" i="12" s="1"/>
  <c r="H321" i="12"/>
  <c r="G321" i="12" s="1"/>
  <c r="S321" i="12" s="1"/>
  <c r="H322" i="12"/>
  <c r="G322" i="12" s="1"/>
  <c r="S322" i="12" s="1"/>
  <c r="H323" i="12"/>
  <c r="G323" i="12" s="1"/>
  <c r="S323" i="12" s="1"/>
  <c r="H324" i="12"/>
  <c r="G324" i="12" s="1"/>
  <c r="S324" i="12" s="1"/>
  <c r="H325" i="12"/>
  <c r="G325" i="12" s="1"/>
  <c r="S325" i="12" s="1"/>
  <c r="H326" i="12"/>
  <c r="G326" i="12" s="1"/>
  <c r="S326" i="12" s="1"/>
  <c r="H327" i="12"/>
  <c r="G327" i="12" s="1"/>
  <c r="H328" i="12"/>
  <c r="G328" i="12" s="1"/>
  <c r="S328" i="12" s="1"/>
  <c r="H329" i="12"/>
  <c r="G329" i="12" s="1"/>
  <c r="S329" i="12" s="1"/>
  <c r="H330" i="12"/>
  <c r="G330" i="12" s="1"/>
  <c r="S330" i="12" s="1"/>
  <c r="H331" i="12"/>
  <c r="G331" i="12" s="1"/>
  <c r="S331" i="12" s="1"/>
  <c r="H332" i="12"/>
  <c r="G332" i="12" s="1"/>
  <c r="S332" i="12" s="1"/>
  <c r="H333" i="12"/>
  <c r="G333" i="12" s="1"/>
  <c r="S333" i="12" s="1"/>
  <c r="H334" i="12"/>
  <c r="G334" i="12" s="1"/>
  <c r="S334" i="12" s="1"/>
  <c r="H335" i="12"/>
  <c r="G335" i="12" s="1"/>
  <c r="S335" i="12" s="1"/>
  <c r="H344" i="12"/>
  <c r="G344" i="12" s="1"/>
  <c r="S344" i="12" s="1"/>
  <c r="H345" i="12"/>
  <c r="G345" i="12" s="1"/>
  <c r="S345" i="12" s="1"/>
  <c r="H346" i="12"/>
  <c r="G346" i="12" s="1"/>
  <c r="S346" i="12" s="1"/>
  <c r="H347" i="12"/>
  <c r="G347" i="12" s="1"/>
  <c r="S347" i="12" s="1"/>
  <c r="H348" i="12"/>
  <c r="G348" i="12" s="1"/>
  <c r="S348" i="12" s="1"/>
  <c r="H349" i="12"/>
  <c r="G349" i="12" s="1"/>
  <c r="S349" i="12" s="1"/>
  <c r="H350" i="12"/>
  <c r="G350" i="12" s="1"/>
  <c r="S350" i="12" s="1"/>
  <c r="H351" i="12"/>
  <c r="G351" i="12" s="1"/>
  <c r="S351" i="12" s="1"/>
  <c r="H352" i="12"/>
  <c r="G352" i="12" s="1"/>
  <c r="S352" i="12" s="1"/>
  <c r="H353" i="12"/>
  <c r="G353" i="12" s="1"/>
  <c r="S353" i="12" s="1"/>
  <c r="H354" i="12"/>
  <c r="G354" i="12" s="1"/>
  <c r="S354" i="12" s="1"/>
  <c r="H355" i="12"/>
  <c r="G355" i="12" s="1"/>
  <c r="S355" i="12" s="1"/>
  <c r="H356" i="12"/>
  <c r="G356" i="12" s="1"/>
  <c r="S356" i="12" s="1"/>
  <c r="H357" i="12"/>
  <c r="G357" i="12" s="1"/>
  <c r="S357" i="12" s="1"/>
  <c r="H358" i="12"/>
  <c r="G358" i="12" s="1"/>
  <c r="S358" i="12" s="1"/>
  <c r="H359" i="12"/>
  <c r="G359" i="12" s="1"/>
  <c r="H360" i="12"/>
  <c r="G360" i="12" s="1"/>
  <c r="H361" i="12"/>
  <c r="G361" i="12" s="1"/>
  <c r="H382" i="12"/>
  <c r="G382" i="12" s="1"/>
  <c r="S382" i="12" s="1"/>
  <c r="H383" i="12"/>
  <c r="G383" i="12" s="1"/>
  <c r="H384" i="12"/>
  <c r="G384" i="12" s="1"/>
  <c r="S384" i="12" s="1"/>
  <c r="H386" i="12"/>
  <c r="G386" i="12" s="1"/>
  <c r="H387" i="12"/>
  <c r="G387" i="12" s="1"/>
  <c r="S387" i="12" s="1"/>
  <c r="H388" i="12"/>
  <c r="G388" i="12" s="1"/>
  <c r="I59" i="12" l="1"/>
  <c r="S59" i="12" s="1"/>
  <c r="G229" i="12"/>
  <c r="G163" i="12"/>
  <c r="G43" i="12"/>
  <c r="G27" i="12"/>
  <c r="G336" i="12"/>
  <c r="H336" i="12"/>
  <c r="H229" i="12"/>
  <c r="H163" i="12"/>
  <c r="H43" i="12"/>
  <c r="H27" i="12"/>
  <c r="P105" i="12" l="1"/>
  <c r="P150" i="12"/>
  <c r="K388" i="12"/>
  <c r="K386" i="12"/>
  <c r="K54" i="12"/>
  <c r="K53" i="12"/>
  <c r="K52" i="12"/>
  <c r="K39" i="12"/>
  <c r="K38" i="12"/>
  <c r="K37" i="12"/>
  <c r="K36" i="12"/>
  <c r="K22" i="12"/>
  <c r="T22" i="12" s="1"/>
  <c r="K20" i="12"/>
  <c r="T20" i="12" s="1"/>
  <c r="I37" i="12" l="1"/>
  <c r="S37" i="12" s="1"/>
  <c r="I53" i="12"/>
  <c r="S53" i="12" s="1"/>
  <c r="I20" i="12"/>
  <c r="S20" i="12" s="1"/>
  <c r="I38" i="12"/>
  <c r="S38" i="12" s="1"/>
  <c r="I54" i="12"/>
  <c r="S54" i="12" s="1"/>
  <c r="I22" i="12"/>
  <c r="S22" i="12" s="1"/>
  <c r="I39" i="12"/>
  <c r="S39" i="12" s="1"/>
  <c r="I386" i="12"/>
  <c r="S386" i="12" s="1"/>
  <c r="I36" i="12"/>
  <c r="S36" i="12" s="1"/>
  <c r="I52" i="12"/>
  <c r="S52" i="12" s="1"/>
  <c r="I388" i="12"/>
  <c r="S388" i="12" s="1"/>
  <c r="K43" i="12"/>
  <c r="K27" i="12"/>
  <c r="P25" i="12"/>
  <c r="H105" i="12"/>
  <c r="G105" i="12" s="1"/>
  <c r="P149" i="12"/>
  <c r="H150" i="12"/>
  <c r="G150" i="12" s="1"/>
  <c r="K383" i="12"/>
  <c r="K361" i="12"/>
  <c r="K360" i="12"/>
  <c r="K359" i="12"/>
  <c r="K301" i="12"/>
  <c r="K300" i="12"/>
  <c r="K298" i="12"/>
  <c r="K297" i="12"/>
  <c r="K256" i="12"/>
  <c r="K255" i="12"/>
  <c r="K241" i="12"/>
  <c r="K240" i="12"/>
  <c r="K239" i="12"/>
  <c r="K218" i="12"/>
  <c r="K165" i="12"/>
  <c r="K162" i="12"/>
  <c r="K160" i="12"/>
  <c r="T146" i="12"/>
  <c r="K111" i="12"/>
  <c r="K110" i="12"/>
  <c r="K109" i="12"/>
  <c r="T27" i="12" l="1"/>
  <c r="T43" i="12"/>
  <c r="H147" i="12"/>
  <c r="G147" i="12" s="1"/>
  <c r="S147" i="12" s="1"/>
  <c r="T147" i="12"/>
  <c r="U383" i="12"/>
  <c r="T383" i="12"/>
  <c r="I165" i="12"/>
  <c r="S165" i="12" s="1"/>
  <c r="I241" i="12"/>
  <c r="S241" i="12" s="1"/>
  <c r="I298" i="12"/>
  <c r="S298" i="12" s="1"/>
  <c r="I360" i="12"/>
  <c r="S360" i="12" s="1"/>
  <c r="I43" i="12"/>
  <c r="S43" i="12" s="1"/>
  <c r="I109" i="12"/>
  <c r="S109" i="12" s="1"/>
  <c r="I218" i="12"/>
  <c r="S218" i="12" s="1"/>
  <c r="I255" i="12"/>
  <c r="S255" i="12" s="1"/>
  <c r="I300" i="12"/>
  <c r="S300" i="12" s="1"/>
  <c r="I361" i="12"/>
  <c r="S361" i="12" s="1"/>
  <c r="I110" i="12"/>
  <c r="S110" i="12" s="1"/>
  <c r="I160" i="12"/>
  <c r="S160" i="12" s="1"/>
  <c r="I239" i="12"/>
  <c r="S239" i="12" s="1"/>
  <c r="I256" i="12"/>
  <c r="S256" i="12" s="1"/>
  <c r="I301" i="12"/>
  <c r="S301" i="12" s="1"/>
  <c r="I383" i="12"/>
  <c r="S383" i="12" s="1"/>
  <c r="I111" i="12"/>
  <c r="S111" i="12" s="1"/>
  <c r="I162" i="12"/>
  <c r="S162" i="12" s="1"/>
  <c r="I240" i="12"/>
  <c r="S240" i="12" s="1"/>
  <c r="I297" i="12"/>
  <c r="S297" i="12" s="1"/>
  <c r="I359" i="12"/>
  <c r="S359" i="12" s="1"/>
  <c r="I27" i="12"/>
  <c r="S27" i="12" s="1"/>
  <c r="K163" i="12"/>
  <c r="K336" i="12"/>
  <c r="H146" i="12"/>
  <c r="G146" i="12" s="1"/>
  <c r="S146" i="12" s="1"/>
  <c r="L127" i="12"/>
  <c r="K229" i="12"/>
  <c r="P18" i="12"/>
  <c r="H18" i="12" s="1"/>
  <c r="G18" i="12" s="1"/>
  <c r="H25" i="12"/>
  <c r="G25" i="12" s="1"/>
  <c r="P19" i="12"/>
  <c r="H19" i="12" s="1"/>
  <c r="G19" i="12" s="1"/>
  <c r="H149" i="12"/>
  <c r="G149" i="12" s="1"/>
  <c r="K108" i="12"/>
  <c r="T127" i="12" l="1"/>
  <c r="U163" i="12"/>
  <c r="T163" i="12"/>
  <c r="U229" i="12"/>
  <c r="T229" i="12"/>
  <c r="U336" i="12"/>
  <c r="T336" i="12"/>
  <c r="I108" i="12"/>
  <c r="S108" i="12" s="1"/>
  <c r="I336" i="12"/>
  <c r="S336" i="12" s="1"/>
  <c r="I229" i="12"/>
  <c r="S229" i="12" s="1"/>
  <c r="I163" i="12"/>
  <c r="S163" i="12" s="1"/>
  <c r="G127" i="12"/>
  <c r="S127" i="12" s="1"/>
  <c r="H127" i="12"/>
  <c r="K106" i="12"/>
  <c r="K26" i="12"/>
  <c r="K23" i="12"/>
  <c r="K327" i="12"/>
  <c r="K151" i="12"/>
  <c r="T151" i="12" s="1"/>
  <c r="U106" i="12" l="1"/>
  <c r="T106" i="12"/>
  <c r="U327" i="12"/>
  <c r="T327" i="12"/>
  <c r="U23" i="12"/>
  <c r="T23" i="12"/>
  <c r="U26" i="12"/>
  <c r="T26" i="12"/>
  <c r="I26" i="12"/>
  <c r="S26" i="12" s="1"/>
  <c r="I151" i="12"/>
  <c r="S151" i="12" s="1"/>
  <c r="I106" i="12"/>
  <c r="I327" i="12"/>
  <c r="S327" i="12" s="1"/>
  <c r="I23" i="12"/>
  <c r="S23" i="12" s="1"/>
  <c r="K105" i="12"/>
  <c r="K21" i="12"/>
  <c r="K228" i="12"/>
  <c r="K150" i="12"/>
  <c r="U150" i="12" l="1"/>
  <c r="T150" i="12"/>
  <c r="U228" i="12"/>
  <c r="T228" i="12"/>
  <c r="U21" i="12"/>
  <c r="T21" i="12"/>
  <c r="U105" i="12"/>
  <c r="T105" i="12"/>
  <c r="S106" i="12"/>
  <c r="I105" i="12"/>
  <c r="I150" i="12"/>
  <c r="S150" i="12" s="1"/>
  <c r="I228" i="12"/>
  <c r="S228" i="12" s="1"/>
  <c r="I21" i="12"/>
  <c r="S21" i="12" s="1"/>
  <c r="K25" i="12"/>
  <c r="K149" i="12"/>
  <c r="U149" i="12" l="1"/>
  <c r="T149" i="12"/>
  <c r="U25" i="12"/>
  <c r="T25" i="12"/>
  <c r="S105" i="12"/>
  <c r="I149" i="12"/>
  <c r="S149" i="12" s="1"/>
  <c r="I25" i="12"/>
  <c r="K18" i="12"/>
  <c r="K19" i="12"/>
  <c r="H17" i="12"/>
  <c r="G17" i="12" s="1"/>
  <c r="U19" i="12" l="1"/>
  <c r="T19" i="12"/>
  <c r="U18" i="12"/>
  <c r="T18" i="12"/>
  <c r="S25" i="12"/>
  <c r="I19" i="12"/>
  <c r="S19" i="12" s="1"/>
  <c r="I18" i="12"/>
  <c r="K17" i="12"/>
  <c r="I17" i="12" l="1"/>
  <c r="U17" i="12"/>
  <c r="T17" i="12"/>
  <c r="S18" i="12"/>
  <c r="S17" i="12"/>
  <c r="B16" i="12" l="1"/>
  <c r="C16" i="12" s="1"/>
  <c r="D16" i="12" s="1"/>
  <c r="E16" i="12" s="1"/>
  <c r="F16" i="12" s="1"/>
  <c r="G16" i="12" s="1"/>
  <c r="H16" i="12" s="1"/>
  <c r="I16" i="12" s="1"/>
  <c r="J16" i="12" s="1"/>
  <c r="K16" i="12" s="1"/>
  <c r="L16" i="12" s="1"/>
  <c r="M16" i="12" s="1"/>
  <c r="N16" i="12" s="1"/>
  <c r="O16" i="12" s="1"/>
  <c r="P16" i="12" s="1"/>
  <c r="Q16" i="12" s="1"/>
  <c r="R16" i="12" s="1"/>
  <c r="S16" i="12" s="1"/>
  <c r="T16" i="12" s="1"/>
  <c r="U16" i="12" s="1"/>
  <c r="V16" i="12" s="1"/>
</calcChain>
</file>

<file path=xl/sharedStrings.xml><?xml version="1.0" encoding="utf-8"?>
<sst xmlns="http://schemas.openxmlformats.org/spreadsheetml/2006/main" count="2871" uniqueCount="721">
  <si>
    <t>к приказу Минэнерго России</t>
  </si>
  <si>
    <t>в базисном уровне цен</t>
  </si>
  <si>
    <t>Идентификатор инвестиционного проекта</t>
  </si>
  <si>
    <t>Причины отклонений</t>
  </si>
  <si>
    <t>%</t>
  </si>
  <si>
    <t>План</t>
  </si>
  <si>
    <t>Всего</t>
  </si>
  <si>
    <t>в прогнозных ценах соответствующих лет</t>
  </si>
  <si>
    <t xml:space="preserve"> Наименование инвестиционного проекта (группы инвестиционных проектов)</t>
  </si>
  <si>
    <t xml:space="preserve">Факт </t>
  </si>
  <si>
    <t>Приложение  № 12</t>
  </si>
  <si>
    <t>Номер группы инвестиционных проектов</t>
  </si>
  <si>
    <t>I квартал</t>
  </si>
  <si>
    <t>II квартал</t>
  </si>
  <si>
    <t>III квартал</t>
  </si>
  <si>
    <t>IV квартал</t>
  </si>
  <si>
    <t xml:space="preserve">                     полное наименование субъекта электроэнергетики</t>
  </si>
  <si>
    <t>ВСЕГО по инвестиционной программе, в том числе:</t>
  </si>
  <si>
    <t>1.1</t>
  </si>
  <si>
    <t>1.1.1</t>
  </si>
  <si>
    <t>1.1.1.1</t>
  </si>
  <si>
    <t>1.1.1.2</t>
  </si>
  <si>
    <t>1.1.1.3</t>
  </si>
  <si>
    <t>1.1.2</t>
  </si>
  <si>
    <t>1.1.3</t>
  </si>
  <si>
    <t>1.2</t>
  </si>
  <si>
    <t>1.2.1</t>
  </si>
  <si>
    <t>1.2.1.1</t>
  </si>
  <si>
    <t>1.2.1.2</t>
  </si>
  <si>
    <t>1.2.2</t>
  </si>
  <si>
    <t>1.2.3</t>
  </si>
  <si>
    <t>1.2.3.1</t>
  </si>
  <si>
    <t>1.2.3.2</t>
  </si>
  <si>
    <t>1.2.3.3</t>
  </si>
  <si>
    <t>1.2.3.4</t>
  </si>
  <si>
    <t>1.2.3.5</t>
  </si>
  <si>
    <t>1.2.3.6</t>
  </si>
  <si>
    <t>1.2.3.7</t>
  </si>
  <si>
    <t>1.3</t>
  </si>
  <si>
    <t>1.4</t>
  </si>
  <si>
    <t>1.5</t>
  </si>
  <si>
    <t>1.6</t>
  </si>
  <si>
    <t>1.1.2.1</t>
  </si>
  <si>
    <t>1.1.2.2</t>
  </si>
  <si>
    <t>Отклонение от плана освоения по итогам отчетного периода</t>
  </si>
  <si>
    <t>Форма 12. Отчет об исполнении плана освоения капитальных вложений по инвестиционным проектам инвестиционной программы (квартальный)</t>
  </si>
  <si>
    <t>от « 25 » апреля 2018 г. № 320</t>
  </si>
  <si>
    <t>Полная сметная стоимость инвестиционного проекта в соответствии с утвержденной проектной документацией в базисном уровне цен, млн. рублей (без НДС)</t>
  </si>
  <si>
    <t>млн. рублей
 (без НДС)</t>
  </si>
  <si>
    <t xml:space="preserve">Остаток освоения капитальных вложений 
на  конец отчетного периода,  
млн. рублей 
(без НДС) </t>
  </si>
  <si>
    <t>нд</t>
  </si>
  <si>
    <t>0</t>
  </si>
  <si>
    <t>Г</t>
  </si>
  <si>
    <t>0.1</t>
  </si>
  <si>
    <t>Технологическое присоединение, всего</t>
  </si>
  <si>
    <t>0.2</t>
  </si>
  <si>
    <t>Реконструкция, модернизация, техническое перевооружение, всего</t>
  </si>
  <si>
    <t>0.3</t>
  </si>
  <si>
    <t>Инвестиционные проекты, реализация которых обуславливается схемами и программами перспективного развития электроэнергетики, всего</t>
  </si>
  <si>
    <t>0.4</t>
  </si>
  <si>
    <t>Прочее новое строительство объектов электросетевого хозяйства, всего</t>
  </si>
  <si>
    <t>0.5</t>
  </si>
  <si>
    <t>Покупка земельных участков для целей реализации инвестиционных проектов, всего</t>
  </si>
  <si>
    <t>0.6</t>
  </si>
  <si>
    <t>Прочие инвестиционные проекты, всего</t>
  </si>
  <si>
    <t>1.</t>
  </si>
  <si>
    <t>город Воронеж</t>
  </si>
  <si>
    <t>Технологическое присоединение, всего, в том числе:</t>
  </si>
  <si>
    <t>Технологическое присоединение энергопринимающих устройств потребителей, всего, в том числе:</t>
  </si>
  <si>
    <t>Технологическое присоединение энергопринимающих устройств потребителей максимальной мощностью до 15 кВт включительно, всего</t>
  </si>
  <si>
    <t>Технологическое присоединение энергопринимающих устройств потребителей максимальной мощностью до 15 кВт Новое строительство</t>
  </si>
  <si>
    <t>Технологическое присоединение энергопринимающих устройств потребителей максимальной мощностью до 15 кВт Техническое перевооружение и реконструкция</t>
  </si>
  <si>
    <t>Технологическое присоединение энергопринимающих устройств потребителей максимальной мощностью до 150 кВт включительно, всего</t>
  </si>
  <si>
    <t>Технологическое присоединение энергопринимающих устройств потребителей максимальной мощностью до 150 кВт Новое строительство</t>
  </si>
  <si>
    <t>Технологическое присоединение энергопринимающих устройств потребителей максимальной мощностью до 150 кВт Техническое перевооружение и реконструкция</t>
  </si>
  <si>
    <t>Технологическое присоединение энергопринимающих устройств потребителей свыше 150 кВт, всего, в том числе:</t>
  </si>
  <si>
    <t>Технологическое присоединение объектов электросетевого хозяйства, всего, в том числе:</t>
  </si>
  <si>
    <t>Технологическое присоединение объектов электросетевого хозяйства, принадлежащих иным сетевым организациям и иным лицам, всего, в том числе:</t>
  </si>
  <si>
    <t>Технологическое присоединение к электрическим сетям иных сетевых организаций, всего, в том числе:</t>
  </si>
  <si>
    <t>Технологическое присоединение объектов по производству электрической энергии всего, в том числе:</t>
  </si>
  <si>
    <t>1.1.3.1</t>
  </si>
  <si>
    <t>Наименование объекта по производству электрической энергии, всего, в том числе:</t>
  </si>
  <si>
    <t>Строительство новых объектов электросетевого хозяйства  (за исключением усиления существующей электрической сети) в целях осуществления технологического присоединения объекта по производству электрической энергии, всего, в том числе:</t>
  </si>
  <si>
    <t>Строительство новых объектов электросетевого хозяйства для усиления электрической сети в целях осуществления технологического присоединения объекта по производству электрической энергии, всего, в том числе:</t>
  </si>
  <si>
    <t>Реконструкция существующих объектов электросетевого хозяйства для усиления электрической сети в целях осуществления технологического присоединения объекта по производству электрической энергии всего, в том числе:</t>
  </si>
  <si>
    <t>1.1.3.2</t>
  </si>
  <si>
    <t>Реконструкция существующих объектов электросетевого хозяйства для усиления электрической сети в целях осуществления технологического присоединения объекта по производству электрической энергии, всего, в том числе:</t>
  </si>
  <si>
    <t>1.1.4</t>
  </si>
  <si>
    <t>Усиление электрической сети в целях осуществления технологического присоединения энергопринимающих устройств потребителей и (или) объектов электросетевого хозяйства всего, в том числе:</t>
  </si>
  <si>
    <t>1.1.4.1</t>
  </si>
  <si>
    <t>Строительство новых объектов электросетевого хозяйства для усиления электрической сети в целях осуществления технологического присоединения, всего, в том числе:</t>
  </si>
  <si>
    <t>Реконструкция ВЛ-0,4кВ для технологического присоединения (протяженность по трассе 1,8 км)</t>
  </si>
  <si>
    <t>E_19/1.1.3.10</t>
  </si>
  <si>
    <t>1.1.4.2</t>
  </si>
  <si>
    <t>Реконструкция существующих объектов электросетевого хозяйства для усиления электрической сети в целях осуществления технологического присоединения, всего, в том числе:</t>
  </si>
  <si>
    <t>Реконструкция, модернизация, техническое перевооружение всего, в том числе:</t>
  </si>
  <si>
    <t>Реконструкция, модернизация, техническое перевооружение  трансформаторных и иных подстанций, распределительных пунктов, всего, в том числе:</t>
  </si>
  <si>
    <t>Реконструкция трансформаторных и иных подстанций, всего, в том числе:</t>
  </si>
  <si>
    <t>Монтаж устройств охранной сигнализации в ТП-1850 по адресу: ул.Плехановская,9</t>
  </si>
  <si>
    <t>E_19/1.3.12</t>
  </si>
  <si>
    <t>Монтаж устройств охранной сигнализации в ТП-996 по адресу:  ул. Переверткина, 33т</t>
  </si>
  <si>
    <t>E_19/1.3.13</t>
  </si>
  <si>
    <t>Монтаж устройств охранной сигнализации в ТП-1077 по адресу:  ул. Б. Победы, 18т</t>
  </si>
  <si>
    <t>E_19/1.3.14</t>
  </si>
  <si>
    <t>Монтаж устройств охранной сигнализации в ТП-1117 по адресу:  Ленинский проспект, 77т</t>
  </si>
  <si>
    <t>E_19/1.3.15</t>
  </si>
  <si>
    <t>Монтаж устройств охранной сигнализации в ТП-1012  по адресу: ул. Новосибирская, 16т</t>
  </si>
  <si>
    <t>E_19/1.3.16</t>
  </si>
  <si>
    <t>Монтаж устройств охранной сигнализации в ТП-839 по адресу:  ул. Ломоносова, 114ф</t>
  </si>
  <si>
    <t>E_19/1.3.17</t>
  </si>
  <si>
    <t>Монтаж устройств охранной сигнализации в ТП-1019 по адресу:  Переулок здоровья, 90с</t>
  </si>
  <si>
    <t>E_19/1.3.18</t>
  </si>
  <si>
    <t>Монтаж устройств охранной сигнализации в ТП-1210 по адресу:  ул. Ломоносова, 114т</t>
  </si>
  <si>
    <t>E_19/1.3.19</t>
  </si>
  <si>
    <t>Монтаж устройств охранной сигнализации в ТП-1043 по адресу:  ул. Хользунова,109т</t>
  </si>
  <si>
    <t>E_19/1.3.20</t>
  </si>
  <si>
    <t>Монтаж устройств охранной сигнализации в ТП-1915 по адресу:  Проспект патриотов, 11Б.</t>
  </si>
  <si>
    <t>E_19/1.3.21</t>
  </si>
  <si>
    <t>Модернизация, техническое перевооружение трансформаторных и иных подстанций, распределительных пунктов, всего, в том числе:</t>
  </si>
  <si>
    <t>Реконструкция РУ-6кВ в БКТП-311 по адресу: ул.Ф.Тютчева,6</t>
  </si>
  <si>
    <t>E_19/1.1.5</t>
  </si>
  <si>
    <t>Установка устройств  телемеханики в РП (1 шт.)</t>
  </si>
  <si>
    <t>E_19/1.2.1</t>
  </si>
  <si>
    <t>Замена изношенных камер на камеры сборной с односторонним обслуживанием в ТП-77 (4 шт.)</t>
  </si>
  <si>
    <t>E_19/1.3.1.6</t>
  </si>
  <si>
    <t>Замена изношенных камер на камеры сборной с односторонним обслуживанием в ТП-92 (3шт.)</t>
  </si>
  <si>
    <t>E_19/1.3.1.7</t>
  </si>
  <si>
    <t>Замена изношенных камер на камеры сборной с односторонним обслуживанием в ТП-1227 (3 шт.)</t>
  </si>
  <si>
    <t>E_19/1.3.1.8</t>
  </si>
  <si>
    <t>Замена изношенных камер на камеры сборной с односторонним обслуживанием в ТП-1171 (3 шт.)</t>
  </si>
  <si>
    <t>E_19/1.3.1.9</t>
  </si>
  <si>
    <t>Замена изношенных камер на камеры сборной с односторонним обслуживанием в ТП-90 (4 шт.)</t>
  </si>
  <si>
    <t>E_19/1.3.1.10</t>
  </si>
  <si>
    <t>Замена изношенных камер на камеры сборной с односторонним обслуживанием в ТП-40 (3 шт.)</t>
  </si>
  <si>
    <t>E_19/1.3.1.11</t>
  </si>
  <si>
    <t>Замена низковольтных щитов на  щит одностороннего обслуживания в РП- 17 (3шт.)</t>
  </si>
  <si>
    <t>E_19/1.3.3.7</t>
  </si>
  <si>
    <t>Замена  низковольтных щитов на  щит одностороннего обслуживания в ТП-786  (6шт.)</t>
  </si>
  <si>
    <t>E_19/1.3.3.9</t>
  </si>
  <si>
    <t>Замена  низковольтных щитов на  щит одностороннего обслуживания в ТП-426  (3шт.)</t>
  </si>
  <si>
    <t>E_19/1.3.3.10</t>
  </si>
  <si>
    <t>Замена  низковольтных щитов на  щит одностороннего обслуживания в ТП-350  (3шт.)</t>
  </si>
  <si>
    <t>E_19/1.3.3.11</t>
  </si>
  <si>
    <t>Замена  низковольтных щитов на  щит одностороннего обслуживания в ТП-1141  (7шт.)</t>
  </si>
  <si>
    <t>E_19/1.3.3.12</t>
  </si>
  <si>
    <t>Замена  низковольтных щитов на  щит одностороннего обслуживания в ТП-78 (1шт.)</t>
  </si>
  <si>
    <t>E_19/1.3.3.13</t>
  </si>
  <si>
    <t>Замена  низковольтных щитов на  щит одностороннего обслуживания в ТП-154 (3шт.)</t>
  </si>
  <si>
    <t>E_19/1.3.3.14</t>
  </si>
  <si>
    <t>Замена  низковольтных щитов на  щит одностороннего обслуживания в РП-21 (4шт.)</t>
  </si>
  <si>
    <t>E_19/1.3.3.15</t>
  </si>
  <si>
    <t>Замена масляных выключателей на  вакуумные выключатели в РП-13 (3шт.)</t>
  </si>
  <si>
    <t>E_19/1.3.5.5</t>
  </si>
  <si>
    <t>Замена масляных выключателей на  вакуумные выключатели в РП-9 (12шт.)</t>
  </si>
  <si>
    <t>E_19/1.3.5.6</t>
  </si>
  <si>
    <t>Замена масляных выключателей на  вакуумные выключатели в РП-48 (10шт.)</t>
  </si>
  <si>
    <t>E_19/1.3.5.7</t>
  </si>
  <si>
    <t>Замена масляных выключателей на  вакуумные выключатели в РП-63 (10шт.)</t>
  </si>
  <si>
    <t>E_19/1.3.5.8</t>
  </si>
  <si>
    <t>Замена масляных выключателей на  вакуумные выключатели в РП-68 (5шт.)</t>
  </si>
  <si>
    <t>E_19/1.3.5.9</t>
  </si>
  <si>
    <t>Замена масляных выключателей на  вакуумные выключатели в РП-46 (1шт.)</t>
  </si>
  <si>
    <t>E_19/1.3.5.10</t>
  </si>
  <si>
    <t>Замена  автоматических выключателей в ТП-870 (2шт.)</t>
  </si>
  <si>
    <t>E_19/1.3.7.1</t>
  </si>
  <si>
    <t>Замена  автоматических выключателей в  ТП-876 (2шт.)</t>
  </si>
  <si>
    <t>E_19/1.3.7.2</t>
  </si>
  <si>
    <t>Замена  автоматических выключателей в ТП-943 (2шт.)</t>
  </si>
  <si>
    <t>E_19/1.3.7.3</t>
  </si>
  <si>
    <t>Замена  автоматических выключателей в ТП-965 (2шт.)</t>
  </si>
  <si>
    <t>E_19/1.3.7.4</t>
  </si>
  <si>
    <t>Замена  автоматических выключателей в ТП-914 (2шт.)</t>
  </si>
  <si>
    <t>E_19/1.3.7.5</t>
  </si>
  <si>
    <t>Замена  автоматических выключателей в РП-9 (2шт.)</t>
  </si>
  <si>
    <t>E_19/1.3.7.7</t>
  </si>
  <si>
    <t>Замена  автоматических выключателей в ТП-979 (5шт.)</t>
  </si>
  <si>
    <t>E_19/1.3.7.8</t>
  </si>
  <si>
    <t>Замена  автоматических выключателей в ТП-287 (2шт.)</t>
  </si>
  <si>
    <t>E_19/1.3.7.9</t>
  </si>
  <si>
    <t>Реконструкция высоковольтного оборудования в ТП, РП, в части замены трансформаторов 400кВА (10шт.)</t>
  </si>
  <si>
    <t>E_19/1.3.5.1.А</t>
  </si>
  <si>
    <t>Реконструкция высоковольтного оборудования в ТП, РП, в части замены трансформаторов 630кВА (10шт.)</t>
  </si>
  <si>
    <t>E_19/1.3.5.2.А</t>
  </si>
  <si>
    <t>Монтаж низковольтного оборудования для обеспечения технической возможности технологического присоединения (39 шт.)</t>
  </si>
  <si>
    <t>E_19/1.3.6.1.А</t>
  </si>
  <si>
    <t>Монтаж высоковольтного оборудования для обеспечения технической возможности технологического присоединения (22 шт.)</t>
  </si>
  <si>
    <t>E_19/1.3.7.1.А</t>
  </si>
  <si>
    <t>Реконструкция, модернизация, техническое перевооружение линий электропередачи, всего, в том числе:</t>
  </si>
  <si>
    <t>1.2.2.1</t>
  </si>
  <si>
    <t>Реконструкция линий электропередачи, всего, в том числе:</t>
  </si>
  <si>
    <t>Реконструкция ВЛ-0,4 кВ  от ТП- 412 с монтажом кабельных линий (протяженность по трассе 0,91  км)</t>
  </si>
  <si>
    <t>E_19/1.1.1.2</t>
  </si>
  <si>
    <t>Реконструкция ВЛ-0,4 кВ  от ТП-65 с монтажом кабельных выводов (протяженность по трассе 6 км)</t>
  </si>
  <si>
    <t>E_19/1.1.1.4</t>
  </si>
  <si>
    <t>Реконструкция ВЛ-0,4 кВ  от ТП-816 с монтажом кабельных выводов (протяженность по трассе 6,400 км)</t>
  </si>
  <si>
    <t>E_19/1.1.1.5</t>
  </si>
  <si>
    <t>Реконструкция ВЛ-0,4 кВ  от БКТП-301Н с монтажом кабельных выводов (протяженность по трассе 5,00 км)</t>
  </si>
  <si>
    <t>E_19/1.1.1.6</t>
  </si>
  <si>
    <t>Реконструкция ВЛ-0,4 кВ  от ТП-272 с монтажом кабельных выводов (протяженность по трассе 6,510 км)</t>
  </si>
  <si>
    <t>E_19/1.1.1.7</t>
  </si>
  <si>
    <t>Реконструкция ВЛ-0,4 кВ  от ТП-207 с монтажом кабельных выводов (протяженность по трассе 5,900 км)</t>
  </si>
  <si>
    <t>E_19/1.1.1.8</t>
  </si>
  <si>
    <t>Реконструкция КЛ 0,4 кВ  от ТП-811 - ул. Димитрова, 79 щ. 1 (протяженностью по трассе 0,24км)</t>
  </si>
  <si>
    <t>E_19/1.1.2.1</t>
  </si>
  <si>
    <t>Реконструкция КЛ 0,4 кВ  от ТП-811 - ул. Димитрова, 79 щ. 1-щ. 2 (протяженностью по трассе 0,09 км)</t>
  </si>
  <si>
    <t>E_19/1.1.2.2</t>
  </si>
  <si>
    <t>Реконструкция КЛ 0,4 кВ  от ТП-811 - ул. Димитрова, 79 щ. 2-щ. 3 (протяженностью по трассе 0,07 км)</t>
  </si>
  <si>
    <t>E_19/1.1.2.3</t>
  </si>
  <si>
    <t>Реконструкция КЛ 0,4 кВ  от ТП-1076 - ж/д 28 ул. Бульвар Победы(протяженностью по трассе 0,20км)</t>
  </si>
  <si>
    <t>E_19/1.1.2.6</t>
  </si>
  <si>
    <t>Реконструкция КЛ 0,4 кВ  от ТП-1076 - ж/д 26 ул. Бульвар Победы(протяженностью по трассе 0,14км)</t>
  </si>
  <si>
    <t>E_19/1.1.2.7</t>
  </si>
  <si>
    <t>Реконструкция КЛ 0,4 кВ  от ТП-1076 - ж/д 24 ул. Бульвар Победы(протяженностью по трассе 0,09км)</t>
  </si>
  <si>
    <t>E_19/1.1.2.8</t>
  </si>
  <si>
    <t>Реконструкция КЛ 0,4 кВ  от ТП-646 - ул. 25 Января, 8 (протяженностью по трассе 0,14км)</t>
  </si>
  <si>
    <t>E_19/1.1.2.10</t>
  </si>
  <si>
    <t>E_19/1.1.2.11</t>
  </si>
  <si>
    <t>Реконструкция КЛ 6,10кВ ПС-10 - РП-5 ф. 403 (протяженностью по трассе 2,67 км)</t>
  </si>
  <si>
    <t>E_19/1.1.3.1</t>
  </si>
  <si>
    <t>Реконструкция КЛ 6,10кВ ТП-421 - ТП-677 (протяженностью по трассе 0,08 км)</t>
  </si>
  <si>
    <t>E_19/1.1.3.8</t>
  </si>
  <si>
    <t>Реконструкция КЛ 6,10кВ РП-65- ТП-1260 (протяженностью по трассе 0,620км)</t>
  </si>
  <si>
    <t>E_19/1.1.3.11</t>
  </si>
  <si>
    <t>Реконструкция КЛ 6,10кВ ТП-627 - ТП-918 (протяженностью по трассе 0,230км)</t>
  </si>
  <si>
    <t>E_19/1.1.3.31</t>
  </si>
  <si>
    <t>Реконструкция КЛ 6,10кВ ПС-39 - РП-5 ф.2 (от М2009 до М2010) (протяженностью по трассе 0,880 км)</t>
  </si>
  <si>
    <t>E_19/1.1.3.32</t>
  </si>
  <si>
    <t>Реконструкция КЛ 6,10кВ ПС-39 - РП-55 ф.22 (от М2009 до М2010)(протяженностью по трассе 1,360км)</t>
  </si>
  <si>
    <t>E_19/1.1.3.14</t>
  </si>
  <si>
    <t>Реконструкция КЛ 6,10кВ ПС-39 - РП-55 ф.15 (от М2009 до М2010) (протяженностью по трассе 1,360 км)</t>
  </si>
  <si>
    <t>E_19/1.1.3.15</t>
  </si>
  <si>
    <t>Реконструкция КЛ 6,10кВ ПС-39 - РП-57 ф.23 (от М2009 до М2010)(протяженностью по трассе 1,320 км)</t>
  </si>
  <si>
    <t>E_19/1.1.3.16</t>
  </si>
  <si>
    <t>Реконструкция КЛ 6,10кВ ТП-913 - ТП-1091 (протяженностью по трассе 0,350 км)</t>
  </si>
  <si>
    <t>E_19/1.1.3.17</t>
  </si>
  <si>
    <t>Реконструкция КЛ 6,10кВ ТП-366Н-ТП-205Н(протяженностью по трассе 0,720 км)</t>
  </si>
  <si>
    <t>E_19/1.1.3.18</t>
  </si>
  <si>
    <t>Реконструкция КЛ 6,10кВ РП-25 -ТП-1817 (протяженностью по трассе 0,780 км)</t>
  </si>
  <si>
    <t>E_19/1.1.3.19</t>
  </si>
  <si>
    <t>Реконструкция КЛ 6,10кВ ТП-889 -ТП-1817 (протяженностью по трассе 0,530км)</t>
  </si>
  <si>
    <t>E_19/1.1.3.20</t>
  </si>
  <si>
    <t>Реконструкция КЛ 6,10кВ ПС «Центральная» -РП-52  ф №307 (протяженностью по трассе 0,640 км)</t>
  </si>
  <si>
    <t>E_19/1.1.3.21</t>
  </si>
  <si>
    <t>Реконструкция КЛ 6,10кВ РП-52 – ТП-1013 (протяженностью по трассе 0,750 км)</t>
  </si>
  <si>
    <t>E_19/1.1.3.22</t>
  </si>
  <si>
    <t>Реконструкция КЛ 6,10кВ ТП-1 – ТП-1734 (протяженностью по трассе 0,460 км)</t>
  </si>
  <si>
    <t>E_19/1.1.3.23</t>
  </si>
  <si>
    <t>Реконструкция КЛ 6,10кВ РП-66 – ТП-408 (протяженностью по трассе 0,478 км)</t>
  </si>
  <si>
    <t>E_19/1.1.3.24</t>
  </si>
  <si>
    <t>Реконструкция КЛ 6,10кВ РП-27 – БКТП-91Н (протяженностью по трассе 1,187 км)</t>
  </si>
  <si>
    <t>E_19/1.1.3.25</t>
  </si>
  <si>
    <t>Реконструкция КЛ 6,10кВ ТП-36 – ТП-308 (протяженностью по трассе 0,784 км)</t>
  </si>
  <si>
    <t>E_19/1.1.3.26</t>
  </si>
  <si>
    <t>Реконструкция КЛ 6,10кВ РП-35 ТП-998 (протяженностью по трассе 0,970 км)</t>
  </si>
  <si>
    <t>E_19/1.1.3.13</t>
  </si>
  <si>
    <t>Реконструкция КЛ 6,10кВ РП-35 ТП-919 (протяженностью по трассе 0,506 км)</t>
  </si>
  <si>
    <t>E_19/1.1.3.12</t>
  </si>
  <si>
    <t>Реконструкция КЛ 6,10кВ ПС-16 ф.17 до муфты  в ст.РП-20 (протяженностью по трассе 2,5 км)</t>
  </si>
  <si>
    <t>E_19/1.1.3.29</t>
  </si>
  <si>
    <t>Реконструкция КЛ 6,10кВ ГПП ТЭЦ-1 - ТП-1181 (протяженностью по трассе 5,112 км)</t>
  </si>
  <si>
    <t>E_19/1.1.3.30</t>
  </si>
  <si>
    <t>1.2.2.2</t>
  </si>
  <si>
    <t>Модернизация, техническое перевооружение линий электропередачи, всего, в том числе:</t>
  </si>
  <si>
    <t>Развитие и модернизация учета электрической энергии (мощности), всего, в том числе:</t>
  </si>
  <si>
    <t>Установка приборов учета, класс напряжения 0,22 (0,4) кВ, всего, в том числе:</t>
  </si>
  <si>
    <t>Установка приборов учета, класс напряжения 6 (10) кВ, всего, в том числе:</t>
  </si>
  <si>
    <t>Установка приборов учета, класс напряжения 35 кВ, всего, в том числе:</t>
  </si>
  <si>
    <t>Установка приборов учета, класс напряжения 110 кВ и выше, всего, в том числе:</t>
  </si>
  <si>
    <t>Включение приборов учета в систему сбора и передачи данных, класс напряжения 0,22 (0,4) кВ, всего, в том числе:</t>
  </si>
  <si>
    <t>Включение приборов учета в систему сбора и передачи данных, класс напряжения 6 (10) кВ, всего, в том числе:</t>
  </si>
  <si>
    <t>Включение приборов учета в систему сбора и передачи данных, класс напряжения 35 кВ, всего, в том числе:</t>
  </si>
  <si>
    <t>1.2.3.8</t>
  </si>
  <si>
    <t>Включение приборов учета в систему сбора и передачи данных, класс напряжения 110 кВ и выше, всего, в том числе:</t>
  </si>
  <si>
    <t>1.2.4</t>
  </si>
  <si>
    <t>Реконструкция, модернизация, техническое перевооружение прочих объектов основных средств, всего, в том числе:</t>
  </si>
  <si>
    <t>1.2.4.1</t>
  </si>
  <si>
    <t>Реконструкция прочих объектов основных средств, всего, в том числе:</t>
  </si>
  <si>
    <t>1.2.4.2</t>
  </si>
  <si>
    <t>Модернизация, техническое перевооружение прочих объектов основных средств, всего, в том числе:</t>
  </si>
  <si>
    <t>Модернизация  диспетчерского мнемощита</t>
  </si>
  <si>
    <t>E_19/1.3.9.м</t>
  </si>
  <si>
    <t>Проектирование стр-ва БКРП взамен  РП-2 по адресу: ул.Плехановская,8р</t>
  </si>
  <si>
    <t>E_19/1.3.11.п</t>
  </si>
  <si>
    <t>Проектирование стр-ва БКРП взамен  РП-56 по адресу: пр.Патриотов,21</t>
  </si>
  <si>
    <t>E_19/1.3.12.п</t>
  </si>
  <si>
    <t xml:space="preserve">Реконструкция асфальтного покрытия   баз №1,2 </t>
  </si>
  <si>
    <t>E_19/1.3.13.а</t>
  </si>
  <si>
    <t>Реконструкция склада   базы №2  ул.Пешестрелецкая,110</t>
  </si>
  <si>
    <t>E_19/1.3.14.с</t>
  </si>
  <si>
    <t>Инвестиционные проекты, реализация которых обуславливается схемами и программами перспективного развития электроэнергетики, всего, в том числе:</t>
  </si>
  <si>
    <t>1.3.1</t>
  </si>
  <si>
    <t>Инвестиционные проекты, предусмотренные схемой и программой развития Единой энергетической системы России, всего, в том числе:</t>
  </si>
  <si>
    <t>1.3.2</t>
  </si>
  <si>
    <t>Инвестиционные проекты, предусмотренные схемой и программой развития субъекта Российской Федерации, всего, в том числе:</t>
  </si>
  <si>
    <t>Прочее новое строительство объектов электросетевого хозяйства, всего, в том числе:</t>
  </si>
  <si>
    <t>Стр-во дополнительной БКТП 1х250 в сети ТП-301Н прокладка 2-х кабелей 3х120 от БКТП до места врезки в КЛ ТП-301Н -ТП-734 и 2-х кабелей 4х150 выводы на сеть</t>
  </si>
  <si>
    <t>E_19/2.1.1</t>
  </si>
  <si>
    <t>Стр-во дополнительной БКТП 1х250 в сети ТП-92 прокладка 2-х кабелей 3х120 от БКТП до места врезки в КЛ ТП-92-ТП-207 и 3-х кабелей 4х150 выводы на сеть</t>
  </si>
  <si>
    <t>E_19/2.1.2</t>
  </si>
  <si>
    <t>Стр-во дополнительной БКТП 1х250 в сети ТП-594 прокладка 2-х кабелей 3х120 от БКТП до места врезки в КЛ ТП-593-РП-46 и 2-х кабелей 4х150 выводы на сеть</t>
  </si>
  <si>
    <t>E_19/2.1.3</t>
  </si>
  <si>
    <t>Стр-во БКТП 1х400  взамен ТП-13 по адресу:  ул.С.Перовской,52</t>
  </si>
  <si>
    <t>E_19/2.1.4</t>
  </si>
  <si>
    <t>Стр-во БКТП 2х400 взамен ТП-52 по адресу:  ул.  Республиканская,5т</t>
  </si>
  <si>
    <t>E_19/2.1.5</t>
  </si>
  <si>
    <t>Стр-во БКТП 1х250  взамен ТП-395 по адресу:  ул.Куколкина,7Т</t>
  </si>
  <si>
    <t>E_19/2.1.6</t>
  </si>
  <si>
    <t>Стр-во БКТП 2х630  взамен ТП-21 по адресу: пер.Детский,2т</t>
  </si>
  <si>
    <t>E_19/2.1.7</t>
  </si>
  <si>
    <t xml:space="preserve"> Стр-во КТП 1х250 взамен  КТП-666 по адресу: Чернавская дамба
 </t>
  </si>
  <si>
    <t>E_19/2.1.8</t>
  </si>
  <si>
    <t>Стр-во КТП 1х250  взамен КТП-353 по адресу:  ул.  20 -летия Октября,2</t>
  </si>
  <si>
    <t>E_19/2.1.9</t>
  </si>
  <si>
    <t>Стр-во КТП 1х250 взамен КТП-27 по адресу:  ул.Островная,1</t>
  </si>
  <si>
    <t>E_19/2.1.10</t>
  </si>
  <si>
    <t>Стр-во КТП 1х630  взамен КТП-909 по адресу:  ул.Донская,37</t>
  </si>
  <si>
    <t>E_19/2.1.11</t>
  </si>
  <si>
    <t>Стр-во КТП 1х630 с выносом взамен КТП-734 по адресу:  с/х выставка, парк Динамо</t>
  </si>
  <si>
    <t>E_19/2.1.12</t>
  </si>
  <si>
    <t>Стр-во БКТП 1х 250 взамен КТП-1868 по адресу:  ул. Землячки,43</t>
  </si>
  <si>
    <t>E_19/2.1.13</t>
  </si>
  <si>
    <t>Строительство кабельной линии 6-10кВ от ТП-55 до ТП-487 
(ликвидация ВЛ-6 кВ от ТП-55 до ТП-487)</t>
  </si>
  <si>
    <t>Строительство  в/в, н/в кабелей к ТП</t>
  </si>
  <si>
    <t>Покупка земельных участков для целей реализации инвестиционных проектов, всего, в том числе:</t>
  </si>
  <si>
    <t>Прочие инвестиционные проекты, всего, в том числе:</t>
  </si>
  <si>
    <t>Модернизация программного обеспечения НИС21</t>
  </si>
  <si>
    <t>Приобретение оборудования для производственных служб. (Анализатор характеристик антенн MFJ-269-1шт.,переносной тепловизор с экраном-3шт.,Много Функциональное Устройство (принтеры)-20шт.,Компьютер (комплект )-50шт.,Сервер-1шт.,Источник бесберебойного питания для сервера -1шт.)</t>
  </si>
  <si>
    <t>E_19/1.3.12.1</t>
  </si>
  <si>
    <t>Приобретение автотранспорта для производственой деятельности (Экскаватор ЭО 2621 МТЗ 82-1шт.,Легковой автомобиль ГАЗ 3309 АП 17-1шт.,Легковой автомобиль Нива Шевролет-1шт.,Легковой автомобиль ГАЗ 2705-1шт.,Легковой автомобиль ГАЗ 3309 (бортовой)-1шт.,Электролаборатория-1шт.,Легковой автомобиль ГАЗ 47953 (фургон)-2шт.</t>
  </si>
  <si>
    <t>E_19/1.3.12.2</t>
  </si>
  <si>
    <t xml:space="preserve">Отчет о реализации инвестиционной программы акционерного общества  "Воронежская горэлектросеть" </t>
  </si>
  <si>
    <t>Год раскрытия информации:2019  год</t>
  </si>
  <si>
    <t xml:space="preserve">Фактический объем освоения капитальных вложений на  01.01.2019 года в прогнозных ценах соответствующих лет, млн. рублей 
(без НДС) </t>
  </si>
  <si>
    <t xml:space="preserve">Остаток освоения капитальных вложений 
на  01.01.2019 года ,  
млн. рублей 
(без НДС) </t>
  </si>
  <si>
    <t xml:space="preserve">Освоение капитальных вложений 2019 года, млн. рублей (без НДС) </t>
  </si>
  <si>
    <t>Реконструкция ВЛ-0,4кВ для технологического присоединения от ТП-979 (протяженность по трассе 0,167км)</t>
  </si>
  <si>
    <t>Реконструкция ВЛ-0,4кВ для технологического присоединения от ТП-823 (протяженность по трассе 0,187 км)</t>
  </si>
  <si>
    <t>Реконструкция ВЛ-0,4кВ для технологического присоединения от ТП-1836 (протяженность по трассе 0,167км)</t>
  </si>
  <si>
    <t>Реконструкция ВЛ-0,4кВ для технологического присоединения от ТП-706 (протяженность по трассе 0,015 км)</t>
  </si>
  <si>
    <t>Реконструкция ВЛ-0,4кВ для технологического присоединения  ТП-457</t>
  </si>
  <si>
    <t>Прокладка КЛ-10 кВ сеч.3х120 ТП-480 до БКТП-34Н (протяженностью по трассе 1,40км)</t>
  </si>
  <si>
    <t>H_17/2.1.5.2</t>
  </si>
  <si>
    <t xml:space="preserve">РП-39, пр-т Патриотов, 45/б </t>
  </si>
  <si>
    <t>ТП-607, ул. Г. Сибиряков, 12/е</t>
  </si>
  <si>
    <t>ТП-548, ул. Рязанская, д. 117</t>
  </si>
  <si>
    <t>ТП-457, ул. Варейкиса</t>
  </si>
  <si>
    <t xml:space="preserve">ТП-282, Московский пр-т. 7 </t>
  </si>
  <si>
    <t>ТП-1095, ул. Новосибирская, 39</t>
  </si>
  <si>
    <t>ТП-222, ул. Мира, 3</t>
  </si>
  <si>
    <t>E_19/2.1.14</t>
  </si>
  <si>
    <t>Платонова 9,11 вынос КЛ-6кВ и КЛ-0,4кВ (ООО "Комплекс ТехСтрой")</t>
  </si>
  <si>
    <t>E_19/2.1.15</t>
  </si>
  <si>
    <t>Реконструкция низковольтного  оборудования в ТП-607</t>
  </si>
  <si>
    <t>E_19/1.3.6.2.А</t>
  </si>
  <si>
    <t>Реконструкция низковольтного  оборудования в ТП-267</t>
  </si>
  <si>
    <t>E_19/1.3.6.3.А</t>
  </si>
  <si>
    <t>Реконструкция низковольтного  оборудования в РП-6</t>
  </si>
  <si>
    <t>E_19/1.3.6.4.А</t>
  </si>
  <si>
    <t>Реконструкция низковольтного  оборудования в ТП-5</t>
  </si>
  <si>
    <t>E_19/1.3.6.5.А</t>
  </si>
  <si>
    <t>Реконструкция низковольтного  оборудования в ТП-165</t>
  </si>
  <si>
    <t>E_19/1.3.6.6.А</t>
  </si>
  <si>
    <t>Реконструкция низковольтного  оборудования в ТП-1091</t>
  </si>
  <si>
    <t>E_19/1.3.6.7.А</t>
  </si>
  <si>
    <t>Реконструкция низковольтного  оборудования в БКТП-1644</t>
  </si>
  <si>
    <t>E_19/1.3.6.8.А</t>
  </si>
  <si>
    <t>Реконструкция низковольтного  оборудования в РП-17</t>
  </si>
  <si>
    <t>E_19/1.3.6.9.А</t>
  </si>
  <si>
    <t>Реконструкция низковольтного  оборудования в ТП-240</t>
  </si>
  <si>
    <t>E_19/1.3.6.10.А</t>
  </si>
  <si>
    <t>Реконструкция высоковольтного оборудования в ТП-881</t>
  </si>
  <si>
    <t>E_19/1.3.7.2.А</t>
  </si>
  <si>
    <t>Реконструкция высоковольтного оборудования в ТП-1038</t>
  </si>
  <si>
    <t>E_19/1.3.7.3.А</t>
  </si>
  <si>
    <t>РП-99 по адресу: ул.60 Армии,37</t>
  </si>
  <si>
    <t>E_19/1.3.22</t>
  </si>
  <si>
    <t>Установка устройства компенсации реактивной мощности в РП-52 (1шт.)</t>
  </si>
  <si>
    <t>I_18/1.1.4</t>
  </si>
  <si>
    <t>Установка устройств  телемеханики в РП-51</t>
  </si>
  <si>
    <t>E_15/1.2.2</t>
  </si>
  <si>
    <t>Установка устройств  телемеханики в РП-49</t>
  </si>
  <si>
    <t>E_15/1.2.3</t>
  </si>
  <si>
    <t>Установка устройств  телемеханики в РП-40</t>
  </si>
  <si>
    <t>E_17/1.2.9</t>
  </si>
  <si>
    <t>Установка устройств  телемеханики в РП-54</t>
  </si>
  <si>
    <t>E_17/1.2.10</t>
  </si>
  <si>
    <t>Установка устройств  телемеханики в РП-52</t>
  </si>
  <si>
    <t>E_17/1.2.11</t>
  </si>
  <si>
    <t>Установка устройств  телемеханики в РП-87</t>
  </si>
  <si>
    <t>E_17/1.2.13</t>
  </si>
  <si>
    <t>Установка устройств  телемеханики в РП-50</t>
  </si>
  <si>
    <t>E_18/1.2.5</t>
  </si>
  <si>
    <t>Установка устройств  телемеханики в РП-77</t>
  </si>
  <si>
    <t>E_18/1.2.7</t>
  </si>
  <si>
    <t>Установка устройств  телемеханики в РП-48</t>
  </si>
  <si>
    <t>E_18/1.2.4</t>
  </si>
  <si>
    <t>Установка устройств  телемеханики в РП-76</t>
  </si>
  <si>
    <t>E_18/1.2.6</t>
  </si>
  <si>
    <t>Установка устройств  телемеханики в РП-92</t>
  </si>
  <si>
    <t>E_18/1.2.9</t>
  </si>
  <si>
    <t>Замена масляных выключателей на  вакуумных выключатели в  РП-40 (11шт.)</t>
  </si>
  <si>
    <t>I_18/1.3.3.5</t>
  </si>
  <si>
    <t>Замена масляных выключателей на  вакуумных выключатели в  РП-49 (9шт.)</t>
  </si>
  <si>
    <t>I_18/1.3.3.4</t>
  </si>
  <si>
    <t>Замена масляных выключателей на  вакуумных выключатели в  РП-52 (11шт.)</t>
  </si>
  <si>
    <t>I_18/1.3.3.2</t>
  </si>
  <si>
    <t>Замена масляных выключателей на  вакуумных выключатели в  РП-65 (9шт.)</t>
  </si>
  <si>
    <t>I_18/1.3.3.7</t>
  </si>
  <si>
    <t>Реконструкция высоковольтного оборудования (замена трансформаторов 1х400) ТП-868</t>
  </si>
  <si>
    <t>Реконструкция ВЛ-0,4 кВ  от ТП- 72  с монтажом кабельных линий (протяженность по трассе 7,4км)</t>
  </si>
  <si>
    <t>I_18/1.1.1.5</t>
  </si>
  <si>
    <t>Реконструкция ВЛ-0,4 кВ  от ТП- 353 с монтажом кабельных линий (протяженность по трассе 2,963 км)</t>
  </si>
  <si>
    <t>E_18/1.1.1.3</t>
  </si>
  <si>
    <t>Реконструкция ВЛ-0,4 кВ  от ТП- 58 с монтажом кабельных линий п. Тенистый (протяженность по трассе 8,183 км)</t>
  </si>
  <si>
    <t>E_18/1.1.1.2</t>
  </si>
  <si>
    <t>Реконструкция КЛ 0,4 кВ  от ТП-66 - столовая, ул. Дарвина, 16 (протяженность по трассе 0,230 км)</t>
  </si>
  <si>
    <t>E_18/1.1.2.6</t>
  </si>
  <si>
    <t>Реконструкция КЛ-0,4кВ ТП-33 - до оп.№88 ул.Беговая (протяженностью 0,060км)</t>
  </si>
  <si>
    <t>Реконструкция КЛ 6-10 кВ  ТП-3-ТП-331 (протяженность по трассе 0,146 км)</t>
  </si>
  <si>
    <t>Реконструкция КЛ 6-10 кВ  РП-2 - ТП-300А (протяженность по трассе 0,123 км)</t>
  </si>
  <si>
    <t>Вынос КЛ-6кВ ТП-460-ТП-251 и ТП-1008-ТП-1796,2КЛ-1кВ ТП-460-ж.д.36 ул.Пирогова (РемСтрой)</t>
  </si>
  <si>
    <t>E_19/1.1.3.33</t>
  </si>
  <si>
    <t>Реконструкция КЛ 6,10кВ РП-49 - ТП-1062 (протяженность по трассе 0,47 км)</t>
  </si>
  <si>
    <t>I_18/1.1.3.1</t>
  </si>
  <si>
    <t>Реконструкция КЛ 6,10кВ ТП-169 -ТП-1168 (протяженность по трассе 0,44 км)</t>
  </si>
  <si>
    <t>I_18/1.1.3.11</t>
  </si>
  <si>
    <t>Реконструкция КЛ 6,10кВ РП-22 -ТП-880  (протяженность по трассе 0,54км)</t>
  </si>
  <si>
    <t>I_18/1.1.3.15</t>
  </si>
  <si>
    <t>Строительство КЛ-6кВ КТП-1921 до оп.№100 ул. Садовое кольцо</t>
  </si>
  <si>
    <t>Строительство КЛ-0,4кВ ТП-979 - до оп. №1 ул.Морозова</t>
  </si>
  <si>
    <t>Строительство КЛ-0,4кВ ТП-267 - до ВРУ детского комплекса ул. Чайковского,4/а (протяженностью 0,280км)</t>
  </si>
  <si>
    <t>E_19/1.3.10нис</t>
  </si>
  <si>
    <t>E_19/1.3.12.3</t>
  </si>
  <si>
    <t>Приобретение автотранспорта для производственой деятельности (Грузовой автомобиль Газон-NEXT самосвал-1шт.Грузовой автомобиль Газон-NEXT самосвал -1шт.,Легковой автомобиль ГАЗЕЛЬ-2705 -1шт.,Прицеп Роспуск-1шт.,Дизель-генераторная установка-1шт., грузовой автомобиль"Нефаз 42111-12-45" на шасси КАМАЗ 43502-1шт., Мини-экскаватор JCB 8035zts -1шт.,  ГАЗ-33088 (2-х рядная кабина;борт)-1шт.,ГАЗ-33088 (автомастерская)-1шт.,УАЗ-315195 хантер-3шт.,Газон-NEXT АП-18 сдвоенная (5 мест)-1шт.,Газон-NEXT АП-18 сдвоенная (5 мест)-1шт.,Маз-5340В2-КС-35715-1шт.,Прицеп-транспортер кабельный-2шт., Кран-манипулятор хино с кму на тонаж до 5 тонн низкопольный (хотоми)-1шт.</t>
  </si>
  <si>
    <t>E_18/1.3.12.2</t>
  </si>
  <si>
    <t>Приобретение КЛ-0,4 КВ ТП-1693 до ж/д 131 ул.9 Января</t>
  </si>
  <si>
    <t>Объект переходящий по инвестиционной программе 2017 года.</t>
  </si>
  <si>
    <t>Объект переходящий по инвестиционной программе 2018 года.</t>
  </si>
  <si>
    <t>Объект переходящий по инвестиционной программе 2015 года.</t>
  </si>
  <si>
    <t>Приобретение автотранспорта по инвестиционной программе 2018 года.</t>
  </si>
  <si>
    <t>Проведена реконструкция для осуществления технологического присоединения.</t>
  </si>
  <si>
    <t>Ликвидация последствий аварии.</t>
  </si>
  <si>
    <t>Перенос сроков выполнения работ  в связи с проведением торговых процедур.</t>
  </si>
  <si>
    <t>Вынос ЛЭП.Оказание услуг по снятию ограничений в использовании земельного участка по обращению.</t>
  </si>
  <si>
    <t>Перенос сроков приобретения автотранспорта  в связи с проведением торговых процедур.</t>
  </si>
  <si>
    <t>J_19/00001</t>
  </si>
  <si>
    <t>J_19/00002</t>
  </si>
  <si>
    <t>J_19/00003</t>
  </si>
  <si>
    <t>J_19/00004</t>
  </si>
  <si>
    <t xml:space="preserve">Выполнение проектных работ  для технологического присоединения. </t>
  </si>
  <si>
    <t>J_19/00005</t>
  </si>
  <si>
    <t xml:space="preserve">Строительство ВЛ-0,4 кВ для технологического присоединения. Новое строительство (протяженность 0,583 км) </t>
  </si>
  <si>
    <t>J_19/00006</t>
  </si>
  <si>
    <t>Строительство КЛ-0,4 кВ для технологического присоединения. Новое строительство (протяженность 1,587 км)</t>
  </si>
  <si>
    <t>J_19/00007</t>
  </si>
  <si>
    <t>Строительство КЛ-6-10 кВ для технологического присоединения. Новое строительство (протяженность 0,366 км)</t>
  </si>
  <si>
    <t>J_19/00008</t>
  </si>
  <si>
    <t>Строительство РП для технологического присоединения. Новое строительство</t>
  </si>
  <si>
    <t>J_19/00009</t>
  </si>
  <si>
    <t>J_19/00010</t>
  </si>
  <si>
    <t xml:space="preserve"> Строительство КЛ-0,4 кВ от РП-36 протяженностью 2х0,43 км до границы участка по ул. Матросова, 102а  по договору Т.П. (УФСИН России по ВО) №334 от 14.06.2018 г</t>
  </si>
  <si>
    <t>J_19/00012</t>
  </si>
  <si>
    <t>J_19/00013</t>
  </si>
  <si>
    <t xml:space="preserve"> Строительство КЛ-0,4 кВ от ТП-1239 протяженностью 0,38 км до границы участка по ул. Свободы, 21  по договору Т.П. (Кладова И. В.) №750 от 11.06.2014 г</t>
  </si>
  <si>
    <t>J_19/00014</t>
  </si>
  <si>
    <t>Строительство КЛ-0,4 кВ до границы участка по Донбасская ул., 15, (ОАО "РЖД", дог. № 2735 от 10.02.2015 г., протяженность - 0,274 км)</t>
  </si>
  <si>
    <t>F_15/00035</t>
  </si>
  <si>
    <t xml:space="preserve"> Строительство КЛ-0,4 кВ от ТП-840 протяженностью 12х0,1 км до границы участка по пл. Ленина, 6  по договору Т.П. (ООО Специализированный застройщик "Выбор") №1272 от 25.12.2018 г</t>
  </si>
  <si>
    <t>J_19/00015</t>
  </si>
  <si>
    <t xml:space="preserve"> Строительство 2КЛ-10 кВ от РП-22 протяженностью 2х1,5 км. по договору Т.П. (до 670 кВт) №531 от 28.06.2016</t>
  </si>
  <si>
    <t>H_17/00014</t>
  </si>
  <si>
    <t xml:space="preserve"> Строительство КЛ-10 кВ от КТП-1154 протяженностью 0,6 км. по договору Т.П. (свыше 670 кВт) №727 от 28.10.2016</t>
  </si>
  <si>
    <t>H_17/00029</t>
  </si>
  <si>
    <t xml:space="preserve"> Строительство КЛ-0,4 кВ от РП-91 протяженностью 12х0,31 км до границы участка по ул. Сакко и Ванцетти, 82  по договору Т.П. (ООО "Жилстрой") №2555 от 16.02.2015 г</t>
  </si>
  <si>
    <t>Строительство ВЛ-0,4 кВ для технологического присоединения. Новое строительство (протяженность 22,6 км)</t>
  </si>
  <si>
    <t>Строительство КЛ-0,4 кВ для технологического присоединения. Новое строительство (протяженность 14,00 км)</t>
  </si>
  <si>
    <t>Строительство КЛ-6,10 кВ для технологического присоединения. Новое строительство (протяженность 13,10 км)</t>
  </si>
  <si>
    <t>Строительство ТП  для технологического присоединения. Новое строительство (трансформаторная мощность 1,6 мВА)</t>
  </si>
  <si>
    <t>Строительство ВЛ-0,4 кВ для технологического присоединения. Новое строительство (протяженность 20,435 км)</t>
  </si>
  <si>
    <t>F_15/00001</t>
  </si>
  <si>
    <t>Строительство ВЛ-0,4 кВ для технологического присоединения. Новое строительство (протяженность 18,253 км)</t>
  </si>
  <si>
    <t>G_16/00001</t>
  </si>
  <si>
    <t>Строительство ВЛ-0,4 кВ для технологического присоединения. Новое строительство (протяженность 19,444 км)</t>
  </si>
  <si>
    <t>H_17/00077</t>
  </si>
  <si>
    <t>Строительство КЛ-0,4 кВ для технологического присоединения. Новое строительство (протяженность 1,072  км)</t>
  </si>
  <si>
    <t>H_17/00078</t>
  </si>
  <si>
    <t>Строительство КЛ-10 кВ для технологического присоединения. Новое строительство (протяженность 2,010 км)</t>
  </si>
  <si>
    <t>H_17/00079</t>
  </si>
  <si>
    <t>Строительство КЛ-0,4 кВ для технологического присоединения. Новое строительство (протяженность 0,523 км)</t>
  </si>
  <si>
    <t>E_18/00028</t>
  </si>
  <si>
    <t>Строительство ВЛ-0,4 кВ для технологического присоединения. Новое строительство (протяженность 19,125 км)</t>
  </si>
  <si>
    <t>E_18/00027</t>
  </si>
  <si>
    <t>Строительство КЛ-6-10 кВ для технологического присоединения. Новое строительство (протяженность 0,81 км)</t>
  </si>
  <si>
    <t>E_18/00029</t>
  </si>
  <si>
    <t>Строительство КЛ-0,4 кВ для технологического присоединения. Новое строительство. (протяженность -  8,387 км)</t>
  </si>
  <si>
    <t>F_15/00005</t>
  </si>
  <si>
    <t>Строительство КЛ-0,4 кВ для технологического присоединения. Новое строительство (протяженность -  3,349 км)</t>
  </si>
  <si>
    <t>G_16/00004</t>
  </si>
  <si>
    <t>Строительство КЛ-0,4 кВ для технологического присоединения. Новое строительство (протяженность -  4,267 км)</t>
  </si>
  <si>
    <t>H_17/00082</t>
  </si>
  <si>
    <t>Строительство КЛ-10 кВ для технологического присоединения. Новое строительство (протяженность -  2,819 км)</t>
  </si>
  <si>
    <t>H_17/00081</t>
  </si>
  <si>
    <t>Строительство ВЛ-0,4 кВ для технологического присоединения. Новое строительство (протяженность 3,866 км)</t>
  </si>
  <si>
    <t>E_18/00030</t>
  </si>
  <si>
    <t>Строительство КЛ-6-10 кВ для технологического присоединения. Новое строительство (протяженность 4,036 км)</t>
  </si>
  <si>
    <t>E_18/00033</t>
  </si>
  <si>
    <t xml:space="preserve">Выполнение проектных работ для технологического присоединения. Новое строительство </t>
  </si>
  <si>
    <t>E_18/00032</t>
  </si>
  <si>
    <t xml:space="preserve"> Строительство 4КЛ-10 кВ протяженностью 4х0,52 км. по договору Т.П. (свыше 670 кВт) №2641 от 24.12.2014</t>
  </si>
  <si>
    <t>G_16/00044</t>
  </si>
  <si>
    <t xml:space="preserve"> Строительство 2КЛ-1 кВ от ТП-1281 протяженностью 2х0,4 км. по договору Т.П. (до 670 кВт) №826 от 09.11.2016</t>
  </si>
  <si>
    <t>H_17/00046</t>
  </si>
  <si>
    <t xml:space="preserve"> Строительство ТП с одним трансформатором 0,63 МВА. по договору Т.П. (до 670 кВт) №1017 от 18.08.2014</t>
  </si>
  <si>
    <t>E_18/00012</t>
  </si>
  <si>
    <t xml:space="preserve"> Строительство 6 КЛ-0,4 кВ от ТП-637 протяженностью 6х0,34 км. по договору Т.П. (от 150 до 670 кВт) №372 от 07.06.2018</t>
  </si>
  <si>
    <t>E_18/00017</t>
  </si>
  <si>
    <t xml:space="preserve"> Строительство 2 КЛ-10 кВ от РП-92протяженностью 2х0,7 км. по договору Т.П. (от 150 до 670 кВт) №425 от 13.06.2018</t>
  </si>
  <si>
    <t>E_18/00018</t>
  </si>
  <si>
    <t>Строительство КЛ 10 кВ ТП-1041-ТП-1602 и ТП-1753-ТП-1223 ул.Героев Сибиряков,2/и протяженностью 2х02 км. и 2х1,15 км по договору Т.П. (от 150 до 670 кВт) №823 от 01.07.2014</t>
  </si>
  <si>
    <t>E_18/00019</t>
  </si>
  <si>
    <t xml:space="preserve"> Строительство  2КЛ-10 кВ от ТП-проект - РП-94 протяженностью 2х0,54 км. по договору Т.П. (свыше 670 кВт) №1217 от 16.01.2014</t>
  </si>
  <si>
    <t>E_18/00021</t>
  </si>
  <si>
    <t xml:space="preserve"> Строительство 2 КЛ-10 кВ от ТП-1640 протяженностью 2х0,45 км. по договору Т.П. (от 150 до 670 кВт) №451 от 06.06.2018</t>
  </si>
  <si>
    <t>E_18/00020</t>
  </si>
  <si>
    <t xml:space="preserve"> Строительство 4КЛ-10 кВ от  РП-15 протяженностью4х0,67 км. по договору Т.П. (свыше 670 кВт) №90 от 19.02.2015</t>
  </si>
  <si>
    <t>E_18/00022</t>
  </si>
  <si>
    <t xml:space="preserve"> Строительство КЛ-6кВ от ТП-750 и КЛ-6кВ от ТП-708 до гр.зем.участка ул.Балашовская 29 протяженностью 3,0 км. и 3,3 км. по договору Т.П. (свыше 670 кВт) №1445 от 08.12.2017</t>
  </si>
  <si>
    <t>E_18/00024</t>
  </si>
  <si>
    <t xml:space="preserve"> Строительство БКТП с двумя трансформаторами мощностью 2,0 мВА 2 КЛ-10кВ протяженностью 2х4,0 км, КЛ-1 кВ  протяженностью  Lсек.1=2х145 м, Lсек.2=2х80м, Lсек.3=2х70 м, Lсек.4=8х70 м, Lкотел.=2х100 м, Lнежил. пом..=2х100 м, Lпарковка.=2х100 м, Lн/освещ..=10 м  по договору Т.П. (свыше 670 кВт) №836 от 10.12.2015</t>
  </si>
  <si>
    <t>E_18/00026</t>
  </si>
  <si>
    <t xml:space="preserve"> Строительство КЛ-1 кВ от  РП-91 протяженностью12х0,310 м . по договору Т.П. (до 670 кВт) №2555 от 16.02.2015</t>
  </si>
  <si>
    <t>E_18/00034</t>
  </si>
  <si>
    <t>Выполнение проектных работ по договору Т.П. (от 150 до 670 кВт) №750 от 11.06.2014</t>
  </si>
  <si>
    <t>E_18/00053</t>
  </si>
  <si>
    <t>Реконструкция низковольтного оборудования в ТП-339</t>
  </si>
  <si>
    <t>I_18/1.5.25.А.</t>
  </si>
  <si>
    <t>Реконструкция низковольтногооборудования в ТП-910</t>
  </si>
  <si>
    <t>I_18/1.5.16.А.</t>
  </si>
  <si>
    <t>Вынос КТП-1622 п.Репное (Когтев С.А.)</t>
  </si>
  <si>
    <t>G_16/1.3.7.8</t>
  </si>
  <si>
    <t>ТП-1007 КЛ-1(ОАО "Центрторг") Генерала Лизюкова,62</t>
  </si>
  <si>
    <t>F_15/1.1.3.28</t>
  </si>
  <si>
    <t>Платонова 15 вынос КЛ-6 кВ ТП-140-ТП-1239,ТП-19-ТП-1239(Воронежбетон)</t>
  </si>
  <si>
    <t>F_15/1.1.3.29</t>
  </si>
  <si>
    <t>H_17/1.1.4.14</t>
  </si>
  <si>
    <t xml:space="preserve">Вынос КЛ-6кВ: ТП-1093-ТП-1757, ТП-1098-ТП-1757, ТП-1196-ТП-1757 из зоны стр-ва Корольковой, 59,61 </t>
  </si>
  <si>
    <t>H_17/1.1.4.15</t>
  </si>
  <si>
    <t>Реконструкция КЛ 0,4 кВ ТП-224Н - ул. Чайковского, Щ.1</t>
  </si>
  <si>
    <t>E_18/1.1.2.18</t>
  </si>
  <si>
    <t>Реконструкция КЛ 6,10кВ РП-7 ТП-20 (до муфты)</t>
  </si>
  <si>
    <t>I_18/1.1.3.20</t>
  </si>
  <si>
    <t>Реконструкция КЛ 6,10кВ РП-28-ТП-896</t>
  </si>
  <si>
    <t>I_18/1.1.3.22</t>
  </si>
  <si>
    <t>Реконструкция КЛ 6,10кВ РП-21-ТП-751</t>
  </si>
  <si>
    <t>I_18/1.1.3.23</t>
  </si>
  <si>
    <t>Реконструкция КЛ 0,4 кВ ТП-10</t>
  </si>
  <si>
    <t>E_18/1.1.2.19</t>
  </si>
  <si>
    <t>Стр-во КТП 1х250 взамен КТП-869 (трансформаторная мощность 0,25 МВА)</t>
  </si>
  <si>
    <t>F_15/2.2.5.5</t>
  </si>
  <si>
    <t>Прокладка КЛ от ТП-1256 до места соед. С КЛ в сторону ТП-676 (протяженность по трассе 1,10км)</t>
  </si>
  <si>
    <t>H_17/2.1.3.1</t>
  </si>
  <si>
    <t>Строительство КЛ-0,4 кВ ТП-1095 КЛ-1 кВ, ул. Новосибирская, д. 39 (ИП Леньков А.А.)</t>
  </si>
  <si>
    <t>I_18/2.2.7.34</t>
  </si>
  <si>
    <t>Строительство КЛ-0,4 кВ ТП-218А, ул. Шишкова, 65</t>
  </si>
  <si>
    <t>I_18/2.2.7.26</t>
  </si>
  <si>
    <t>Строительство КЛ-0,4 кВ ТП-222  КЛ-1 кВ, ул. Мира, д. 3 9Сорокин А.В.)</t>
  </si>
  <si>
    <t>I_18/2.2.7.35</t>
  </si>
  <si>
    <t>Строительство КЛ-0,4 кВ ТП-282 КЛ-1 кВ, Московский пр. 7</t>
  </si>
  <si>
    <t>I_18/2.2.7.27</t>
  </si>
  <si>
    <t>Строительство КЛ-0,4 кВ ТП-396, ул. Брусилова, д. 4Е(ООО Фрегат)</t>
  </si>
  <si>
    <t>I_18/2.2.7.36</t>
  </si>
  <si>
    <t>Реконструкция ВЛ-0,4кВ для технологического присоединения от ТП-728 (протяженность по трассе 0,159 км)</t>
  </si>
  <si>
    <t>Реконструкция ВЛ-0,4кВ для технологического присоединения от ТП-201А (протяженность по трассе 0,088км)</t>
  </si>
  <si>
    <t>ТП-1188, ул. Минская, 43/3</t>
  </si>
  <si>
    <t>E_19/2.1.16</t>
  </si>
  <si>
    <t>ТП-218А ул.Шишкова 65(11-432) Киоск (ИП Маслов Е.В.)</t>
  </si>
  <si>
    <t>E_19/2.1.17</t>
  </si>
  <si>
    <t>ТП-65 КЛ-1 кВ ул.Краснознаменная 90 (ООО Дизайн)</t>
  </si>
  <si>
    <t>E_19/2.1.18</t>
  </si>
  <si>
    <t>Реконструкция ВЛ-0,4кВ для технологического присоединения от ТП-19 (протяженность по трассе 0,120км)</t>
  </si>
  <si>
    <t>E_19/2.1.19</t>
  </si>
  <si>
    <t>Реконструкция низковольтного  оборудования в ТП-179</t>
  </si>
  <si>
    <t>E_19/1.3.6.11.А</t>
  </si>
  <si>
    <t>Реконструкция низковольтного  оборудования в ТП-440</t>
  </si>
  <si>
    <t>E_19/1.3.6.12.А</t>
  </si>
  <si>
    <t>Реконструкция низковольтного  оборудования в ТП-517</t>
  </si>
  <si>
    <t>E_19/1.3.6.13.А</t>
  </si>
  <si>
    <t>Реконструкция низковольтного  оборудования в ТП-1507</t>
  </si>
  <si>
    <t>E_19/1.3.6.14.А</t>
  </si>
  <si>
    <t>Реконструкция низковольтного  оборудования в ТП-841</t>
  </si>
  <si>
    <t>E_19/1.3.6.15.А</t>
  </si>
  <si>
    <t>Реконструкция высоковольтного оборудования в ТП-1644</t>
  </si>
  <si>
    <t>E_19/1.3.7.4.А</t>
  </si>
  <si>
    <t>Установка устройств  телемеханики в РП-47</t>
  </si>
  <si>
    <t>E_17/1.2.14</t>
  </si>
  <si>
    <t>Установка устройств  телемеханики в  РП-90 выполнение АСДУ 7этап</t>
  </si>
  <si>
    <t>E_18/1.2.8</t>
  </si>
  <si>
    <t>Установка устройств  телемеханики в  ТП-805 выполнение АСДУ 7этап</t>
  </si>
  <si>
    <t>E_18/1.2.10</t>
  </si>
  <si>
    <t>РП-5 (установка ключей управления)</t>
  </si>
  <si>
    <t>E_19/1.2.2</t>
  </si>
  <si>
    <t>Установка устройств  телемеханики в  БКРП-96 выполнение АСДУ 7этап</t>
  </si>
  <si>
    <t>E_18/1.2.3</t>
  </si>
  <si>
    <t>Замена масляных выключателей на  вакуумные выключатели в РП-47 (10шт.)</t>
  </si>
  <si>
    <t>G_16/1.3.4.1</t>
  </si>
  <si>
    <t>Реконструкция высоковольтного оборудования (замена трансформаторов 1х400) ТП-708</t>
  </si>
  <si>
    <t>E_19/1.3.5.3.А</t>
  </si>
  <si>
    <t>Реконструкция высоковольтного оборудования (замена трансформаторов 1х400) ТП-1507</t>
  </si>
  <si>
    <t>E_19/1.3.5.7.А</t>
  </si>
  <si>
    <t>Реконструкция высоковольтного оборудования (замена трансформаторов 1х400) ТП-908</t>
  </si>
  <si>
    <t>E_19/1.3.5.8.А</t>
  </si>
  <si>
    <t>Реконструкция высоковольтного оборудования (замена трансформатора 1х400) ТП-281(б/у)</t>
  </si>
  <si>
    <t>E_19/1.3.5.4.А</t>
  </si>
  <si>
    <t>Реконструкция высоковольтного оборудования (замена трансформаторов 2х250) ТП-1644 (б/у)</t>
  </si>
  <si>
    <t>E_19/1.3.5.5.А</t>
  </si>
  <si>
    <t>Реконструкция высоковольтного оборудования (замена трансформатора 1х250) ТП-1721(б/у)</t>
  </si>
  <si>
    <t>E_19/1.3.5.6.А</t>
  </si>
  <si>
    <t>Реконструкция высоковольтного оборудования (замена трансформаторов 1х630) ТП-247</t>
  </si>
  <si>
    <t>Реконструкция высоковольтного оборудования (замена трансформаторов 1х630) ТП-179</t>
  </si>
  <si>
    <t>Реконструкция КЛ-0,4кВ ТП-657 - вывод на сеть  (протяженностью 0,032км)</t>
  </si>
  <si>
    <t>E_19/1.1.2.12</t>
  </si>
  <si>
    <t>E_19/1.1.2.13</t>
  </si>
  <si>
    <t>E_19/1.1.2.14</t>
  </si>
  <si>
    <t>E_19/1.1.2.15</t>
  </si>
  <si>
    <t>E_19/1.1.2.16</t>
  </si>
  <si>
    <t>ТП-255, ул. Красных партизан-Станкевича-Свечной переулок (ООО Энергоавтомат)</t>
  </si>
  <si>
    <t>E_19/1.1.2.17</t>
  </si>
  <si>
    <t>Вынос ВЛ-0,4кВ ТП-1547, ул.Белостокская 50 (Скоморохов П.А.)</t>
  </si>
  <si>
    <t>E_19/1.1.1.9</t>
  </si>
  <si>
    <t>Вынос ЛЭП ВЛ-0,4кВ ТП-460 по адресу: ул.Конструкторов,ул.Крымская,ул.Пирогова</t>
  </si>
  <si>
    <t>E_19/1.1.1.10</t>
  </si>
  <si>
    <t>Вынос ЛЭП ВЛ-0,4кВ ТП-247 по адресу: ул.Карла Маркса</t>
  </si>
  <si>
    <t>E_19/1.1.1.11</t>
  </si>
  <si>
    <t>Реконструкция КЛ-0,4кВ ТП-812 до ж/д 288 ул. 9 Января  (протяженностью 1,456 км)</t>
  </si>
  <si>
    <t>E_19/1.1.2.18</t>
  </si>
  <si>
    <t>Реконструкция КЛ-0,4кВ ТП-517 - до оп.№1 ул.Г.Сибиряков  (протяженностью 0,030км)</t>
  </si>
  <si>
    <t>E_19/1.1.2.19</t>
  </si>
  <si>
    <t>Вынос КЛ-0,4кВ ТП-460 - до ж/д 36 ул.Пирогова (протяженностью 0,265км)</t>
  </si>
  <si>
    <t>E_19/1.1.2.20</t>
  </si>
  <si>
    <t>Вынос КЛ-0,4кВ ТП-247 - до опоры №1А ул.К.Маркса (протяженностью 0,039км)</t>
  </si>
  <si>
    <t>E_19/1.1.2.21</t>
  </si>
  <si>
    <t>Строительство КЛ-0,4кВ ТП-1626- врезка в КЛ до РЩ парк "Алые паруса"(протяженностью 0,015км)</t>
  </si>
  <si>
    <t>E_19/1.1.2.22</t>
  </si>
  <si>
    <t>Вынос КЛ-0,4кВ ТП-1823 -ж/д 13 ул.Платонова(протяженностью 0,0662 км)</t>
  </si>
  <si>
    <t>E_19/1.1.2.23</t>
  </si>
  <si>
    <t>Вынос КЛ-0,4кВ ТП-1823 -до арбитражного суда ул.Платонова,8 (протяженностью 0,186 км)</t>
  </si>
  <si>
    <t>E_19/1.1.2.24</t>
  </si>
  <si>
    <t>Вынос КЛ-0,4кВ ТП-1823 -до котельной ул.Платонова,3 (протяженностью 0,0695 км)</t>
  </si>
  <si>
    <t>E_19/1.1.2.25</t>
  </si>
  <si>
    <t>Перенос  КТП-1927с прокладкой КЛ-0,4,6кВ по адресу: ул.Ленина</t>
  </si>
  <si>
    <t>Реконструкция КЛ 6,10кВ РП-26 ТП-1041 (протяженность по трассе 1,251 км)</t>
  </si>
  <si>
    <t>I_18/1.1.3.7</t>
  </si>
  <si>
    <t>Реконструкция КЛ  6,10кВ ТП-200-ТП-125  (протяженность по трассе 0,44 км)</t>
  </si>
  <si>
    <t>I_18/1.1.3.10</t>
  </si>
  <si>
    <t>Реконструкция КЛ 6,10кВ ТП-360 -ТП-560 (протяженность по трассе 0,58 км)</t>
  </si>
  <si>
    <t>I_18/1.1.3.4</t>
  </si>
  <si>
    <t>ТП-1055-ТП-1113, Ленинский пр. 215/Б (ООО АЗС-Продукт)</t>
  </si>
  <si>
    <t>E_19/1.1.3.38</t>
  </si>
  <si>
    <t>ТП-1882-ТП-305, ТП-1882-ТП-339, Московский пр. 38 9МБОУ гимназия им. Никитина)</t>
  </si>
  <si>
    <t>E_19/1.1.3.39</t>
  </si>
  <si>
    <t>РП-39-ТП-1721; ТП-1721-ТП1073; ТП-172-ТП-1459 ж/д 31а ул. Юж.-Морав. (АО ДСК)</t>
  </si>
  <si>
    <t>E_19/1.1.3.40</t>
  </si>
  <si>
    <t>Реконструкция КЛ 6,10кВ РП-42 - ТП-345</t>
  </si>
  <si>
    <t>I_18/1.1.3.24</t>
  </si>
  <si>
    <t>Реконструкция КЛ 6,10кВ РП-42 - ТП-159 (протяженность по трассе 0,42 км)</t>
  </si>
  <si>
    <t>I_18/1.1.3.5</t>
  </si>
  <si>
    <t>Реконструкция КЛ 6,10кВ РП-12 -ТП-560 (протяженность по трассе 0,22 км)</t>
  </si>
  <si>
    <t>I_18/1.1.3.2</t>
  </si>
  <si>
    <t>Вынос КЛ-6кВ ТП-1823 до М-8 в ТП-1239 (протяженность 0,0382 км)</t>
  </si>
  <si>
    <t>E_19/1.1.3.41</t>
  </si>
  <si>
    <t>Вынос КЛ-6кВ ТП-1823 до М-9 в ТП-364 (протяженность 0,0645км)</t>
  </si>
  <si>
    <t>E_19/1.1.3.42</t>
  </si>
  <si>
    <t>Вынос КЛ-6кВ ТП-19 от М-10  до М-10а в ст.ТП-1239 (протяженность 0,1036км)</t>
  </si>
  <si>
    <t>E_19/1.1.3.43</t>
  </si>
  <si>
    <t>Прокладка КЛ-10 кВ сеч.3х120 ТП-480 до БКТП-34Н</t>
  </si>
  <si>
    <t>ТП-19, ул. Ремесленная Гора, 13</t>
  </si>
  <si>
    <t>Строительство КЛ-0,4кВ ТП-247 - до опоры №1А ул.Карла Маркса (протяженностью 0,040км)</t>
  </si>
  <si>
    <t>Строительство КЛ-0,4кВ ТП-17Н - до опоры №1 в сторону ж/д 32 ул. Декабристов и ж/д 26 ул.Таранченко (протяженностью 0,082км)</t>
  </si>
  <si>
    <t>Строительство КЛ-0,4кВ ТП-1095- до нежилого здания (магазин) ул. Новосибирская,39 (протяженностью 0,076км)</t>
  </si>
  <si>
    <t>Строительство КЛ-0,4кВ ТП-1626- до РЩ пляжа парк "Алые паруса"(протяженностью 0,140км)</t>
  </si>
  <si>
    <t>Строительство КЛ-0,4кВ ТП-1039- до ж/д 16 ул.К.Стрелюка (протяженностью 0,032км)</t>
  </si>
  <si>
    <t>Вынос КЛ-0,4кВ ТП-1823 -до банка политпросвещения ул.Платонова(протяженностью 0,1661км)</t>
  </si>
  <si>
    <t>Вынос КЛ-0,4кВ ТП-1823 -до М.16-V в ст. юридической консультации ул.Платонова,5 (протяженностью 0,062км)</t>
  </si>
  <si>
    <t>Вынос КЛ-0,4кВ ТП-1823 -до опоры №23 в ст.ж/д №5,3,1 ул.Платонова(протяженностью 0,140км)</t>
  </si>
  <si>
    <t>Вынос КЛ-0,4кВ ТП-1823 -до опоры №23 в ст. банка ВТБ и ж/д 4  ул.Платонова(протяженностью 0,140км)</t>
  </si>
  <si>
    <t>E_19/2.1.20</t>
  </si>
  <si>
    <t>Вынос КЛ-0,4кВ ТП-1823 -до опоры №23 в ст.  ж/д 5 пер.Старинный (протяженностью 0,070км)</t>
  </si>
  <si>
    <t>E_19/2.1.21</t>
  </si>
  <si>
    <t>Вынос КЛ-0,4кВ ТП-1823 -до опоры №23 ул.Платонова(протяженностью 0,140км)</t>
  </si>
  <si>
    <t>E_19/2.1.22</t>
  </si>
  <si>
    <t>Вынос КЛ-0,4кВ ТП-1823 -до ВРУ ж/д №7 ул.Платонова(протяженностью 0,3915км)</t>
  </si>
  <si>
    <t>E_19/2.1.23</t>
  </si>
  <si>
    <t>Вынос КЛ-6кВ ТП-1823 до М-7 в ТП-1451(протяженностью 0,0932км)</t>
  </si>
  <si>
    <t>E_19/2.1.24</t>
  </si>
  <si>
    <t>Строительство нового БКРП 2х630 взамен ТП-1144 с перезаводкой всех КЛ-6, 0,4 кВ, ВЛ  (трансформаторная мощность 1,26МВА,с увеличением трансформаторной мощности на 0,23МВА)</t>
  </si>
  <si>
    <t>I_18/2.2.2</t>
  </si>
  <si>
    <t>Производственные службы (вне плана)</t>
  </si>
  <si>
    <t>E_19/1.3.12.4</t>
  </si>
  <si>
    <t xml:space="preserve"> Строительство КЛ-10 кВ от КТП-1644 до места врезки в КЛ-6 кВ  ТП-278-ТП-786, до ТП-264  (Чернова М. В. дог. № 868 от 07.12.2010 г.) </t>
  </si>
  <si>
    <t xml:space="preserve"> Строительство 2КЛ-10 кВ с разных секций РУ-6 кВ РП-24 до границы участка заявителя  по договору Т.П. (свыше 670 кВт, ООО "ДСК-2") №218 от 04.04.2019</t>
  </si>
  <si>
    <t>Строительство ТП, 2КЛ-10 кВ с разных секций РУ-6 кВ ТП-проект. до места соединения с КЛ-10 кВ в сторону ТП-475 и с КЛ-10 кВ в сторону ТП-500 по договору Т.П. (от 150 до 670 кВт, ИП Володин Д. А.)  №616 от 03.06.2019</t>
  </si>
  <si>
    <t>Строительство ТП, 2КЛ-10 кВ с разных секций РУ-6 кВ ТП-проект. до места соединения с 2КЛ-10 кВ в сторону ТП-1026  договору Т.П. (от 150 до 670 кВт, ОАО "ДСК".)  №63 от 22.03.2019</t>
  </si>
  <si>
    <t>Строительство ТП, 2КЛ-10 кВ с разных секций РУ-6 кВ ТП-1103 до границы участка заявителя по  договору Т.П. (от 150 до 670 кВт, ОАО "ДСК".)  №64 от 22.03.2019</t>
  </si>
  <si>
    <t>Строительство КЛ-10 кВ до границы участка по Плехановская ул., 9 (ООО "ГК "Лотос", дог. № 1169 от 15.01.2014 г., протяженность -  0,079 км)</t>
  </si>
  <si>
    <t xml:space="preserve"> Строительство ТП с двумя трасформаторами 1 МВА. по договору Т.П. (свыше 670 кВт) №836 от 10.12.2015</t>
  </si>
  <si>
    <t>Строительство КЛ-0,4 кВ до границы участка по ул.Новосибирская, 61в, 61д, (ООО " Гарантстрой", дог. № 1042 от 04.04.2012 г., протяженность - 0,370 км)</t>
  </si>
  <si>
    <t>Строительство ТП, КЛ-10 кВ от БКТП-311 до  ТП-1941 по  договору Т.П. (от 150 до 670 кВт, Управление строительной политики)  №232 от 06.06.2019</t>
  </si>
  <si>
    <t>J_19/00016</t>
  </si>
  <si>
    <t>J_19/00017</t>
  </si>
  <si>
    <t>J_19/00018</t>
  </si>
  <si>
    <t>J_19/00019</t>
  </si>
  <si>
    <t>J_19/00020</t>
  </si>
  <si>
    <t>G_16/00015</t>
  </si>
  <si>
    <t>H_17/00048</t>
  </si>
  <si>
    <t>F_15/00041</t>
  </si>
  <si>
    <t>J_19/00021</t>
  </si>
  <si>
    <t>В связи с невозможностью пообъектного планирования мероприятий по технологическому присоединению плановый объем финансирования устанавливается общей суммой по результатм анализа фактических данных за последние 3 года.</t>
  </si>
  <si>
    <t>По фактически заключенным договорам  на технологическое присоединение.</t>
  </si>
  <si>
    <t>Объект переходящий по инвестиционной программе 2016 года.</t>
  </si>
  <si>
    <t>Перенос сроков приобретения оборудования  года в связи с проведением торговых процедур.</t>
  </si>
  <si>
    <t>за 1 полугодие 2019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</si>
</sst>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\ _₽_-;\-* #,##0.00\ _₽_-;_-* &quot;-&quot;??\ _₽_-;_-@_-"/>
    <numFmt numFmtId="164" formatCode="_-* #,##0.00_р_._-;\-* #,##0.00_р_._-;_-* &quot;-&quot;??_р_._-;_-@_-"/>
    <numFmt numFmtId="165" formatCode="#,##0_ ;\-#,##0\ "/>
    <numFmt numFmtId="166" formatCode="_-* #,##0.00\ _р_._-;\-* #,##0.00\ _р_._-;_-* &quot;-&quot;??\ _р_._-;_-@_-"/>
    <numFmt numFmtId="167" formatCode="#,##0.00000"/>
    <numFmt numFmtId="168" formatCode="0.00000"/>
  </numFmts>
  <fonts count="41" x14ac:knownFonts="1">
    <font>
      <sz val="12"/>
      <name val="Times New Roman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charset val="204"/>
    </font>
    <font>
      <sz val="11"/>
      <color rgb="FF000000"/>
      <name val="SimSun"/>
      <family val="2"/>
      <charset val="204"/>
    </font>
    <font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Helv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142">
    <xf numFmtId="0" fontId="0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8" borderId="0" applyNumberFormat="0" applyBorder="0" applyAlignment="0" applyProtection="0"/>
    <xf numFmtId="0" fontId="11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9" borderId="0" applyNumberFormat="0" applyBorder="0" applyAlignment="0" applyProtection="0"/>
    <xf numFmtId="0" fontId="13" fillId="7" borderId="1" applyNumberFormat="0" applyAlignment="0" applyProtection="0"/>
    <xf numFmtId="0" fontId="14" fillId="20" borderId="2" applyNumberFormat="0" applyAlignment="0" applyProtection="0"/>
    <xf numFmtId="0" fontId="15" fillId="20" borderId="1" applyNumberFormat="0" applyAlignment="0" applyProtection="0"/>
    <xf numFmtId="0" fontId="16" fillId="0" borderId="3" applyNumberFormat="0" applyFill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8" fillId="0" borderId="0" applyNumberFormat="0" applyFill="0" applyBorder="0" applyAlignment="0" applyProtection="0"/>
    <xf numFmtId="0" fontId="19" fillId="0" borderId="6" applyNumberFormat="0" applyFill="0" applyAlignment="0" applyProtection="0"/>
    <xf numFmtId="0" fontId="20" fillId="21" borderId="7" applyNumberFormat="0" applyAlignment="0" applyProtection="0"/>
    <xf numFmtId="0" fontId="21" fillId="0" borderId="0" applyNumberFormat="0" applyFill="0" applyBorder="0" applyAlignment="0" applyProtection="0"/>
    <xf numFmtId="0" fontId="22" fillId="22" borderId="0" applyNumberFormat="0" applyBorder="0" applyAlignment="0" applyProtection="0"/>
    <xf numFmtId="0" fontId="28" fillId="0" borderId="0"/>
    <xf numFmtId="0" fontId="10" fillId="0" borderId="0"/>
    <xf numFmtId="0" fontId="23" fillId="3" borderId="0" applyNumberFormat="0" applyBorder="0" applyAlignment="0" applyProtection="0"/>
    <xf numFmtId="0" fontId="24" fillId="0" borderId="0" applyNumberFormat="0" applyFill="0" applyBorder="0" applyAlignment="0" applyProtection="0"/>
    <xf numFmtId="0" fontId="11" fillId="23" borderId="8" applyNumberFormat="0" applyFont="0" applyAlignment="0" applyProtection="0"/>
    <xf numFmtId="0" fontId="25" fillId="0" borderId="9" applyNumberFormat="0" applyFill="0" applyAlignment="0" applyProtection="0"/>
    <xf numFmtId="0" fontId="26" fillId="0" borderId="0" applyNumberFormat="0" applyFill="0" applyBorder="0" applyAlignment="0" applyProtection="0"/>
    <xf numFmtId="0" fontId="27" fillId="4" borderId="0" applyNumberFormat="0" applyBorder="0" applyAlignment="0" applyProtection="0"/>
    <xf numFmtId="0" fontId="29" fillId="0" borderId="0"/>
    <xf numFmtId="0" fontId="29" fillId="0" borderId="0"/>
    <xf numFmtId="0" fontId="9" fillId="0" borderId="0"/>
    <xf numFmtId="0" fontId="31" fillId="0" borderId="0"/>
    <xf numFmtId="0" fontId="31" fillId="0" borderId="0"/>
    <xf numFmtId="164" fontId="9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9" fillId="0" borderId="0" applyFont="0" applyFill="0" applyBorder="0" applyAlignment="0" applyProtection="0"/>
    <xf numFmtId="0" fontId="8" fillId="0" borderId="0"/>
    <xf numFmtId="0" fontId="7" fillId="0" borderId="0"/>
    <xf numFmtId="0" fontId="33" fillId="0" borderId="0"/>
    <xf numFmtId="0" fontId="10" fillId="0" borderId="0"/>
    <xf numFmtId="0" fontId="10" fillId="0" borderId="0"/>
    <xf numFmtId="0" fontId="10" fillId="0" borderId="0"/>
    <xf numFmtId="0" fontId="6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8" borderId="0" applyNumberFormat="0" applyBorder="0" applyAlignment="0" applyProtection="0"/>
    <xf numFmtId="0" fontId="11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34" fillId="0" borderId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9" borderId="0" applyNumberFormat="0" applyBorder="0" applyAlignment="0" applyProtection="0"/>
    <xf numFmtId="0" fontId="13" fillId="7" borderId="1" applyNumberFormat="0" applyAlignment="0" applyProtection="0"/>
    <xf numFmtId="0" fontId="14" fillId="20" borderId="2" applyNumberFormat="0" applyAlignment="0" applyProtection="0"/>
    <xf numFmtId="0" fontId="15" fillId="20" borderId="1" applyNumberFormat="0" applyAlignment="0" applyProtection="0"/>
    <xf numFmtId="0" fontId="16" fillId="0" borderId="3" applyNumberFormat="0" applyFill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8" fillId="0" borderId="0" applyNumberFormat="0" applyFill="0" applyBorder="0" applyAlignment="0" applyProtection="0"/>
    <xf numFmtId="0" fontId="19" fillId="0" borderId="6" applyNumberFormat="0" applyFill="0" applyAlignment="0" applyProtection="0"/>
    <xf numFmtId="0" fontId="20" fillId="21" borderId="7" applyNumberFormat="0" applyAlignment="0" applyProtection="0"/>
    <xf numFmtId="0" fontId="21" fillId="0" borderId="0" applyNumberFormat="0" applyFill="0" applyBorder="0" applyAlignment="0" applyProtection="0"/>
    <xf numFmtId="0" fontId="22" fillId="22" borderId="0" applyNumberFormat="0" applyBorder="0" applyAlignment="0" applyProtection="0"/>
    <xf numFmtId="0" fontId="23" fillId="3" borderId="0" applyNumberFormat="0" applyBorder="0" applyAlignment="0" applyProtection="0"/>
    <xf numFmtId="0" fontId="24" fillId="0" borderId="0" applyNumberFormat="0" applyFill="0" applyBorder="0" applyAlignment="0" applyProtection="0"/>
    <xf numFmtId="0" fontId="11" fillId="23" borderId="8" applyNumberFormat="0" applyFont="0" applyAlignment="0" applyProtection="0"/>
    <xf numFmtId="0" fontId="25" fillId="0" borderId="9" applyNumberFormat="0" applyFill="0" applyAlignment="0" applyProtection="0"/>
    <xf numFmtId="0" fontId="26" fillId="0" borderId="0" applyNumberFormat="0" applyFill="0" applyBorder="0" applyAlignment="0" applyProtection="0"/>
    <xf numFmtId="0" fontId="27" fillId="4" borderId="0" applyNumberFormat="0" applyBorder="0" applyAlignment="0" applyProtection="0"/>
    <xf numFmtId="0" fontId="5" fillId="0" borderId="0"/>
    <xf numFmtId="0" fontId="10" fillId="0" borderId="0"/>
    <xf numFmtId="9" fontId="31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35" fillId="0" borderId="0"/>
    <xf numFmtId="0" fontId="4" fillId="0" borderId="0"/>
    <xf numFmtId="164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8" fillId="0" borderId="0"/>
    <xf numFmtId="0" fontId="4" fillId="0" borderId="0"/>
    <xf numFmtId="0" fontId="4" fillId="0" borderId="0"/>
    <xf numFmtId="0" fontId="4" fillId="0" borderId="0"/>
    <xf numFmtId="164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4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10" fillId="0" borderId="0"/>
    <xf numFmtId="0" fontId="3" fillId="0" borderId="0"/>
    <xf numFmtId="164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</cellStyleXfs>
  <cellXfs count="112">
    <xf numFmtId="0" fontId="0" fillId="0" borderId="0" xfId="0"/>
    <xf numFmtId="0" fontId="10" fillId="24" borderId="0" xfId="37" applyFont="1" applyFill="1"/>
    <xf numFmtId="0" fontId="10" fillId="24" borderId="0" xfId="37" applyFont="1" applyFill="1" applyBorder="1"/>
    <xf numFmtId="0" fontId="30" fillId="24" borderId="0" xfId="54" applyFont="1" applyFill="1" applyAlignment="1">
      <alignment vertical="center"/>
    </xf>
    <xf numFmtId="0" fontId="30" fillId="24" borderId="0" xfId="54" applyFont="1" applyFill="1" applyAlignment="1">
      <alignment horizontal="center" vertical="center"/>
    </xf>
    <xf numFmtId="0" fontId="32" fillId="24" borderId="0" xfId="37" applyFont="1" applyFill="1" applyBorder="1" applyAlignment="1"/>
    <xf numFmtId="0" fontId="32" fillId="24" borderId="0" xfId="37" applyFont="1" applyFill="1" applyAlignment="1">
      <alignment wrapText="1"/>
    </xf>
    <xf numFmtId="0" fontId="32" fillId="24" borderId="0" xfId="37" applyFont="1" applyFill="1" applyBorder="1" applyAlignment="1">
      <alignment horizontal="center"/>
    </xf>
    <xf numFmtId="0" fontId="32" fillId="24" borderId="0" xfId="0" applyFont="1" applyFill="1" applyAlignment="1"/>
    <xf numFmtId="0" fontId="10" fillId="24" borderId="0" xfId="37" applyFont="1" applyFill="1" applyAlignment="1"/>
    <xf numFmtId="0" fontId="38" fillId="24" borderId="10" xfId="0" quotePrefix="1" applyFont="1" applyFill="1" applyBorder="1" applyAlignment="1">
      <alignment horizontal="center" vertical="top"/>
    </xf>
    <xf numFmtId="0" fontId="38" fillId="24" borderId="10" xfId="0" applyFont="1" applyFill="1" applyBorder="1" applyAlignment="1">
      <alignment vertical="center" wrapText="1"/>
    </xf>
    <xf numFmtId="1" fontId="38" fillId="24" borderId="10" xfId="0" applyNumberFormat="1" applyFont="1" applyFill="1" applyBorder="1" applyAlignment="1">
      <alignment vertical="center"/>
    </xf>
    <xf numFmtId="0" fontId="38" fillId="24" borderId="10" xfId="0" applyFont="1" applyFill="1" applyBorder="1" applyAlignment="1">
      <alignment vertical="top" wrapText="1"/>
    </xf>
    <xf numFmtId="1" fontId="38" fillId="24" borderId="10" xfId="0" applyNumberFormat="1" applyFont="1" applyFill="1" applyBorder="1" applyAlignment="1">
      <alignment vertical="center" wrapText="1"/>
    </xf>
    <xf numFmtId="1" fontId="39" fillId="24" borderId="10" xfId="37" quotePrefix="1" applyNumberFormat="1" applyFont="1" applyFill="1" applyBorder="1" applyAlignment="1">
      <alignment horizontal="center" vertical="center"/>
    </xf>
    <xf numFmtId="1" fontId="39" fillId="24" borderId="10" xfId="37" applyNumberFormat="1" applyFont="1" applyFill="1" applyBorder="1" applyAlignment="1">
      <alignment vertical="center" wrapText="1"/>
    </xf>
    <xf numFmtId="1" fontId="39" fillId="24" borderId="10" xfId="37" applyNumberFormat="1" applyFont="1" applyFill="1" applyBorder="1" applyAlignment="1">
      <alignment vertical="center"/>
    </xf>
    <xf numFmtId="0" fontId="37" fillId="24" borderId="10" xfId="0" quotePrefix="1" applyFont="1" applyFill="1" applyBorder="1" applyAlignment="1">
      <alignment horizontal="center" vertical="top"/>
    </xf>
    <xf numFmtId="0" fontId="36" fillId="24" borderId="10" xfId="0" applyFont="1" applyFill="1" applyBorder="1" applyAlignment="1">
      <alignment vertical="top" wrapText="1"/>
    </xf>
    <xf numFmtId="1" fontId="37" fillId="24" borderId="10" xfId="0" applyNumberFormat="1" applyFont="1" applyFill="1" applyBorder="1" applyAlignment="1">
      <alignment vertical="top"/>
    </xf>
    <xf numFmtId="1" fontId="36" fillId="24" borderId="10" xfId="37" quotePrefix="1" applyNumberFormat="1" applyFont="1" applyFill="1" applyBorder="1" applyAlignment="1">
      <alignment horizontal="center" vertical="center"/>
    </xf>
    <xf numFmtId="0" fontId="36" fillId="24" borderId="10" xfId="0" applyFont="1" applyFill="1" applyBorder="1" applyAlignment="1">
      <alignment wrapText="1"/>
    </xf>
    <xf numFmtId="1" fontId="37" fillId="24" borderId="10" xfId="0" applyNumberFormat="1" applyFont="1" applyFill="1" applyBorder="1"/>
    <xf numFmtId="0" fontId="38" fillId="24" borderId="11" xfId="0" quotePrefix="1" applyFont="1" applyFill="1" applyBorder="1" applyAlignment="1">
      <alignment horizontal="center" vertical="top"/>
    </xf>
    <xf numFmtId="0" fontId="38" fillId="24" borderId="11" xfId="0" applyFont="1" applyFill="1" applyBorder="1" applyAlignment="1">
      <alignment vertical="top" wrapText="1"/>
    </xf>
    <xf numFmtId="1" fontId="38" fillId="24" borderId="11" xfId="0" applyNumberFormat="1" applyFont="1" applyFill="1" applyBorder="1" applyAlignment="1">
      <alignment vertical="center" wrapText="1"/>
    </xf>
    <xf numFmtId="0" fontId="36" fillId="24" borderId="10" xfId="0" quotePrefix="1" applyFont="1" applyFill="1" applyBorder="1" applyAlignment="1">
      <alignment horizontal="center"/>
    </xf>
    <xf numFmtId="1" fontId="36" fillId="24" borderId="10" xfId="0" applyNumberFormat="1" applyFont="1" applyFill="1" applyBorder="1"/>
    <xf numFmtId="0" fontId="37" fillId="24" borderId="10" xfId="0" quotePrefix="1" applyFont="1" applyFill="1" applyBorder="1" applyAlignment="1">
      <alignment horizontal="center"/>
    </xf>
    <xf numFmtId="0" fontId="37" fillId="24" borderId="10" xfId="0" applyFont="1" applyFill="1" applyBorder="1" applyAlignment="1">
      <alignment wrapText="1"/>
    </xf>
    <xf numFmtId="1" fontId="36" fillId="24" borderId="10" xfId="37" applyNumberFormat="1" applyFont="1" applyFill="1" applyBorder="1" applyAlignment="1">
      <alignment vertical="center" wrapText="1"/>
    </xf>
    <xf numFmtId="1" fontId="36" fillId="24" borderId="10" xfId="37" applyNumberFormat="1" applyFont="1" applyFill="1" applyBorder="1" applyAlignment="1">
      <alignment vertical="center"/>
    </xf>
    <xf numFmtId="0" fontId="37" fillId="24" borderId="10" xfId="0" applyFont="1" applyFill="1" applyBorder="1" applyAlignment="1">
      <alignment vertical="top" wrapText="1"/>
    </xf>
    <xf numFmtId="0" fontId="36" fillId="24" borderId="0" xfId="37" applyFont="1" applyFill="1"/>
    <xf numFmtId="0" fontId="36" fillId="24" borderId="0" xfId="37" applyFont="1" applyFill="1" applyAlignment="1">
      <alignment horizontal="right" vertical="center"/>
    </xf>
    <xf numFmtId="0" fontId="36" fillId="24" borderId="0" xfId="37" applyFont="1" applyFill="1" applyAlignment="1">
      <alignment horizontal="right"/>
    </xf>
    <xf numFmtId="4" fontId="39" fillId="24" borderId="10" xfId="37" applyNumberFormat="1" applyFont="1" applyFill="1" applyBorder="1"/>
    <xf numFmtId="0" fontId="39" fillId="24" borderId="10" xfId="37" applyFont="1" applyFill="1" applyBorder="1"/>
    <xf numFmtId="0" fontId="10" fillId="24" borderId="10" xfId="37" applyFont="1" applyFill="1" applyBorder="1" applyAlignment="1">
      <alignment horizontal="center" vertical="center" wrapText="1"/>
    </xf>
    <xf numFmtId="0" fontId="36" fillId="24" borderId="10" xfId="37" applyFont="1" applyFill="1" applyBorder="1" applyAlignment="1">
      <alignment vertical="center" wrapText="1"/>
    </xf>
    <xf numFmtId="0" fontId="36" fillId="24" borderId="10" xfId="0" applyFont="1" applyFill="1" applyBorder="1" applyAlignment="1">
      <alignment vertical="center" wrapText="1"/>
    </xf>
    <xf numFmtId="0" fontId="10" fillId="24" borderId="0" xfId="37" applyFont="1" applyFill="1"/>
    <xf numFmtId="1" fontId="37" fillId="24" borderId="10" xfId="0" applyNumberFormat="1" applyFont="1" applyFill="1" applyBorder="1" applyAlignment="1">
      <alignment vertical="center" wrapText="1"/>
    </xf>
    <xf numFmtId="167" fontId="39" fillId="24" borderId="10" xfId="37" applyNumberFormat="1" applyFont="1" applyFill="1" applyBorder="1" applyAlignment="1">
      <alignment horizontal="right"/>
    </xf>
    <xf numFmtId="167" fontId="36" fillId="24" borderId="10" xfId="37" applyNumberFormat="1" applyFont="1" applyFill="1" applyBorder="1" applyAlignment="1">
      <alignment horizontal="right"/>
    </xf>
    <xf numFmtId="0" fontId="36" fillId="24" borderId="10" xfId="37" applyFont="1" applyFill="1" applyBorder="1"/>
    <xf numFmtId="167" fontId="36" fillId="24" borderId="10" xfId="37" applyNumberFormat="1" applyFont="1" applyFill="1" applyBorder="1"/>
    <xf numFmtId="4" fontId="36" fillId="24" borderId="10" xfId="37" applyNumberFormat="1" applyFont="1" applyFill="1" applyBorder="1"/>
    <xf numFmtId="167" fontId="39" fillId="24" borderId="10" xfId="37" applyNumberFormat="1" applyFont="1" applyFill="1" applyBorder="1"/>
    <xf numFmtId="0" fontId="36" fillId="24" borderId="10" xfId="0" applyFont="1" applyFill="1" applyBorder="1" applyAlignment="1">
      <alignment horizontal="left" vertical="top" wrapText="1"/>
    </xf>
    <xf numFmtId="0" fontId="37" fillId="24" borderId="10" xfId="0" applyFont="1" applyFill="1" applyBorder="1" applyAlignment="1">
      <alignment vertical="top"/>
    </xf>
    <xf numFmtId="0" fontId="36" fillId="24" borderId="10" xfId="0" applyFont="1" applyFill="1" applyBorder="1"/>
    <xf numFmtId="1" fontId="10" fillId="24" borderId="10" xfId="37" applyNumberFormat="1" applyFont="1" applyFill="1" applyBorder="1" applyAlignment="1">
      <alignment vertical="center" wrapText="1"/>
    </xf>
    <xf numFmtId="1" fontId="10" fillId="24" borderId="10" xfId="37" applyNumberFormat="1" applyFont="1" applyFill="1" applyBorder="1" applyAlignment="1">
      <alignment vertical="center"/>
    </xf>
    <xf numFmtId="0" fontId="37" fillId="24" borderId="10" xfId="0" applyFont="1" applyFill="1" applyBorder="1"/>
    <xf numFmtId="1" fontId="10" fillId="24" borderId="10" xfId="37" quotePrefix="1" applyNumberFormat="1" applyFont="1" applyFill="1" applyBorder="1" applyAlignment="1">
      <alignment horizontal="center" vertical="center"/>
    </xf>
    <xf numFmtId="1" fontId="37" fillId="24" borderId="11" xfId="0" applyNumberFormat="1" applyFont="1" applyFill="1" applyBorder="1" applyAlignment="1">
      <alignment vertical="center" wrapText="1"/>
    </xf>
    <xf numFmtId="0" fontId="37" fillId="24" borderId="11" xfId="0" quotePrefix="1" applyFont="1" applyFill="1" applyBorder="1" applyAlignment="1">
      <alignment horizontal="center" vertical="top"/>
    </xf>
    <xf numFmtId="0" fontId="37" fillId="24" borderId="11" xfId="0" applyFont="1" applyFill="1" applyBorder="1" applyAlignment="1">
      <alignment vertical="top" wrapText="1"/>
    </xf>
    <xf numFmtId="2" fontId="36" fillId="24" borderId="10" xfId="37" quotePrefix="1" applyNumberFormat="1" applyFont="1" applyFill="1" applyBorder="1" applyAlignment="1">
      <alignment horizontal="center" vertical="center" wrapText="1"/>
    </xf>
    <xf numFmtId="2" fontId="37" fillId="24" borderId="10" xfId="0" quotePrefix="1" applyNumberFormat="1" applyFont="1" applyFill="1" applyBorder="1" applyAlignment="1">
      <alignment horizontal="center" vertical="center" wrapText="1"/>
    </xf>
    <xf numFmtId="0" fontId="36" fillId="24" borderId="11" xfId="0" applyFont="1" applyFill="1" applyBorder="1" applyAlignment="1">
      <alignment wrapText="1"/>
    </xf>
    <xf numFmtId="0" fontId="36" fillId="24" borderId="10" xfId="37" applyFont="1" applyFill="1" applyBorder="1" applyAlignment="1">
      <alignment horizontal="center" vertical="center" wrapText="1"/>
    </xf>
    <xf numFmtId="0" fontId="36" fillId="24" borderId="15" xfId="37" applyFont="1" applyFill="1" applyBorder="1" applyAlignment="1">
      <alignment horizontal="center" vertical="center" wrapText="1"/>
    </xf>
    <xf numFmtId="0" fontId="36" fillId="24" borderId="0" xfId="37" applyFont="1" applyFill="1" applyBorder="1" applyAlignment="1">
      <alignment horizontal="center"/>
    </xf>
    <xf numFmtId="0" fontId="37" fillId="24" borderId="0" xfId="54" applyFont="1" applyFill="1" applyAlignment="1">
      <alignment horizontal="center" vertical="center"/>
    </xf>
    <xf numFmtId="1" fontId="10" fillId="24" borderId="10" xfId="37" quotePrefix="1" applyNumberFormat="1" applyFill="1" applyBorder="1" applyAlignment="1">
      <alignment horizontal="center" vertical="center"/>
    </xf>
    <xf numFmtId="0" fontId="36" fillId="24" borderId="10" xfId="37" applyFont="1" applyFill="1" applyBorder="1" applyAlignment="1">
      <alignment horizontal="center" vertical="center" wrapText="1"/>
    </xf>
    <xf numFmtId="0" fontId="36" fillId="24" borderId="12" xfId="37" applyFont="1" applyFill="1" applyBorder="1" applyAlignment="1">
      <alignment horizontal="center" vertical="center" wrapText="1"/>
    </xf>
    <xf numFmtId="0" fontId="36" fillId="24" borderId="0" xfId="37" applyFont="1" applyFill="1" applyBorder="1" applyAlignment="1">
      <alignment horizontal="center"/>
    </xf>
    <xf numFmtId="0" fontId="37" fillId="24" borderId="0" xfId="54" applyFont="1" applyFill="1" applyAlignment="1">
      <alignment horizontal="center" vertical="center"/>
    </xf>
    <xf numFmtId="0" fontId="36" fillId="24" borderId="10" xfId="37" applyFont="1" applyFill="1" applyBorder="1" applyAlignment="1">
      <alignment horizontal="center" vertical="center" wrapText="1"/>
    </xf>
    <xf numFmtId="0" fontId="36" fillId="24" borderId="0" xfId="37" applyFont="1" applyFill="1" applyBorder="1" applyAlignment="1">
      <alignment horizontal="center"/>
    </xf>
    <xf numFmtId="0" fontId="37" fillId="24" borderId="0" xfId="54" applyFont="1" applyFill="1" applyAlignment="1">
      <alignment horizontal="center" vertical="center"/>
    </xf>
    <xf numFmtId="167" fontId="36" fillId="24" borderId="0" xfId="37" applyNumberFormat="1" applyFont="1" applyFill="1"/>
    <xf numFmtId="167" fontId="37" fillId="24" borderId="0" xfId="54" applyNumberFormat="1" applyFont="1" applyFill="1" applyAlignment="1">
      <alignment horizontal="center" vertical="center"/>
    </xf>
    <xf numFmtId="168" fontId="40" fillId="24" borderId="10" xfId="45" applyNumberFormat="1" applyFont="1" applyFill="1" applyBorder="1" applyAlignment="1"/>
    <xf numFmtId="0" fontId="36" fillId="24" borderId="11" xfId="37" applyFont="1" applyFill="1" applyBorder="1" applyAlignment="1">
      <alignment horizontal="center" vertical="center" wrapText="1"/>
    </xf>
    <xf numFmtId="0" fontId="36" fillId="24" borderId="16" xfId="37" applyFont="1" applyFill="1" applyBorder="1" applyAlignment="1">
      <alignment horizontal="center" vertical="center" wrapText="1"/>
    </xf>
    <xf numFmtId="0" fontId="36" fillId="24" borderId="13" xfId="37" applyFont="1" applyFill="1" applyBorder="1" applyAlignment="1">
      <alignment horizontal="center" vertical="center" wrapText="1"/>
    </xf>
    <xf numFmtId="0" fontId="36" fillId="24" borderId="20" xfId="37" applyFont="1" applyFill="1" applyBorder="1" applyAlignment="1">
      <alignment horizontal="center"/>
    </xf>
    <xf numFmtId="0" fontId="36" fillId="24" borderId="10" xfId="37" applyFont="1" applyFill="1" applyBorder="1" applyAlignment="1">
      <alignment horizontal="center" vertical="center" wrapText="1"/>
    </xf>
    <xf numFmtId="0" fontId="36" fillId="24" borderId="15" xfId="37" applyFont="1" applyFill="1" applyBorder="1" applyAlignment="1">
      <alignment horizontal="center" vertical="center" wrapText="1"/>
    </xf>
    <xf numFmtId="0" fontId="36" fillId="24" borderId="19" xfId="37" applyFont="1" applyFill="1" applyBorder="1" applyAlignment="1">
      <alignment horizontal="center" vertical="center" wrapText="1"/>
    </xf>
    <xf numFmtId="0" fontId="36" fillId="24" borderId="14" xfId="37" applyFont="1" applyFill="1" applyBorder="1" applyAlignment="1">
      <alignment horizontal="center" vertical="center" wrapText="1"/>
    </xf>
    <xf numFmtId="0" fontId="36" fillId="24" borderId="18" xfId="37" applyFont="1" applyFill="1" applyBorder="1" applyAlignment="1">
      <alignment horizontal="center" vertical="center" wrapText="1"/>
    </xf>
    <xf numFmtId="0" fontId="36" fillId="24" borderId="12" xfId="37" applyFont="1" applyFill="1" applyBorder="1" applyAlignment="1">
      <alignment horizontal="center" vertical="center" wrapText="1"/>
    </xf>
    <xf numFmtId="0" fontId="36" fillId="24" borderId="23" xfId="37" applyFont="1" applyFill="1" applyBorder="1" applyAlignment="1">
      <alignment horizontal="center" vertical="center" wrapText="1"/>
    </xf>
    <xf numFmtId="0" fontId="36" fillId="24" borderId="17" xfId="37" applyFont="1" applyFill="1" applyBorder="1" applyAlignment="1">
      <alignment horizontal="center" vertical="center" wrapText="1"/>
    </xf>
    <xf numFmtId="0" fontId="36" fillId="24" borderId="11" xfId="37" applyFont="1" applyFill="1" applyBorder="1" applyAlignment="1">
      <alignment vertical="center" wrapText="1"/>
    </xf>
    <xf numFmtId="0" fontId="36" fillId="24" borderId="16" xfId="37" applyFont="1" applyFill="1" applyBorder="1" applyAlignment="1">
      <alignment vertical="center" wrapText="1"/>
    </xf>
    <xf numFmtId="0" fontId="36" fillId="24" borderId="13" xfId="37" applyFont="1" applyFill="1" applyBorder="1" applyAlignment="1">
      <alignment vertical="center" wrapText="1"/>
    </xf>
    <xf numFmtId="0" fontId="10" fillId="24" borderId="11" xfId="37" applyFont="1" applyFill="1" applyBorder="1" applyAlignment="1">
      <alignment horizontal="center" vertical="center" wrapText="1"/>
    </xf>
    <xf numFmtId="0" fontId="10" fillId="24" borderId="16" xfId="37" applyFont="1" applyFill="1" applyBorder="1" applyAlignment="1">
      <alignment horizontal="center" vertical="center" wrapText="1"/>
    </xf>
    <xf numFmtId="0" fontId="10" fillId="24" borderId="13" xfId="37" applyFont="1" applyFill="1" applyBorder="1" applyAlignment="1">
      <alignment horizontal="center" vertical="center" wrapText="1"/>
    </xf>
    <xf numFmtId="0" fontId="36" fillId="24" borderId="10" xfId="37" applyFont="1" applyFill="1" applyBorder="1" applyAlignment="1">
      <alignment horizontal="center" vertical="center" textRotation="90" wrapText="1"/>
    </xf>
    <xf numFmtId="0" fontId="36" fillId="24" borderId="11" xfId="0" applyFont="1" applyFill="1" applyBorder="1" applyAlignment="1">
      <alignment horizontal="center" vertical="center" wrapText="1"/>
    </xf>
    <xf numFmtId="0" fontId="36" fillId="24" borderId="16" xfId="0" applyFont="1" applyFill="1" applyBorder="1" applyAlignment="1">
      <alignment horizontal="center" vertical="center" wrapText="1"/>
    </xf>
    <xf numFmtId="0" fontId="36" fillId="24" borderId="13" xfId="0" applyFont="1" applyFill="1" applyBorder="1" applyAlignment="1">
      <alignment horizontal="center" vertical="center" wrapText="1"/>
    </xf>
    <xf numFmtId="4" fontId="36" fillId="24" borderId="11" xfId="37" applyNumberFormat="1" applyFont="1" applyFill="1" applyBorder="1" applyAlignment="1">
      <alignment vertical="center" wrapText="1"/>
    </xf>
    <xf numFmtId="4" fontId="36" fillId="24" borderId="16" xfId="37" applyNumberFormat="1" applyFont="1" applyFill="1" applyBorder="1" applyAlignment="1">
      <alignment vertical="center" wrapText="1"/>
    </xf>
    <xf numFmtId="4" fontId="36" fillId="24" borderId="13" xfId="37" applyNumberFormat="1" applyFont="1" applyFill="1" applyBorder="1" applyAlignment="1">
      <alignment vertical="center" wrapText="1"/>
    </xf>
    <xf numFmtId="167" fontId="36" fillId="24" borderId="11" xfId="37" applyNumberFormat="1" applyFont="1" applyFill="1" applyBorder="1" applyAlignment="1">
      <alignment vertical="center" wrapText="1"/>
    </xf>
    <xf numFmtId="167" fontId="36" fillId="24" borderId="16" xfId="37" applyNumberFormat="1" applyFont="1" applyFill="1" applyBorder="1" applyAlignment="1">
      <alignment vertical="center" wrapText="1"/>
    </xf>
    <xf numFmtId="167" fontId="36" fillId="24" borderId="13" xfId="37" applyNumberFormat="1" applyFont="1" applyFill="1" applyBorder="1" applyAlignment="1">
      <alignment vertical="center" wrapText="1"/>
    </xf>
    <xf numFmtId="0" fontId="36" fillId="24" borderId="0" xfId="37" applyFont="1" applyFill="1" applyBorder="1" applyAlignment="1">
      <alignment horizontal="center"/>
    </xf>
    <xf numFmtId="0" fontId="36" fillId="24" borderId="0" xfId="37" applyFont="1" applyFill="1" applyAlignment="1">
      <alignment horizontal="center" wrapText="1"/>
    </xf>
    <xf numFmtId="0" fontId="37" fillId="24" borderId="0" xfId="54" applyFont="1" applyFill="1" applyAlignment="1">
      <alignment horizontal="center" vertical="center"/>
    </xf>
    <xf numFmtId="0" fontId="36" fillId="24" borderId="0" xfId="0" applyFont="1" applyFill="1" applyAlignment="1">
      <alignment horizontal="center"/>
    </xf>
    <xf numFmtId="0" fontId="36" fillId="24" borderId="21" xfId="37" applyFont="1" applyFill="1" applyBorder="1" applyAlignment="1">
      <alignment horizontal="center" vertical="center" wrapText="1"/>
    </xf>
    <xf numFmtId="0" fontId="36" fillId="24" borderId="22" xfId="37" applyFont="1" applyFill="1" applyBorder="1" applyAlignment="1">
      <alignment horizontal="center" vertical="center" wrapText="1"/>
    </xf>
  </cellXfs>
  <cellStyles count="1142">
    <cellStyle name="20% - Акцент1" xfId="1" builtinId="30" customBuiltin="1"/>
    <cellStyle name="20% - Акцент1 2" xfId="59"/>
    <cellStyle name="20% - Акцент2" xfId="2" builtinId="34" customBuiltin="1"/>
    <cellStyle name="20% - Акцент2 2" xfId="60"/>
    <cellStyle name="20% - Акцент3" xfId="3" builtinId="38" customBuiltin="1"/>
    <cellStyle name="20% - Акцент3 2" xfId="61"/>
    <cellStyle name="20% - Акцент4" xfId="4" builtinId="42" customBuiltin="1"/>
    <cellStyle name="20% - Акцент4 2" xfId="62"/>
    <cellStyle name="20% - Акцент5" xfId="5" builtinId="46" customBuiltin="1"/>
    <cellStyle name="20% - Акцент5 2" xfId="63"/>
    <cellStyle name="20% - Акцент6" xfId="6" builtinId="50" customBuiltin="1"/>
    <cellStyle name="20% - Акцент6 2" xfId="64"/>
    <cellStyle name="40% - Акцент1" xfId="7" builtinId="31" customBuiltin="1"/>
    <cellStyle name="40% - Акцент1 2" xfId="65"/>
    <cellStyle name="40% - Акцент2" xfId="8" builtinId="35" customBuiltin="1"/>
    <cellStyle name="40% - Акцент2 2" xfId="66"/>
    <cellStyle name="40% - Акцент3" xfId="9" builtinId="39" customBuiltin="1"/>
    <cellStyle name="40% - Акцент3 2" xfId="67"/>
    <cellStyle name="40% - Акцент4" xfId="10" builtinId="43" customBuiltin="1"/>
    <cellStyle name="40% - Акцент4 2" xfId="68"/>
    <cellStyle name="40% - Акцент5" xfId="11" builtinId="47" customBuiltin="1"/>
    <cellStyle name="40% - Акцент5 2" xfId="69"/>
    <cellStyle name="40% - Акцент6" xfId="12" builtinId="51" customBuiltin="1"/>
    <cellStyle name="40% - Акцент6 2" xfId="70"/>
    <cellStyle name="60% - Акцент1" xfId="13" builtinId="32" customBuiltin="1"/>
    <cellStyle name="60% - Акцент1 2" xfId="71"/>
    <cellStyle name="60% - Акцент2" xfId="14" builtinId="36" customBuiltin="1"/>
    <cellStyle name="60% - Акцент2 2" xfId="72"/>
    <cellStyle name="60% - Акцент3" xfId="15" builtinId="40" customBuiltin="1"/>
    <cellStyle name="60% - Акцент3 2" xfId="73"/>
    <cellStyle name="60% - Акцент4" xfId="16" builtinId="44" customBuiltin="1"/>
    <cellStyle name="60% - Акцент4 2" xfId="74"/>
    <cellStyle name="60% - Акцент5" xfId="17" builtinId="48" customBuiltin="1"/>
    <cellStyle name="60% - Акцент5 2" xfId="75"/>
    <cellStyle name="60% - Акцент6" xfId="18" builtinId="52" customBuiltin="1"/>
    <cellStyle name="60% - Акцент6 2" xfId="76"/>
    <cellStyle name="Normal 2" xfId="77"/>
    <cellStyle name="Акцент1" xfId="19" builtinId="29" customBuiltin="1"/>
    <cellStyle name="Акцент1 2" xfId="78"/>
    <cellStyle name="Акцент2" xfId="20" builtinId="33" customBuiltin="1"/>
    <cellStyle name="Акцент2 2" xfId="79"/>
    <cellStyle name="Акцент3" xfId="21" builtinId="37" customBuiltin="1"/>
    <cellStyle name="Акцент3 2" xfId="80"/>
    <cellStyle name="Акцент4" xfId="22" builtinId="41" customBuiltin="1"/>
    <cellStyle name="Акцент4 2" xfId="81"/>
    <cellStyle name="Акцент5" xfId="23" builtinId="45" customBuiltin="1"/>
    <cellStyle name="Акцент5 2" xfId="82"/>
    <cellStyle name="Акцент6" xfId="24" builtinId="49" customBuiltin="1"/>
    <cellStyle name="Акцент6 2" xfId="83"/>
    <cellStyle name="Ввод " xfId="25" builtinId="20" customBuiltin="1"/>
    <cellStyle name="Ввод  2" xfId="84"/>
    <cellStyle name="Вывод" xfId="26" builtinId="21" customBuiltin="1"/>
    <cellStyle name="Вывод 2" xfId="85"/>
    <cellStyle name="Вычисление" xfId="27" builtinId="22" customBuiltin="1"/>
    <cellStyle name="Вычисление 2" xfId="86"/>
    <cellStyle name="Заголовок 1" xfId="28" builtinId="16" customBuiltin="1"/>
    <cellStyle name="Заголовок 1 2" xfId="87"/>
    <cellStyle name="Заголовок 2" xfId="29" builtinId="17" customBuiltin="1"/>
    <cellStyle name="Заголовок 2 2" xfId="88"/>
    <cellStyle name="Заголовок 3" xfId="30" builtinId="18" customBuiltin="1"/>
    <cellStyle name="Заголовок 3 2" xfId="89"/>
    <cellStyle name="Заголовок 4" xfId="31" builtinId="19" customBuiltin="1"/>
    <cellStyle name="Заголовок 4 2" xfId="90"/>
    <cellStyle name="Итог" xfId="32" builtinId="25" customBuiltin="1"/>
    <cellStyle name="Итог 2" xfId="91"/>
    <cellStyle name="Контрольная ячейка" xfId="33" builtinId="23" customBuiltin="1"/>
    <cellStyle name="Контрольная ячейка 2" xfId="92"/>
    <cellStyle name="Название" xfId="34" builtinId="15" customBuiltin="1"/>
    <cellStyle name="Название 2" xfId="93"/>
    <cellStyle name="Нейтральный" xfId="35" builtinId="28" customBuiltin="1"/>
    <cellStyle name="Нейтральный 2" xfId="94"/>
    <cellStyle name="Обычный" xfId="0" builtinId="0"/>
    <cellStyle name="Обычный 10" xfId="278"/>
    <cellStyle name="Обычный 12 2" xfId="47"/>
    <cellStyle name="Обычный 2" xfId="36"/>
    <cellStyle name="Обычный 2 26 2" xfId="114"/>
    <cellStyle name="Обычный 3" xfId="37"/>
    <cellStyle name="Обычный 3 2" xfId="56"/>
    <cellStyle name="Обычный 3 2 2 2" xfId="48"/>
    <cellStyle name="Обычный 3 21" xfId="102"/>
    <cellStyle name="Обычный 4" xfId="44"/>
    <cellStyle name="Обычный 4 2" xfId="55"/>
    <cellStyle name="Обычный 5" xfId="45"/>
    <cellStyle name="Обычный 6" xfId="46"/>
    <cellStyle name="Обычный 6 10" xfId="279"/>
    <cellStyle name="Обычный 6 10 2" xfId="622"/>
    <cellStyle name="Обычный 6 11" xfId="450"/>
    <cellStyle name="Обычный 6 11 2" xfId="623"/>
    <cellStyle name="Обычный 6 12" xfId="621"/>
    <cellStyle name="Обычный 6 2" xfId="52"/>
    <cellStyle name="Обычный 6 2 10" xfId="109"/>
    <cellStyle name="Обычный 6 2 10 2" xfId="625"/>
    <cellStyle name="Обычный 6 2 11" xfId="282"/>
    <cellStyle name="Обычный 6 2 11 2" xfId="626"/>
    <cellStyle name="Обычный 6 2 12" xfId="453"/>
    <cellStyle name="Обычный 6 2 12 2" xfId="627"/>
    <cellStyle name="Обычный 6 2 13" xfId="624"/>
    <cellStyle name="Обычный 6 2 2" xfId="53"/>
    <cellStyle name="Обычный 6 2 2 10" xfId="283"/>
    <cellStyle name="Обычный 6 2 2 10 2" xfId="629"/>
    <cellStyle name="Обычный 6 2 2 11" xfId="454"/>
    <cellStyle name="Обычный 6 2 2 11 2" xfId="630"/>
    <cellStyle name="Обычный 6 2 2 12" xfId="628"/>
    <cellStyle name="Обычный 6 2 2 2" xfId="116"/>
    <cellStyle name="Обычный 6 2 2 2 2" xfId="133"/>
    <cellStyle name="Обычный 6 2 2 2 2 2" xfId="137"/>
    <cellStyle name="Обычный 6 2 2 2 2 2 2" xfId="138"/>
    <cellStyle name="Обычный 6 2 2 2 2 2 2 2" xfId="310"/>
    <cellStyle name="Обычный 6 2 2 2 2 2 2 2 2" xfId="635"/>
    <cellStyle name="Обычный 6 2 2 2 2 2 2 3" xfId="481"/>
    <cellStyle name="Обычный 6 2 2 2 2 2 2 3 2" xfId="636"/>
    <cellStyle name="Обычный 6 2 2 2 2 2 2 4" xfId="634"/>
    <cellStyle name="Обычный 6 2 2 2 2 2 3" xfId="139"/>
    <cellStyle name="Обычный 6 2 2 2 2 2 3 2" xfId="311"/>
    <cellStyle name="Обычный 6 2 2 2 2 2 3 2 2" xfId="638"/>
    <cellStyle name="Обычный 6 2 2 2 2 2 3 3" xfId="482"/>
    <cellStyle name="Обычный 6 2 2 2 2 2 3 3 2" xfId="639"/>
    <cellStyle name="Обычный 6 2 2 2 2 2 3 4" xfId="637"/>
    <cellStyle name="Обычный 6 2 2 2 2 2 4" xfId="309"/>
    <cellStyle name="Обычный 6 2 2 2 2 2 4 2" xfId="640"/>
    <cellStyle name="Обычный 6 2 2 2 2 2 5" xfId="480"/>
    <cellStyle name="Обычный 6 2 2 2 2 2 5 2" xfId="641"/>
    <cellStyle name="Обычный 6 2 2 2 2 2 6" xfId="633"/>
    <cellStyle name="Обычный 6 2 2 2 2 3" xfId="140"/>
    <cellStyle name="Обычный 6 2 2 2 2 3 2" xfId="312"/>
    <cellStyle name="Обычный 6 2 2 2 2 3 2 2" xfId="643"/>
    <cellStyle name="Обычный 6 2 2 2 2 3 3" xfId="483"/>
    <cellStyle name="Обычный 6 2 2 2 2 3 3 2" xfId="644"/>
    <cellStyle name="Обычный 6 2 2 2 2 3 4" xfId="642"/>
    <cellStyle name="Обычный 6 2 2 2 2 4" xfId="141"/>
    <cellStyle name="Обычный 6 2 2 2 2 4 2" xfId="313"/>
    <cellStyle name="Обычный 6 2 2 2 2 4 2 2" xfId="646"/>
    <cellStyle name="Обычный 6 2 2 2 2 4 3" xfId="484"/>
    <cellStyle name="Обычный 6 2 2 2 2 4 3 2" xfId="647"/>
    <cellStyle name="Обычный 6 2 2 2 2 4 4" xfId="645"/>
    <cellStyle name="Обычный 6 2 2 2 2 5" xfId="305"/>
    <cellStyle name="Обычный 6 2 2 2 2 5 2" xfId="648"/>
    <cellStyle name="Обычный 6 2 2 2 2 6" xfId="476"/>
    <cellStyle name="Обычный 6 2 2 2 2 6 2" xfId="649"/>
    <cellStyle name="Обычный 6 2 2 2 2 7" xfId="632"/>
    <cellStyle name="Обычный 6 2 2 2 3" xfId="135"/>
    <cellStyle name="Обычный 6 2 2 2 3 2" xfId="142"/>
    <cellStyle name="Обычный 6 2 2 2 3 2 2" xfId="314"/>
    <cellStyle name="Обычный 6 2 2 2 3 2 2 2" xfId="652"/>
    <cellStyle name="Обычный 6 2 2 2 3 2 3" xfId="485"/>
    <cellStyle name="Обычный 6 2 2 2 3 2 3 2" xfId="653"/>
    <cellStyle name="Обычный 6 2 2 2 3 2 4" xfId="651"/>
    <cellStyle name="Обычный 6 2 2 2 3 3" xfId="143"/>
    <cellStyle name="Обычный 6 2 2 2 3 3 2" xfId="315"/>
    <cellStyle name="Обычный 6 2 2 2 3 3 2 2" xfId="655"/>
    <cellStyle name="Обычный 6 2 2 2 3 3 3" xfId="486"/>
    <cellStyle name="Обычный 6 2 2 2 3 3 3 2" xfId="656"/>
    <cellStyle name="Обычный 6 2 2 2 3 3 4" xfId="654"/>
    <cellStyle name="Обычный 6 2 2 2 3 4" xfId="307"/>
    <cellStyle name="Обычный 6 2 2 2 3 4 2" xfId="657"/>
    <cellStyle name="Обычный 6 2 2 2 3 5" xfId="478"/>
    <cellStyle name="Обычный 6 2 2 2 3 5 2" xfId="658"/>
    <cellStyle name="Обычный 6 2 2 2 3 6" xfId="650"/>
    <cellStyle name="Обычный 6 2 2 2 4" xfId="144"/>
    <cellStyle name="Обычный 6 2 2 2 4 2" xfId="316"/>
    <cellStyle name="Обычный 6 2 2 2 4 2 2" xfId="660"/>
    <cellStyle name="Обычный 6 2 2 2 4 3" xfId="487"/>
    <cellStyle name="Обычный 6 2 2 2 4 3 2" xfId="661"/>
    <cellStyle name="Обычный 6 2 2 2 4 4" xfId="659"/>
    <cellStyle name="Обычный 6 2 2 2 5" xfId="145"/>
    <cellStyle name="Обычный 6 2 2 2 5 2" xfId="317"/>
    <cellStyle name="Обычный 6 2 2 2 5 2 2" xfId="663"/>
    <cellStyle name="Обычный 6 2 2 2 5 3" xfId="488"/>
    <cellStyle name="Обычный 6 2 2 2 5 3 2" xfId="664"/>
    <cellStyle name="Обычный 6 2 2 2 5 4" xfId="662"/>
    <cellStyle name="Обычный 6 2 2 2 6" xfId="288"/>
    <cellStyle name="Обычный 6 2 2 2 6 2" xfId="665"/>
    <cellStyle name="Обычный 6 2 2 2 7" xfId="459"/>
    <cellStyle name="Обычный 6 2 2 2 7 2" xfId="666"/>
    <cellStyle name="Обычный 6 2 2 2 8" xfId="631"/>
    <cellStyle name="Обычный 6 2 2 3" xfId="128"/>
    <cellStyle name="Обычный 6 2 2 3 2" xfId="146"/>
    <cellStyle name="Обычный 6 2 2 3 2 2" xfId="147"/>
    <cellStyle name="Обычный 6 2 2 3 2 2 2" xfId="319"/>
    <cellStyle name="Обычный 6 2 2 3 2 2 2 2" xfId="670"/>
    <cellStyle name="Обычный 6 2 2 3 2 2 3" xfId="490"/>
    <cellStyle name="Обычный 6 2 2 3 2 2 3 2" xfId="671"/>
    <cellStyle name="Обычный 6 2 2 3 2 2 4" xfId="669"/>
    <cellStyle name="Обычный 6 2 2 3 2 3" xfId="148"/>
    <cellStyle name="Обычный 6 2 2 3 2 3 2" xfId="320"/>
    <cellStyle name="Обычный 6 2 2 3 2 3 2 2" xfId="673"/>
    <cellStyle name="Обычный 6 2 2 3 2 3 3" xfId="491"/>
    <cellStyle name="Обычный 6 2 2 3 2 3 3 2" xfId="674"/>
    <cellStyle name="Обычный 6 2 2 3 2 3 4" xfId="672"/>
    <cellStyle name="Обычный 6 2 2 3 2 4" xfId="318"/>
    <cellStyle name="Обычный 6 2 2 3 2 4 2" xfId="675"/>
    <cellStyle name="Обычный 6 2 2 3 2 5" xfId="489"/>
    <cellStyle name="Обычный 6 2 2 3 2 5 2" xfId="676"/>
    <cellStyle name="Обычный 6 2 2 3 2 6" xfId="668"/>
    <cellStyle name="Обычный 6 2 2 3 3" xfId="149"/>
    <cellStyle name="Обычный 6 2 2 3 3 2" xfId="321"/>
    <cellStyle name="Обычный 6 2 2 3 3 2 2" xfId="678"/>
    <cellStyle name="Обычный 6 2 2 3 3 3" xfId="492"/>
    <cellStyle name="Обычный 6 2 2 3 3 3 2" xfId="679"/>
    <cellStyle name="Обычный 6 2 2 3 3 4" xfId="677"/>
    <cellStyle name="Обычный 6 2 2 3 4" xfId="150"/>
    <cellStyle name="Обычный 6 2 2 3 4 2" xfId="322"/>
    <cellStyle name="Обычный 6 2 2 3 4 2 2" xfId="681"/>
    <cellStyle name="Обычный 6 2 2 3 4 3" xfId="493"/>
    <cellStyle name="Обычный 6 2 2 3 4 3 2" xfId="682"/>
    <cellStyle name="Обычный 6 2 2 3 4 4" xfId="680"/>
    <cellStyle name="Обычный 6 2 2 3 5" xfId="300"/>
    <cellStyle name="Обычный 6 2 2 3 5 2" xfId="683"/>
    <cellStyle name="Обычный 6 2 2 3 6" xfId="471"/>
    <cellStyle name="Обычный 6 2 2 3 6 2" xfId="684"/>
    <cellStyle name="Обычный 6 2 2 3 7" xfId="667"/>
    <cellStyle name="Обычный 6 2 2 4" xfId="121"/>
    <cellStyle name="Обычный 6 2 2 4 2" xfId="151"/>
    <cellStyle name="Обычный 6 2 2 4 2 2" xfId="152"/>
    <cellStyle name="Обычный 6 2 2 4 2 2 2" xfId="324"/>
    <cellStyle name="Обычный 6 2 2 4 2 2 2 2" xfId="688"/>
    <cellStyle name="Обычный 6 2 2 4 2 2 3" xfId="495"/>
    <cellStyle name="Обычный 6 2 2 4 2 2 3 2" xfId="689"/>
    <cellStyle name="Обычный 6 2 2 4 2 2 4" xfId="687"/>
    <cellStyle name="Обычный 6 2 2 4 2 3" xfId="153"/>
    <cellStyle name="Обычный 6 2 2 4 2 3 2" xfId="325"/>
    <cellStyle name="Обычный 6 2 2 4 2 3 2 2" xfId="691"/>
    <cellStyle name="Обычный 6 2 2 4 2 3 3" xfId="496"/>
    <cellStyle name="Обычный 6 2 2 4 2 3 3 2" xfId="692"/>
    <cellStyle name="Обычный 6 2 2 4 2 3 4" xfId="690"/>
    <cellStyle name="Обычный 6 2 2 4 2 4" xfId="323"/>
    <cellStyle name="Обычный 6 2 2 4 2 4 2" xfId="693"/>
    <cellStyle name="Обычный 6 2 2 4 2 5" xfId="494"/>
    <cellStyle name="Обычный 6 2 2 4 2 5 2" xfId="694"/>
    <cellStyle name="Обычный 6 2 2 4 2 6" xfId="686"/>
    <cellStyle name="Обычный 6 2 2 4 3" xfId="154"/>
    <cellStyle name="Обычный 6 2 2 4 3 2" xfId="326"/>
    <cellStyle name="Обычный 6 2 2 4 3 2 2" xfId="696"/>
    <cellStyle name="Обычный 6 2 2 4 3 3" xfId="497"/>
    <cellStyle name="Обычный 6 2 2 4 3 3 2" xfId="697"/>
    <cellStyle name="Обычный 6 2 2 4 3 4" xfId="695"/>
    <cellStyle name="Обычный 6 2 2 4 4" xfId="155"/>
    <cellStyle name="Обычный 6 2 2 4 4 2" xfId="327"/>
    <cellStyle name="Обычный 6 2 2 4 4 2 2" xfId="699"/>
    <cellStyle name="Обычный 6 2 2 4 4 3" xfId="498"/>
    <cellStyle name="Обычный 6 2 2 4 4 3 2" xfId="700"/>
    <cellStyle name="Обычный 6 2 2 4 4 4" xfId="698"/>
    <cellStyle name="Обычный 6 2 2 4 5" xfId="293"/>
    <cellStyle name="Обычный 6 2 2 4 5 2" xfId="701"/>
    <cellStyle name="Обычный 6 2 2 4 6" xfId="464"/>
    <cellStyle name="Обычный 6 2 2 4 6 2" xfId="702"/>
    <cellStyle name="Обычный 6 2 2 4 7" xfId="685"/>
    <cellStyle name="Обычный 6 2 2 5" xfId="156"/>
    <cellStyle name="Обычный 6 2 2 5 2" xfId="157"/>
    <cellStyle name="Обычный 6 2 2 5 2 2" xfId="329"/>
    <cellStyle name="Обычный 6 2 2 5 2 2 2" xfId="705"/>
    <cellStyle name="Обычный 6 2 2 5 2 3" xfId="500"/>
    <cellStyle name="Обычный 6 2 2 5 2 3 2" xfId="706"/>
    <cellStyle name="Обычный 6 2 2 5 2 4" xfId="704"/>
    <cellStyle name="Обычный 6 2 2 5 3" xfId="158"/>
    <cellStyle name="Обычный 6 2 2 5 3 2" xfId="330"/>
    <cellStyle name="Обычный 6 2 2 5 3 2 2" xfId="708"/>
    <cellStyle name="Обычный 6 2 2 5 3 3" xfId="501"/>
    <cellStyle name="Обычный 6 2 2 5 3 3 2" xfId="709"/>
    <cellStyle name="Обычный 6 2 2 5 3 4" xfId="707"/>
    <cellStyle name="Обычный 6 2 2 5 4" xfId="328"/>
    <cellStyle name="Обычный 6 2 2 5 4 2" xfId="710"/>
    <cellStyle name="Обычный 6 2 2 5 5" xfId="499"/>
    <cellStyle name="Обычный 6 2 2 5 5 2" xfId="711"/>
    <cellStyle name="Обычный 6 2 2 5 6" xfId="703"/>
    <cellStyle name="Обычный 6 2 2 6" xfId="159"/>
    <cellStyle name="Обычный 6 2 2 6 2" xfId="331"/>
    <cellStyle name="Обычный 6 2 2 6 2 2" xfId="713"/>
    <cellStyle name="Обычный 6 2 2 6 3" xfId="502"/>
    <cellStyle name="Обычный 6 2 2 6 3 2" xfId="714"/>
    <cellStyle name="Обычный 6 2 2 6 4" xfId="712"/>
    <cellStyle name="Обычный 6 2 2 7" xfId="160"/>
    <cellStyle name="Обычный 6 2 2 7 2" xfId="332"/>
    <cellStyle name="Обычный 6 2 2 7 2 2" xfId="716"/>
    <cellStyle name="Обычный 6 2 2 7 3" xfId="503"/>
    <cellStyle name="Обычный 6 2 2 7 3 2" xfId="717"/>
    <cellStyle name="Обычный 6 2 2 7 4" xfId="715"/>
    <cellStyle name="Обычный 6 2 2 8" xfId="161"/>
    <cellStyle name="Обычный 6 2 2 8 2" xfId="333"/>
    <cellStyle name="Обычный 6 2 2 8 2 2" xfId="719"/>
    <cellStyle name="Обычный 6 2 2 8 3" xfId="504"/>
    <cellStyle name="Обычный 6 2 2 8 3 2" xfId="720"/>
    <cellStyle name="Обычный 6 2 2 8 4" xfId="718"/>
    <cellStyle name="Обычный 6 2 2 9" xfId="110"/>
    <cellStyle name="Обычный 6 2 2 9 2" xfId="721"/>
    <cellStyle name="Обычный 6 2 3" xfId="101"/>
    <cellStyle name="Обычный 6 2 3 10" xfId="285"/>
    <cellStyle name="Обычный 6 2 3 10 2" xfId="723"/>
    <cellStyle name="Обычный 6 2 3 11" xfId="456"/>
    <cellStyle name="Обычный 6 2 3 11 2" xfId="724"/>
    <cellStyle name="Обычный 6 2 3 12" xfId="722"/>
    <cellStyle name="Обычный 6 2 3 2" xfId="115"/>
    <cellStyle name="Обычный 6 2 3 2 2" xfId="132"/>
    <cellStyle name="Обычный 6 2 3 2 2 2" xfId="162"/>
    <cellStyle name="Обычный 6 2 3 2 2 2 2" xfId="163"/>
    <cellStyle name="Обычный 6 2 3 2 2 2 2 2" xfId="335"/>
    <cellStyle name="Обычный 6 2 3 2 2 2 2 2 2" xfId="729"/>
    <cellStyle name="Обычный 6 2 3 2 2 2 2 3" xfId="506"/>
    <cellStyle name="Обычный 6 2 3 2 2 2 2 3 2" xfId="730"/>
    <cellStyle name="Обычный 6 2 3 2 2 2 2 4" xfId="728"/>
    <cellStyle name="Обычный 6 2 3 2 2 2 3" xfId="164"/>
    <cellStyle name="Обычный 6 2 3 2 2 2 3 2" xfId="336"/>
    <cellStyle name="Обычный 6 2 3 2 2 2 3 2 2" xfId="732"/>
    <cellStyle name="Обычный 6 2 3 2 2 2 3 3" xfId="507"/>
    <cellStyle name="Обычный 6 2 3 2 2 2 3 3 2" xfId="733"/>
    <cellStyle name="Обычный 6 2 3 2 2 2 3 4" xfId="731"/>
    <cellStyle name="Обычный 6 2 3 2 2 2 4" xfId="334"/>
    <cellStyle name="Обычный 6 2 3 2 2 2 4 2" xfId="734"/>
    <cellStyle name="Обычный 6 2 3 2 2 2 5" xfId="505"/>
    <cellStyle name="Обычный 6 2 3 2 2 2 5 2" xfId="735"/>
    <cellStyle name="Обычный 6 2 3 2 2 2 6" xfId="727"/>
    <cellStyle name="Обычный 6 2 3 2 2 3" xfId="165"/>
    <cellStyle name="Обычный 6 2 3 2 2 3 2" xfId="337"/>
    <cellStyle name="Обычный 6 2 3 2 2 3 2 2" xfId="737"/>
    <cellStyle name="Обычный 6 2 3 2 2 3 3" xfId="508"/>
    <cellStyle name="Обычный 6 2 3 2 2 3 3 2" xfId="738"/>
    <cellStyle name="Обычный 6 2 3 2 2 3 4" xfId="736"/>
    <cellStyle name="Обычный 6 2 3 2 2 4" xfId="166"/>
    <cellStyle name="Обычный 6 2 3 2 2 4 2" xfId="338"/>
    <cellStyle name="Обычный 6 2 3 2 2 4 2 2" xfId="740"/>
    <cellStyle name="Обычный 6 2 3 2 2 4 3" xfId="509"/>
    <cellStyle name="Обычный 6 2 3 2 2 4 3 2" xfId="741"/>
    <cellStyle name="Обычный 6 2 3 2 2 4 4" xfId="739"/>
    <cellStyle name="Обычный 6 2 3 2 2 5" xfId="304"/>
    <cellStyle name="Обычный 6 2 3 2 2 5 2" xfId="742"/>
    <cellStyle name="Обычный 6 2 3 2 2 6" xfId="475"/>
    <cellStyle name="Обычный 6 2 3 2 2 6 2" xfId="743"/>
    <cellStyle name="Обычный 6 2 3 2 2 7" xfId="726"/>
    <cellStyle name="Обычный 6 2 3 2 3" xfId="134"/>
    <cellStyle name="Обычный 6 2 3 2 3 2" xfId="167"/>
    <cellStyle name="Обычный 6 2 3 2 3 2 2" xfId="339"/>
    <cellStyle name="Обычный 6 2 3 2 3 2 2 2" xfId="746"/>
    <cellStyle name="Обычный 6 2 3 2 3 2 3" xfId="510"/>
    <cellStyle name="Обычный 6 2 3 2 3 2 3 2" xfId="747"/>
    <cellStyle name="Обычный 6 2 3 2 3 2 4" xfId="745"/>
    <cellStyle name="Обычный 6 2 3 2 3 3" xfId="168"/>
    <cellStyle name="Обычный 6 2 3 2 3 3 2" xfId="340"/>
    <cellStyle name="Обычный 6 2 3 2 3 3 2 2" xfId="749"/>
    <cellStyle name="Обычный 6 2 3 2 3 3 3" xfId="511"/>
    <cellStyle name="Обычный 6 2 3 2 3 3 3 2" xfId="750"/>
    <cellStyle name="Обычный 6 2 3 2 3 3 4" xfId="748"/>
    <cellStyle name="Обычный 6 2 3 2 3 4" xfId="306"/>
    <cellStyle name="Обычный 6 2 3 2 3 4 2" xfId="751"/>
    <cellStyle name="Обычный 6 2 3 2 3 5" xfId="477"/>
    <cellStyle name="Обычный 6 2 3 2 3 5 2" xfId="752"/>
    <cellStyle name="Обычный 6 2 3 2 3 6" xfId="744"/>
    <cellStyle name="Обычный 6 2 3 2 4" xfId="169"/>
    <cellStyle name="Обычный 6 2 3 2 4 2" xfId="341"/>
    <cellStyle name="Обычный 6 2 3 2 4 2 2" xfId="754"/>
    <cellStyle name="Обычный 6 2 3 2 4 3" xfId="512"/>
    <cellStyle name="Обычный 6 2 3 2 4 3 2" xfId="755"/>
    <cellStyle name="Обычный 6 2 3 2 4 4" xfId="753"/>
    <cellStyle name="Обычный 6 2 3 2 5" xfId="170"/>
    <cellStyle name="Обычный 6 2 3 2 5 2" xfId="342"/>
    <cellStyle name="Обычный 6 2 3 2 5 2 2" xfId="757"/>
    <cellStyle name="Обычный 6 2 3 2 5 3" xfId="513"/>
    <cellStyle name="Обычный 6 2 3 2 5 3 2" xfId="758"/>
    <cellStyle name="Обычный 6 2 3 2 5 4" xfId="756"/>
    <cellStyle name="Обычный 6 2 3 2 6" xfId="287"/>
    <cellStyle name="Обычный 6 2 3 2 6 2" xfId="759"/>
    <cellStyle name="Обычный 6 2 3 2 7" xfId="458"/>
    <cellStyle name="Обычный 6 2 3 2 7 2" xfId="760"/>
    <cellStyle name="Обычный 6 2 3 2 8" xfId="725"/>
    <cellStyle name="Обычный 6 2 3 3" xfId="130"/>
    <cellStyle name="Обычный 6 2 3 3 2" xfId="171"/>
    <cellStyle name="Обычный 6 2 3 3 2 2" xfId="172"/>
    <cellStyle name="Обычный 6 2 3 3 2 2 2" xfId="344"/>
    <cellStyle name="Обычный 6 2 3 3 2 2 2 2" xfId="764"/>
    <cellStyle name="Обычный 6 2 3 3 2 2 3" xfId="515"/>
    <cellStyle name="Обычный 6 2 3 3 2 2 3 2" xfId="765"/>
    <cellStyle name="Обычный 6 2 3 3 2 2 4" xfId="763"/>
    <cellStyle name="Обычный 6 2 3 3 2 3" xfId="173"/>
    <cellStyle name="Обычный 6 2 3 3 2 3 2" xfId="345"/>
    <cellStyle name="Обычный 6 2 3 3 2 3 2 2" xfId="767"/>
    <cellStyle name="Обычный 6 2 3 3 2 3 3" xfId="516"/>
    <cellStyle name="Обычный 6 2 3 3 2 3 3 2" xfId="768"/>
    <cellStyle name="Обычный 6 2 3 3 2 3 4" xfId="766"/>
    <cellStyle name="Обычный 6 2 3 3 2 4" xfId="343"/>
    <cellStyle name="Обычный 6 2 3 3 2 4 2" xfId="769"/>
    <cellStyle name="Обычный 6 2 3 3 2 5" xfId="514"/>
    <cellStyle name="Обычный 6 2 3 3 2 5 2" xfId="770"/>
    <cellStyle name="Обычный 6 2 3 3 2 6" xfId="762"/>
    <cellStyle name="Обычный 6 2 3 3 3" xfId="174"/>
    <cellStyle name="Обычный 6 2 3 3 3 2" xfId="346"/>
    <cellStyle name="Обычный 6 2 3 3 3 2 2" xfId="772"/>
    <cellStyle name="Обычный 6 2 3 3 3 3" xfId="517"/>
    <cellStyle name="Обычный 6 2 3 3 3 3 2" xfId="773"/>
    <cellStyle name="Обычный 6 2 3 3 3 4" xfId="771"/>
    <cellStyle name="Обычный 6 2 3 3 4" xfId="175"/>
    <cellStyle name="Обычный 6 2 3 3 4 2" xfId="347"/>
    <cellStyle name="Обычный 6 2 3 3 4 2 2" xfId="775"/>
    <cellStyle name="Обычный 6 2 3 3 4 3" xfId="518"/>
    <cellStyle name="Обычный 6 2 3 3 4 3 2" xfId="776"/>
    <cellStyle name="Обычный 6 2 3 3 4 4" xfId="774"/>
    <cellStyle name="Обычный 6 2 3 3 5" xfId="302"/>
    <cellStyle name="Обычный 6 2 3 3 5 2" xfId="777"/>
    <cellStyle name="Обычный 6 2 3 3 6" xfId="473"/>
    <cellStyle name="Обычный 6 2 3 3 6 2" xfId="778"/>
    <cellStyle name="Обычный 6 2 3 3 7" xfId="761"/>
    <cellStyle name="Обычный 6 2 3 4" xfId="123"/>
    <cellStyle name="Обычный 6 2 3 4 2" xfId="176"/>
    <cellStyle name="Обычный 6 2 3 4 2 2" xfId="177"/>
    <cellStyle name="Обычный 6 2 3 4 2 2 2" xfId="349"/>
    <cellStyle name="Обычный 6 2 3 4 2 2 2 2" xfId="782"/>
    <cellStyle name="Обычный 6 2 3 4 2 2 3" xfId="520"/>
    <cellStyle name="Обычный 6 2 3 4 2 2 3 2" xfId="783"/>
    <cellStyle name="Обычный 6 2 3 4 2 2 4" xfId="781"/>
    <cellStyle name="Обычный 6 2 3 4 2 3" xfId="178"/>
    <cellStyle name="Обычный 6 2 3 4 2 3 2" xfId="350"/>
    <cellStyle name="Обычный 6 2 3 4 2 3 2 2" xfId="785"/>
    <cellStyle name="Обычный 6 2 3 4 2 3 3" xfId="521"/>
    <cellStyle name="Обычный 6 2 3 4 2 3 3 2" xfId="786"/>
    <cellStyle name="Обычный 6 2 3 4 2 3 4" xfId="784"/>
    <cellStyle name="Обычный 6 2 3 4 2 4" xfId="348"/>
    <cellStyle name="Обычный 6 2 3 4 2 4 2" xfId="787"/>
    <cellStyle name="Обычный 6 2 3 4 2 5" xfId="519"/>
    <cellStyle name="Обычный 6 2 3 4 2 5 2" xfId="788"/>
    <cellStyle name="Обычный 6 2 3 4 2 6" xfId="780"/>
    <cellStyle name="Обычный 6 2 3 4 3" xfId="179"/>
    <cellStyle name="Обычный 6 2 3 4 3 2" xfId="351"/>
    <cellStyle name="Обычный 6 2 3 4 3 2 2" xfId="790"/>
    <cellStyle name="Обычный 6 2 3 4 3 3" xfId="522"/>
    <cellStyle name="Обычный 6 2 3 4 3 3 2" xfId="791"/>
    <cellStyle name="Обычный 6 2 3 4 3 4" xfId="789"/>
    <cellStyle name="Обычный 6 2 3 4 4" xfId="180"/>
    <cellStyle name="Обычный 6 2 3 4 4 2" xfId="352"/>
    <cellStyle name="Обычный 6 2 3 4 4 2 2" xfId="793"/>
    <cellStyle name="Обычный 6 2 3 4 4 3" xfId="523"/>
    <cellStyle name="Обычный 6 2 3 4 4 3 2" xfId="794"/>
    <cellStyle name="Обычный 6 2 3 4 4 4" xfId="792"/>
    <cellStyle name="Обычный 6 2 3 4 5" xfId="295"/>
    <cellStyle name="Обычный 6 2 3 4 5 2" xfId="795"/>
    <cellStyle name="Обычный 6 2 3 4 6" xfId="466"/>
    <cellStyle name="Обычный 6 2 3 4 6 2" xfId="796"/>
    <cellStyle name="Обычный 6 2 3 4 7" xfId="779"/>
    <cellStyle name="Обычный 6 2 3 5" xfId="181"/>
    <cellStyle name="Обычный 6 2 3 5 2" xfId="182"/>
    <cellStyle name="Обычный 6 2 3 5 2 2" xfId="354"/>
    <cellStyle name="Обычный 6 2 3 5 2 2 2" xfId="799"/>
    <cellStyle name="Обычный 6 2 3 5 2 3" xfId="525"/>
    <cellStyle name="Обычный 6 2 3 5 2 3 2" xfId="800"/>
    <cellStyle name="Обычный 6 2 3 5 2 4" xfId="798"/>
    <cellStyle name="Обычный 6 2 3 5 3" xfId="183"/>
    <cellStyle name="Обычный 6 2 3 5 3 2" xfId="355"/>
    <cellStyle name="Обычный 6 2 3 5 3 2 2" xfId="802"/>
    <cellStyle name="Обычный 6 2 3 5 3 3" xfId="526"/>
    <cellStyle name="Обычный 6 2 3 5 3 3 2" xfId="803"/>
    <cellStyle name="Обычный 6 2 3 5 3 4" xfId="801"/>
    <cellStyle name="Обычный 6 2 3 5 4" xfId="353"/>
    <cellStyle name="Обычный 6 2 3 5 4 2" xfId="804"/>
    <cellStyle name="Обычный 6 2 3 5 5" xfId="524"/>
    <cellStyle name="Обычный 6 2 3 5 5 2" xfId="805"/>
    <cellStyle name="Обычный 6 2 3 5 6" xfId="797"/>
    <cellStyle name="Обычный 6 2 3 6" xfId="184"/>
    <cellStyle name="Обычный 6 2 3 6 2" xfId="356"/>
    <cellStyle name="Обычный 6 2 3 6 2 2" xfId="807"/>
    <cellStyle name="Обычный 6 2 3 6 3" xfId="527"/>
    <cellStyle name="Обычный 6 2 3 6 3 2" xfId="808"/>
    <cellStyle name="Обычный 6 2 3 6 4" xfId="806"/>
    <cellStyle name="Обычный 6 2 3 7" xfId="185"/>
    <cellStyle name="Обычный 6 2 3 7 2" xfId="357"/>
    <cellStyle name="Обычный 6 2 3 7 2 2" xfId="810"/>
    <cellStyle name="Обычный 6 2 3 7 3" xfId="528"/>
    <cellStyle name="Обычный 6 2 3 7 3 2" xfId="811"/>
    <cellStyle name="Обычный 6 2 3 7 4" xfId="809"/>
    <cellStyle name="Обычный 6 2 3 8" xfId="186"/>
    <cellStyle name="Обычный 6 2 3 8 2" xfId="358"/>
    <cellStyle name="Обычный 6 2 3 8 2 2" xfId="813"/>
    <cellStyle name="Обычный 6 2 3 8 3" xfId="529"/>
    <cellStyle name="Обычный 6 2 3 8 3 2" xfId="814"/>
    <cellStyle name="Обычный 6 2 3 8 4" xfId="812"/>
    <cellStyle name="Обычный 6 2 3 9" xfId="112"/>
    <cellStyle name="Обычный 6 2 3 9 2" xfId="815"/>
    <cellStyle name="Обычный 6 2 4" xfId="127"/>
    <cellStyle name="Обычный 6 2 4 2" xfId="187"/>
    <cellStyle name="Обычный 6 2 4 2 2" xfId="188"/>
    <cellStyle name="Обычный 6 2 4 2 2 2" xfId="360"/>
    <cellStyle name="Обычный 6 2 4 2 2 2 2" xfId="819"/>
    <cellStyle name="Обычный 6 2 4 2 2 3" xfId="531"/>
    <cellStyle name="Обычный 6 2 4 2 2 3 2" xfId="820"/>
    <cellStyle name="Обычный 6 2 4 2 2 4" xfId="818"/>
    <cellStyle name="Обычный 6 2 4 2 3" xfId="189"/>
    <cellStyle name="Обычный 6 2 4 2 3 2" xfId="361"/>
    <cellStyle name="Обычный 6 2 4 2 3 2 2" xfId="822"/>
    <cellStyle name="Обычный 6 2 4 2 3 3" xfId="532"/>
    <cellStyle name="Обычный 6 2 4 2 3 3 2" xfId="823"/>
    <cellStyle name="Обычный 6 2 4 2 3 4" xfId="821"/>
    <cellStyle name="Обычный 6 2 4 2 4" xfId="359"/>
    <cellStyle name="Обычный 6 2 4 2 4 2" xfId="824"/>
    <cellStyle name="Обычный 6 2 4 2 5" xfId="530"/>
    <cellStyle name="Обычный 6 2 4 2 5 2" xfId="825"/>
    <cellStyle name="Обычный 6 2 4 2 6" xfId="817"/>
    <cellStyle name="Обычный 6 2 4 3" xfId="190"/>
    <cellStyle name="Обычный 6 2 4 3 2" xfId="362"/>
    <cellStyle name="Обычный 6 2 4 3 2 2" xfId="827"/>
    <cellStyle name="Обычный 6 2 4 3 3" xfId="533"/>
    <cellStyle name="Обычный 6 2 4 3 3 2" xfId="828"/>
    <cellStyle name="Обычный 6 2 4 3 4" xfId="826"/>
    <cellStyle name="Обычный 6 2 4 4" xfId="191"/>
    <cellStyle name="Обычный 6 2 4 4 2" xfId="363"/>
    <cellStyle name="Обычный 6 2 4 4 2 2" xfId="830"/>
    <cellStyle name="Обычный 6 2 4 4 3" xfId="534"/>
    <cellStyle name="Обычный 6 2 4 4 3 2" xfId="831"/>
    <cellStyle name="Обычный 6 2 4 4 4" xfId="829"/>
    <cellStyle name="Обычный 6 2 4 5" xfId="299"/>
    <cellStyle name="Обычный 6 2 4 5 2" xfId="832"/>
    <cellStyle name="Обычный 6 2 4 6" xfId="470"/>
    <cellStyle name="Обычный 6 2 4 6 2" xfId="833"/>
    <cellStyle name="Обычный 6 2 4 7" xfId="816"/>
    <cellStyle name="Обычный 6 2 5" xfId="120"/>
    <cellStyle name="Обычный 6 2 5 2" xfId="192"/>
    <cellStyle name="Обычный 6 2 5 2 2" xfId="193"/>
    <cellStyle name="Обычный 6 2 5 2 2 2" xfId="365"/>
    <cellStyle name="Обычный 6 2 5 2 2 2 2" xfId="837"/>
    <cellStyle name="Обычный 6 2 5 2 2 3" xfId="536"/>
    <cellStyle name="Обычный 6 2 5 2 2 3 2" xfId="838"/>
    <cellStyle name="Обычный 6 2 5 2 2 4" xfId="836"/>
    <cellStyle name="Обычный 6 2 5 2 3" xfId="194"/>
    <cellStyle name="Обычный 6 2 5 2 3 2" xfId="366"/>
    <cellStyle name="Обычный 6 2 5 2 3 2 2" xfId="840"/>
    <cellStyle name="Обычный 6 2 5 2 3 3" xfId="537"/>
    <cellStyle name="Обычный 6 2 5 2 3 3 2" xfId="841"/>
    <cellStyle name="Обычный 6 2 5 2 3 4" xfId="839"/>
    <cellStyle name="Обычный 6 2 5 2 4" xfId="364"/>
    <cellStyle name="Обычный 6 2 5 2 4 2" xfId="842"/>
    <cellStyle name="Обычный 6 2 5 2 5" xfId="535"/>
    <cellStyle name="Обычный 6 2 5 2 5 2" xfId="843"/>
    <cellStyle name="Обычный 6 2 5 2 6" xfId="835"/>
    <cellStyle name="Обычный 6 2 5 3" xfId="195"/>
    <cellStyle name="Обычный 6 2 5 3 2" xfId="367"/>
    <cellStyle name="Обычный 6 2 5 3 2 2" xfId="845"/>
    <cellStyle name="Обычный 6 2 5 3 3" xfId="538"/>
    <cellStyle name="Обычный 6 2 5 3 3 2" xfId="846"/>
    <cellStyle name="Обычный 6 2 5 3 4" xfId="844"/>
    <cellStyle name="Обычный 6 2 5 4" xfId="196"/>
    <cellStyle name="Обычный 6 2 5 4 2" xfId="368"/>
    <cellStyle name="Обычный 6 2 5 4 2 2" xfId="848"/>
    <cellStyle name="Обычный 6 2 5 4 3" xfId="539"/>
    <cellStyle name="Обычный 6 2 5 4 3 2" xfId="849"/>
    <cellStyle name="Обычный 6 2 5 4 4" xfId="847"/>
    <cellStyle name="Обычный 6 2 5 5" xfId="292"/>
    <cellStyle name="Обычный 6 2 5 5 2" xfId="850"/>
    <cellStyle name="Обычный 6 2 5 6" xfId="463"/>
    <cellStyle name="Обычный 6 2 5 6 2" xfId="851"/>
    <cellStyle name="Обычный 6 2 5 7" xfId="834"/>
    <cellStyle name="Обычный 6 2 6" xfId="197"/>
    <cellStyle name="Обычный 6 2 6 2" xfId="198"/>
    <cellStyle name="Обычный 6 2 6 2 2" xfId="370"/>
    <cellStyle name="Обычный 6 2 6 2 2 2" xfId="854"/>
    <cellStyle name="Обычный 6 2 6 2 3" xfId="541"/>
    <cellStyle name="Обычный 6 2 6 2 3 2" xfId="855"/>
    <cellStyle name="Обычный 6 2 6 2 4" xfId="853"/>
    <cellStyle name="Обычный 6 2 6 3" xfId="199"/>
    <cellStyle name="Обычный 6 2 6 3 2" xfId="371"/>
    <cellStyle name="Обычный 6 2 6 3 2 2" xfId="857"/>
    <cellStyle name="Обычный 6 2 6 3 3" xfId="542"/>
    <cellStyle name="Обычный 6 2 6 3 3 2" xfId="858"/>
    <cellStyle name="Обычный 6 2 6 3 4" xfId="856"/>
    <cellStyle name="Обычный 6 2 6 4" xfId="369"/>
    <cellStyle name="Обычный 6 2 6 4 2" xfId="859"/>
    <cellStyle name="Обычный 6 2 6 5" xfId="540"/>
    <cellStyle name="Обычный 6 2 6 5 2" xfId="860"/>
    <cellStyle name="Обычный 6 2 6 6" xfId="852"/>
    <cellStyle name="Обычный 6 2 7" xfId="200"/>
    <cellStyle name="Обычный 6 2 7 2" xfId="372"/>
    <cellStyle name="Обычный 6 2 7 2 2" xfId="862"/>
    <cellStyle name="Обычный 6 2 7 3" xfId="543"/>
    <cellStyle name="Обычный 6 2 7 3 2" xfId="863"/>
    <cellStyle name="Обычный 6 2 7 4" xfId="861"/>
    <cellStyle name="Обычный 6 2 8" xfId="201"/>
    <cellStyle name="Обычный 6 2 8 2" xfId="373"/>
    <cellStyle name="Обычный 6 2 8 2 2" xfId="865"/>
    <cellStyle name="Обычный 6 2 8 3" xfId="544"/>
    <cellStyle name="Обычный 6 2 8 3 2" xfId="866"/>
    <cellStyle name="Обычный 6 2 8 4" xfId="864"/>
    <cellStyle name="Обычный 6 2 9" xfId="202"/>
    <cellStyle name="Обычный 6 2 9 2" xfId="374"/>
    <cellStyle name="Обычный 6 2 9 2 2" xfId="868"/>
    <cellStyle name="Обычный 6 2 9 3" xfId="545"/>
    <cellStyle name="Обычный 6 2 9 3 2" xfId="869"/>
    <cellStyle name="Обычный 6 2 9 4" xfId="867"/>
    <cellStyle name="Обычный 6 3" xfId="124"/>
    <cellStyle name="Обычный 6 3 2" xfId="203"/>
    <cellStyle name="Обычный 6 3 2 2" xfId="204"/>
    <cellStyle name="Обычный 6 3 2 2 2" xfId="376"/>
    <cellStyle name="Обычный 6 3 2 2 2 2" xfId="873"/>
    <cellStyle name="Обычный 6 3 2 2 3" xfId="547"/>
    <cellStyle name="Обычный 6 3 2 2 3 2" xfId="874"/>
    <cellStyle name="Обычный 6 3 2 2 4" xfId="872"/>
    <cellStyle name="Обычный 6 3 2 3" xfId="205"/>
    <cellStyle name="Обычный 6 3 2 3 2" xfId="377"/>
    <cellStyle name="Обычный 6 3 2 3 2 2" xfId="876"/>
    <cellStyle name="Обычный 6 3 2 3 3" xfId="548"/>
    <cellStyle name="Обычный 6 3 2 3 3 2" xfId="877"/>
    <cellStyle name="Обычный 6 3 2 3 4" xfId="875"/>
    <cellStyle name="Обычный 6 3 2 4" xfId="375"/>
    <cellStyle name="Обычный 6 3 2 4 2" xfId="878"/>
    <cellStyle name="Обычный 6 3 2 5" xfId="546"/>
    <cellStyle name="Обычный 6 3 2 5 2" xfId="879"/>
    <cellStyle name="Обычный 6 3 2 6" xfId="871"/>
    <cellStyle name="Обычный 6 3 3" xfId="206"/>
    <cellStyle name="Обычный 6 3 3 2" xfId="378"/>
    <cellStyle name="Обычный 6 3 3 2 2" xfId="881"/>
    <cellStyle name="Обычный 6 3 3 3" xfId="549"/>
    <cellStyle name="Обычный 6 3 3 3 2" xfId="882"/>
    <cellStyle name="Обычный 6 3 3 4" xfId="880"/>
    <cellStyle name="Обычный 6 3 4" xfId="207"/>
    <cellStyle name="Обычный 6 3 4 2" xfId="379"/>
    <cellStyle name="Обычный 6 3 4 2 2" xfId="884"/>
    <cellStyle name="Обычный 6 3 4 3" xfId="550"/>
    <cellStyle name="Обычный 6 3 4 3 2" xfId="885"/>
    <cellStyle name="Обычный 6 3 4 4" xfId="883"/>
    <cellStyle name="Обычный 6 3 5" xfId="296"/>
    <cellStyle name="Обычный 6 3 5 2" xfId="886"/>
    <cellStyle name="Обычный 6 3 6" xfId="467"/>
    <cellStyle name="Обычный 6 3 6 2" xfId="887"/>
    <cellStyle name="Обычный 6 3 7" xfId="870"/>
    <cellStyle name="Обычный 6 4" xfId="117"/>
    <cellStyle name="Обычный 6 4 2" xfId="208"/>
    <cellStyle name="Обычный 6 4 2 2" xfId="209"/>
    <cellStyle name="Обычный 6 4 2 2 2" xfId="381"/>
    <cellStyle name="Обычный 6 4 2 2 2 2" xfId="891"/>
    <cellStyle name="Обычный 6 4 2 2 3" xfId="552"/>
    <cellStyle name="Обычный 6 4 2 2 3 2" xfId="892"/>
    <cellStyle name="Обычный 6 4 2 2 4" xfId="890"/>
    <cellStyle name="Обычный 6 4 2 3" xfId="210"/>
    <cellStyle name="Обычный 6 4 2 3 2" xfId="382"/>
    <cellStyle name="Обычный 6 4 2 3 2 2" xfId="894"/>
    <cellStyle name="Обычный 6 4 2 3 3" xfId="553"/>
    <cellStyle name="Обычный 6 4 2 3 3 2" xfId="895"/>
    <cellStyle name="Обычный 6 4 2 3 4" xfId="893"/>
    <cellStyle name="Обычный 6 4 2 4" xfId="380"/>
    <cellStyle name="Обычный 6 4 2 4 2" xfId="896"/>
    <cellStyle name="Обычный 6 4 2 5" xfId="551"/>
    <cellStyle name="Обычный 6 4 2 5 2" xfId="897"/>
    <cellStyle name="Обычный 6 4 2 6" xfId="889"/>
    <cellStyle name="Обычный 6 4 3" xfId="211"/>
    <cellStyle name="Обычный 6 4 3 2" xfId="383"/>
    <cellStyle name="Обычный 6 4 3 2 2" xfId="899"/>
    <cellStyle name="Обычный 6 4 3 3" xfId="554"/>
    <cellStyle name="Обычный 6 4 3 3 2" xfId="900"/>
    <cellStyle name="Обычный 6 4 3 4" xfId="898"/>
    <cellStyle name="Обычный 6 4 4" xfId="212"/>
    <cellStyle name="Обычный 6 4 4 2" xfId="384"/>
    <cellStyle name="Обычный 6 4 4 2 2" xfId="902"/>
    <cellStyle name="Обычный 6 4 4 3" xfId="555"/>
    <cellStyle name="Обычный 6 4 4 3 2" xfId="903"/>
    <cellStyle name="Обычный 6 4 4 4" xfId="901"/>
    <cellStyle name="Обычный 6 4 5" xfId="289"/>
    <cellStyle name="Обычный 6 4 5 2" xfId="904"/>
    <cellStyle name="Обычный 6 4 6" xfId="460"/>
    <cellStyle name="Обычный 6 4 6 2" xfId="905"/>
    <cellStyle name="Обычный 6 4 7" xfId="888"/>
    <cellStyle name="Обычный 6 5" xfId="213"/>
    <cellStyle name="Обычный 6 5 2" xfId="214"/>
    <cellStyle name="Обычный 6 5 2 2" xfId="386"/>
    <cellStyle name="Обычный 6 5 2 2 2" xfId="908"/>
    <cellStyle name="Обычный 6 5 2 3" xfId="557"/>
    <cellStyle name="Обычный 6 5 2 3 2" xfId="909"/>
    <cellStyle name="Обычный 6 5 2 4" xfId="907"/>
    <cellStyle name="Обычный 6 5 3" xfId="215"/>
    <cellStyle name="Обычный 6 5 3 2" xfId="387"/>
    <cellStyle name="Обычный 6 5 3 2 2" xfId="911"/>
    <cellStyle name="Обычный 6 5 3 3" xfId="558"/>
    <cellStyle name="Обычный 6 5 3 3 2" xfId="912"/>
    <cellStyle name="Обычный 6 5 3 4" xfId="910"/>
    <cellStyle name="Обычный 6 5 4" xfId="385"/>
    <cellStyle name="Обычный 6 5 4 2" xfId="913"/>
    <cellStyle name="Обычный 6 5 5" xfId="556"/>
    <cellStyle name="Обычный 6 5 5 2" xfId="914"/>
    <cellStyle name="Обычный 6 5 6" xfId="906"/>
    <cellStyle name="Обычный 6 6" xfId="216"/>
    <cellStyle name="Обычный 6 6 2" xfId="388"/>
    <cellStyle name="Обычный 6 6 2 2" xfId="916"/>
    <cellStyle name="Обычный 6 6 3" xfId="559"/>
    <cellStyle name="Обычный 6 6 3 2" xfId="917"/>
    <cellStyle name="Обычный 6 6 4" xfId="915"/>
    <cellStyle name="Обычный 6 7" xfId="217"/>
    <cellStyle name="Обычный 6 7 2" xfId="389"/>
    <cellStyle name="Обычный 6 7 2 2" xfId="919"/>
    <cellStyle name="Обычный 6 7 3" xfId="560"/>
    <cellStyle name="Обычный 6 7 3 2" xfId="920"/>
    <cellStyle name="Обычный 6 7 4" xfId="918"/>
    <cellStyle name="Обычный 6 8" xfId="218"/>
    <cellStyle name="Обычный 6 8 2" xfId="390"/>
    <cellStyle name="Обычный 6 8 2 2" xfId="922"/>
    <cellStyle name="Обычный 6 8 3" xfId="561"/>
    <cellStyle name="Обычный 6 8 3 2" xfId="923"/>
    <cellStyle name="Обычный 6 8 4" xfId="921"/>
    <cellStyle name="Обычный 6 9" xfId="106"/>
    <cellStyle name="Обычный 6 9 2" xfId="924"/>
    <cellStyle name="Обычный 7" xfId="54"/>
    <cellStyle name="Обычный 7 2" xfId="58"/>
    <cellStyle name="Обычный 7 2 10" xfId="455"/>
    <cellStyle name="Обычный 7 2 10 2" xfId="926"/>
    <cellStyle name="Обычный 7 2 11" xfId="925"/>
    <cellStyle name="Обычный 7 2 2" xfId="129"/>
    <cellStyle name="Обычный 7 2 2 2" xfId="219"/>
    <cellStyle name="Обычный 7 2 2 2 2" xfId="220"/>
    <cellStyle name="Обычный 7 2 2 2 2 2" xfId="392"/>
    <cellStyle name="Обычный 7 2 2 2 2 2 2" xfId="930"/>
    <cellStyle name="Обычный 7 2 2 2 2 3" xfId="563"/>
    <cellStyle name="Обычный 7 2 2 2 2 3 2" xfId="931"/>
    <cellStyle name="Обычный 7 2 2 2 2 4" xfId="929"/>
    <cellStyle name="Обычный 7 2 2 2 3" xfId="221"/>
    <cellStyle name="Обычный 7 2 2 2 3 2" xfId="393"/>
    <cellStyle name="Обычный 7 2 2 2 3 2 2" xfId="933"/>
    <cellStyle name="Обычный 7 2 2 2 3 3" xfId="564"/>
    <cellStyle name="Обычный 7 2 2 2 3 3 2" xfId="934"/>
    <cellStyle name="Обычный 7 2 2 2 3 4" xfId="932"/>
    <cellStyle name="Обычный 7 2 2 2 4" xfId="391"/>
    <cellStyle name="Обычный 7 2 2 2 4 2" xfId="935"/>
    <cellStyle name="Обычный 7 2 2 2 5" xfId="562"/>
    <cellStyle name="Обычный 7 2 2 2 5 2" xfId="936"/>
    <cellStyle name="Обычный 7 2 2 2 6" xfId="928"/>
    <cellStyle name="Обычный 7 2 2 3" xfId="222"/>
    <cellStyle name="Обычный 7 2 2 3 2" xfId="394"/>
    <cellStyle name="Обычный 7 2 2 3 2 2" xfId="938"/>
    <cellStyle name="Обычный 7 2 2 3 3" xfId="565"/>
    <cellStyle name="Обычный 7 2 2 3 3 2" xfId="939"/>
    <cellStyle name="Обычный 7 2 2 3 4" xfId="937"/>
    <cellStyle name="Обычный 7 2 2 4" xfId="223"/>
    <cellStyle name="Обычный 7 2 2 4 2" xfId="395"/>
    <cellStyle name="Обычный 7 2 2 4 2 2" xfId="941"/>
    <cellStyle name="Обычный 7 2 2 4 3" xfId="566"/>
    <cellStyle name="Обычный 7 2 2 4 3 2" xfId="942"/>
    <cellStyle name="Обычный 7 2 2 4 4" xfId="940"/>
    <cellStyle name="Обычный 7 2 2 5" xfId="301"/>
    <cellStyle name="Обычный 7 2 2 5 2" xfId="943"/>
    <cellStyle name="Обычный 7 2 2 6" xfId="472"/>
    <cellStyle name="Обычный 7 2 2 6 2" xfId="944"/>
    <cellStyle name="Обычный 7 2 2 7" xfId="927"/>
    <cellStyle name="Обычный 7 2 3" xfId="122"/>
    <cellStyle name="Обычный 7 2 3 2" xfId="224"/>
    <cellStyle name="Обычный 7 2 3 2 2" xfId="225"/>
    <cellStyle name="Обычный 7 2 3 2 2 2" xfId="397"/>
    <cellStyle name="Обычный 7 2 3 2 2 2 2" xfId="948"/>
    <cellStyle name="Обычный 7 2 3 2 2 3" xfId="568"/>
    <cellStyle name="Обычный 7 2 3 2 2 3 2" xfId="949"/>
    <cellStyle name="Обычный 7 2 3 2 2 4" xfId="947"/>
    <cellStyle name="Обычный 7 2 3 2 3" xfId="226"/>
    <cellStyle name="Обычный 7 2 3 2 3 2" xfId="398"/>
    <cellStyle name="Обычный 7 2 3 2 3 2 2" xfId="951"/>
    <cellStyle name="Обычный 7 2 3 2 3 3" xfId="569"/>
    <cellStyle name="Обычный 7 2 3 2 3 3 2" xfId="952"/>
    <cellStyle name="Обычный 7 2 3 2 3 4" xfId="950"/>
    <cellStyle name="Обычный 7 2 3 2 4" xfId="396"/>
    <cellStyle name="Обычный 7 2 3 2 4 2" xfId="953"/>
    <cellStyle name="Обычный 7 2 3 2 5" xfId="567"/>
    <cellStyle name="Обычный 7 2 3 2 5 2" xfId="954"/>
    <cellStyle name="Обычный 7 2 3 2 6" xfId="946"/>
    <cellStyle name="Обычный 7 2 3 3" xfId="227"/>
    <cellStyle name="Обычный 7 2 3 3 2" xfId="399"/>
    <cellStyle name="Обычный 7 2 3 3 2 2" xfId="956"/>
    <cellStyle name="Обычный 7 2 3 3 3" xfId="570"/>
    <cellStyle name="Обычный 7 2 3 3 3 2" xfId="957"/>
    <cellStyle name="Обычный 7 2 3 3 4" xfId="955"/>
    <cellStyle name="Обычный 7 2 3 4" xfId="228"/>
    <cellStyle name="Обычный 7 2 3 4 2" xfId="400"/>
    <cellStyle name="Обычный 7 2 3 4 2 2" xfId="959"/>
    <cellStyle name="Обычный 7 2 3 4 3" xfId="571"/>
    <cellStyle name="Обычный 7 2 3 4 3 2" xfId="960"/>
    <cellStyle name="Обычный 7 2 3 4 4" xfId="958"/>
    <cellStyle name="Обычный 7 2 3 5" xfId="294"/>
    <cellStyle name="Обычный 7 2 3 5 2" xfId="961"/>
    <cellStyle name="Обычный 7 2 3 6" xfId="465"/>
    <cellStyle name="Обычный 7 2 3 6 2" xfId="962"/>
    <cellStyle name="Обычный 7 2 3 7" xfId="945"/>
    <cellStyle name="Обычный 7 2 4" xfId="229"/>
    <cellStyle name="Обычный 7 2 4 2" xfId="230"/>
    <cellStyle name="Обычный 7 2 4 2 2" xfId="402"/>
    <cellStyle name="Обычный 7 2 4 2 2 2" xfId="965"/>
    <cellStyle name="Обычный 7 2 4 2 3" xfId="573"/>
    <cellStyle name="Обычный 7 2 4 2 3 2" xfId="966"/>
    <cellStyle name="Обычный 7 2 4 2 4" xfId="964"/>
    <cellStyle name="Обычный 7 2 4 3" xfId="231"/>
    <cellStyle name="Обычный 7 2 4 3 2" xfId="403"/>
    <cellStyle name="Обычный 7 2 4 3 2 2" xfId="968"/>
    <cellStyle name="Обычный 7 2 4 3 3" xfId="574"/>
    <cellStyle name="Обычный 7 2 4 3 3 2" xfId="969"/>
    <cellStyle name="Обычный 7 2 4 3 4" xfId="967"/>
    <cellStyle name="Обычный 7 2 4 4" xfId="401"/>
    <cellStyle name="Обычный 7 2 4 4 2" xfId="970"/>
    <cellStyle name="Обычный 7 2 4 5" xfId="572"/>
    <cellStyle name="Обычный 7 2 4 5 2" xfId="971"/>
    <cellStyle name="Обычный 7 2 4 6" xfId="963"/>
    <cellStyle name="Обычный 7 2 5" xfId="232"/>
    <cellStyle name="Обычный 7 2 5 2" xfId="404"/>
    <cellStyle name="Обычный 7 2 5 2 2" xfId="973"/>
    <cellStyle name="Обычный 7 2 5 3" xfId="575"/>
    <cellStyle name="Обычный 7 2 5 3 2" xfId="974"/>
    <cellStyle name="Обычный 7 2 5 4" xfId="972"/>
    <cellStyle name="Обычный 7 2 6" xfId="233"/>
    <cellStyle name="Обычный 7 2 6 2" xfId="405"/>
    <cellStyle name="Обычный 7 2 6 2 2" xfId="976"/>
    <cellStyle name="Обычный 7 2 6 3" xfId="576"/>
    <cellStyle name="Обычный 7 2 6 3 2" xfId="977"/>
    <cellStyle name="Обычный 7 2 6 4" xfId="975"/>
    <cellStyle name="Обычный 7 2 7" xfId="234"/>
    <cellStyle name="Обычный 7 2 7 2" xfId="406"/>
    <cellStyle name="Обычный 7 2 7 2 2" xfId="979"/>
    <cellStyle name="Обычный 7 2 7 3" xfId="577"/>
    <cellStyle name="Обычный 7 2 7 3 2" xfId="980"/>
    <cellStyle name="Обычный 7 2 7 4" xfId="978"/>
    <cellStyle name="Обычный 7 2 8" xfId="111"/>
    <cellStyle name="Обычный 7 2 8 2" xfId="981"/>
    <cellStyle name="Обычный 7 2 9" xfId="284"/>
    <cellStyle name="Обычный 7 2 9 2" xfId="982"/>
    <cellStyle name="Обычный 8" xfId="57"/>
    <cellStyle name="Обычный 9" xfId="113"/>
    <cellStyle name="Обычный 9 2" xfId="131"/>
    <cellStyle name="Обычный 9 2 2" xfId="235"/>
    <cellStyle name="Обычный 9 2 2 2" xfId="236"/>
    <cellStyle name="Обычный 9 2 2 2 2" xfId="408"/>
    <cellStyle name="Обычный 9 2 2 2 2 2" xfId="987"/>
    <cellStyle name="Обычный 9 2 2 2 3" xfId="579"/>
    <cellStyle name="Обычный 9 2 2 2 3 2" xfId="988"/>
    <cellStyle name="Обычный 9 2 2 2 4" xfId="986"/>
    <cellStyle name="Обычный 9 2 2 3" xfId="237"/>
    <cellStyle name="Обычный 9 2 2 3 2" xfId="409"/>
    <cellStyle name="Обычный 9 2 2 3 2 2" xfId="990"/>
    <cellStyle name="Обычный 9 2 2 3 3" xfId="580"/>
    <cellStyle name="Обычный 9 2 2 3 3 2" xfId="991"/>
    <cellStyle name="Обычный 9 2 2 3 4" xfId="989"/>
    <cellStyle name="Обычный 9 2 2 4" xfId="238"/>
    <cellStyle name="Обычный 9 2 2 4 2" xfId="410"/>
    <cellStyle name="Обычный 9 2 2 4 2 2" xfId="993"/>
    <cellStyle name="Обычный 9 2 2 4 3" xfId="581"/>
    <cellStyle name="Обычный 9 2 2 4 3 2" xfId="994"/>
    <cellStyle name="Обычный 9 2 2 4 4" xfId="992"/>
    <cellStyle name="Обычный 9 2 2 5" xfId="407"/>
    <cellStyle name="Обычный 9 2 2 5 2" xfId="995"/>
    <cellStyle name="Обычный 9 2 2 6" xfId="578"/>
    <cellStyle name="Обычный 9 2 2 6 2" xfId="996"/>
    <cellStyle name="Обычный 9 2 2 7" xfId="985"/>
    <cellStyle name="Обычный 9 2 3" xfId="239"/>
    <cellStyle name="Обычный 9 2 3 2" xfId="411"/>
    <cellStyle name="Обычный 9 2 3 2 2" xfId="998"/>
    <cellStyle name="Обычный 9 2 3 3" xfId="582"/>
    <cellStyle name="Обычный 9 2 3 3 2" xfId="999"/>
    <cellStyle name="Обычный 9 2 3 4" xfId="997"/>
    <cellStyle name="Обычный 9 2 4" xfId="240"/>
    <cellStyle name="Обычный 9 2 4 2" xfId="412"/>
    <cellStyle name="Обычный 9 2 4 2 2" xfId="1001"/>
    <cellStyle name="Обычный 9 2 4 3" xfId="583"/>
    <cellStyle name="Обычный 9 2 4 3 2" xfId="1002"/>
    <cellStyle name="Обычный 9 2 4 4" xfId="1000"/>
    <cellStyle name="Обычный 9 2 5" xfId="303"/>
    <cellStyle name="Обычный 9 2 5 2" xfId="1003"/>
    <cellStyle name="Обычный 9 2 6" xfId="474"/>
    <cellStyle name="Обычный 9 2 6 2" xfId="1004"/>
    <cellStyle name="Обычный 9 2 7" xfId="984"/>
    <cellStyle name="Обычный 9 3" xfId="136"/>
    <cellStyle name="Обычный 9 3 2" xfId="241"/>
    <cellStyle name="Обычный 9 3 2 2" xfId="413"/>
    <cellStyle name="Обычный 9 3 2 2 2" xfId="1007"/>
    <cellStyle name="Обычный 9 3 2 3" xfId="584"/>
    <cellStyle name="Обычный 9 3 2 3 2" xfId="1008"/>
    <cellStyle name="Обычный 9 3 2 4" xfId="1006"/>
    <cellStyle name="Обычный 9 3 3" xfId="242"/>
    <cellStyle name="Обычный 9 3 3 2" xfId="414"/>
    <cellStyle name="Обычный 9 3 3 2 2" xfId="1010"/>
    <cellStyle name="Обычный 9 3 3 3" xfId="585"/>
    <cellStyle name="Обычный 9 3 3 3 2" xfId="1011"/>
    <cellStyle name="Обычный 9 3 3 4" xfId="1009"/>
    <cellStyle name="Обычный 9 3 4" xfId="243"/>
    <cellStyle name="Обычный 9 3 4 2" xfId="415"/>
    <cellStyle name="Обычный 9 3 4 2 2" xfId="1013"/>
    <cellStyle name="Обычный 9 3 4 3" xfId="586"/>
    <cellStyle name="Обычный 9 3 4 3 2" xfId="1014"/>
    <cellStyle name="Обычный 9 3 4 4" xfId="1012"/>
    <cellStyle name="Обычный 9 3 5" xfId="308"/>
    <cellStyle name="Обычный 9 3 5 2" xfId="1015"/>
    <cellStyle name="Обычный 9 3 6" xfId="479"/>
    <cellStyle name="Обычный 9 3 6 2" xfId="1016"/>
    <cellStyle name="Обычный 9 3 7" xfId="1005"/>
    <cellStyle name="Обычный 9 4" xfId="244"/>
    <cellStyle name="Обычный 9 4 2" xfId="416"/>
    <cellStyle name="Обычный 9 4 2 2" xfId="1018"/>
    <cellStyle name="Обычный 9 4 3" xfId="587"/>
    <cellStyle name="Обычный 9 4 3 2" xfId="1019"/>
    <cellStyle name="Обычный 9 4 4" xfId="1017"/>
    <cellStyle name="Обычный 9 5" xfId="245"/>
    <cellStyle name="Обычный 9 5 2" xfId="417"/>
    <cellStyle name="Обычный 9 5 2 2" xfId="1021"/>
    <cellStyle name="Обычный 9 5 3" xfId="588"/>
    <cellStyle name="Обычный 9 5 3 2" xfId="1022"/>
    <cellStyle name="Обычный 9 5 4" xfId="1020"/>
    <cellStyle name="Обычный 9 6" xfId="286"/>
    <cellStyle name="Обычный 9 6 2" xfId="1023"/>
    <cellStyle name="Обычный 9 7" xfId="457"/>
    <cellStyle name="Обычный 9 7 2" xfId="1024"/>
    <cellStyle name="Обычный 9 8" xfId="983"/>
    <cellStyle name="Плохой" xfId="38" builtinId="27" customBuiltin="1"/>
    <cellStyle name="Плохой 2" xfId="95"/>
    <cellStyle name="Пояснение" xfId="39" builtinId="53" customBuiltin="1"/>
    <cellStyle name="Пояснение 2" xfId="96"/>
    <cellStyle name="Примечание" xfId="40" builtinId="10" customBuiltin="1"/>
    <cellStyle name="Примечание 2" xfId="97"/>
    <cellStyle name="Процентный 2" xfId="103"/>
    <cellStyle name="Процентный 3" xfId="104"/>
    <cellStyle name="Связанная ячейка" xfId="41" builtinId="24" customBuiltin="1"/>
    <cellStyle name="Связанная ячейка 2" xfId="98"/>
    <cellStyle name="Стиль 1" xfId="105"/>
    <cellStyle name="Текст предупреждения" xfId="42" builtinId="11" customBuiltin="1"/>
    <cellStyle name="Текст предупреждения 2" xfId="99"/>
    <cellStyle name="Финансовый 2" xfId="49"/>
    <cellStyle name="Финансовый 2 10" xfId="451"/>
    <cellStyle name="Финансовый 2 10 2" xfId="1027"/>
    <cellStyle name="Финансовый 2 11" xfId="1026"/>
    <cellStyle name="Финансовый 2 2" xfId="125"/>
    <cellStyle name="Финансовый 2 2 2" xfId="246"/>
    <cellStyle name="Финансовый 2 2 2 2" xfId="247"/>
    <cellStyle name="Финансовый 2 2 2 2 2" xfId="50"/>
    <cellStyle name="Финансовый 2 2 2 2 3" xfId="419"/>
    <cellStyle name="Финансовый 2 2 2 2 3 2" xfId="1031"/>
    <cellStyle name="Финансовый 2 2 2 2 4" xfId="590"/>
    <cellStyle name="Финансовый 2 2 2 2 4 2" xfId="1032"/>
    <cellStyle name="Финансовый 2 2 2 2 5" xfId="1030"/>
    <cellStyle name="Финансовый 2 2 2 3" xfId="248"/>
    <cellStyle name="Финансовый 2 2 2 3 2" xfId="420"/>
    <cellStyle name="Финансовый 2 2 2 3 2 2" xfId="1034"/>
    <cellStyle name="Финансовый 2 2 2 3 3" xfId="591"/>
    <cellStyle name="Финансовый 2 2 2 3 3 2" xfId="1035"/>
    <cellStyle name="Финансовый 2 2 2 3 4" xfId="1033"/>
    <cellStyle name="Финансовый 2 2 2 4" xfId="418"/>
    <cellStyle name="Финансовый 2 2 2 4 2" xfId="1036"/>
    <cellStyle name="Финансовый 2 2 2 5" xfId="589"/>
    <cellStyle name="Финансовый 2 2 2 5 2" xfId="1037"/>
    <cellStyle name="Финансовый 2 2 2 6" xfId="1029"/>
    <cellStyle name="Финансовый 2 2 3" xfId="249"/>
    <cellStyle name="Финансовый 2 2 3 2" xfId="421"/>
    <cellStyle name="Финансовый 2 2 3 2 2" xfId="1039"/>
    <cellStyle name="Финансовый 2 2 3 3" xfId="592"/>
    <cellStyle name="Финансовый 2 2 3 3 2" xfId="1040"/>
    <cellStyle name="Финансовый 2 2 3 4" xfId="1038"/>
    <cellStyle name="Финансовый 2 2 4" xfId="250"/>
    <cellStyle name="Финансовый 2 2 4 2" xfId="422"/>
    <cellStyle name="Финансовый 2 2 4 2 2" xfId="1042"/>
    <cellStyle name="Финансовый 2 2 4 3" xfId="593"/>
    <cellStyle name="Финансовый 2 2 4 3 2" xfId="1043"/>
    <cellStyle name="Финансовый 2 2 4 4" xfId="1041"/>
    <cellStyle name="Финансовый 2 2 5" xfId="297"/>
    <cellStyle name="Финансовый 2 2 5 2" xfId="1044"/>
    <cellStyle name="Финансовый 2 2 6" xfId="468"/>
    <cellStyle name="Финансовый 2 2 6 2" xfId="1045"/>
    <cellStyle name="Финансовый 2 2 7" xfId="1028"/>
    <cellStyle name="Финансовый 2 3" xfId="118"/>
    <cellStyle name="Финансовый 2 3 2" xfId="251"/>
    <cellStyle name="Финансовый 2 3 2 2" xfId="252"/>
    <cellStyle name="Финансовый 2 3 2 2 2" xfId="424"/>
    <cellStyle name="Финансовый 2 3 2 2 2 2" xfId="1049"/>
    <cellStyle name="Финансовый 2 3 2 2 3" xfId="595"/>
    <cellStyle name="Финансовый 2 3 2 2 3 2" xfId="1050"/>
    <cellStyle name="Финансовый 2 3 2 2 4" xfId="1048"/>
    <cellStyle name="Финансовый 2 3 2 3" xfId="253"/>
    <cellStyle name="Финансовый 2 3 2 3 2" xfId="425"/>
    <cellStyle name="Финансовый 2 3 2 3 2 2" xfId="1052"/>
    <cellStyle name="Финансовый 2 3 2 3 3" xfId="596"/>
    <cellStyle name="Финансовый 2 3 2 3 3 2" xfId="1053"/>
    <cellStyle name="Финансовый 2 3 2 3 4" xfId="1051"/>
    <cellStyle name="Финансовый 2 3 2 4" xfId="423"/>
    <cellStyle name="Финансовый 2 3 2 4 2" xfId="1054"/>
    <cellStyle name="Финансовый 2 3 2 5" xfId="594"/>
    <cellStyle name="Финансовый 2 3 2 5 2" xfId="1055"/>
    <cellStyle name="Финансовый 2 3 2 6" xfId="1047"/>
    <cellStyle name="Финансовый 2 3 3" xfId="254"/>
    <cellStyle name="Финансовый 2 3 3 2" xfId="426"/>
    <cellStyle name="Финансовый 2 3 3 2 2" xfId="1057"/>
    <cellStyle name="Финансовый 2 3 3 3" xfId="597"/>
    <cellStyle name="Финансовый 2 3 3 3 2" xfId="1058"/>
    <cellStyle name="Финансовый 2 3 3 4" xfId="1056"/>
    <cellStyle name="Финансовый 2 3 4" xfId="255"/>
    <cellStyle name="Финансовый 2 3 4 2" xfId="427"/>
    <cellStyle name="Финансовый 2 3 4 2 2" xfId="1060"/>
    <cellStyle name="Финансовый 2 3 4 3" xfId="598"/>
    <cellStyle name="Финансовый 2 3 4 3 2" xfId="1061"/>
    <cellStyle name="Финансовый 2 3 4 4" xfId="1059"/>
    <cellStyle name="Финансовый 2 3 5" xfId="290"/>
    <cellStyle name="Финансовый 2 3 5 2" xfId="1062"/>
    <cellStyle name="Финансовый 2 3 6" xfId="461"/>
    <cellStyle name="Финансовый 2 3 6 2" xfId="1063"/>
    <cellStyle name="Финансовый 2 3 7" xfId="1046"/>
    <cellStyle name="Финансовый 2 4" xfId="256"/>
    <cellStyle name="Финансовый 2 4 2" xfId="257"/>
    <cellStyle name="Финансовый 2 4 2 2" xfId="429"/>
    <cellStyle name="Финансовый 2 4 2 2 2" xfId="1066"/>
    <cellStyle name="Финансовый 2 4 2 3" xfId="600"/>
    <cellStyle name="Финансовый 2 4 2 3 2" xfId="1067"/>
    <cellStyle name="Финансовый 2 4 2 4" xfId="1065"/>
    <cellStyle name="Финансовый 2 4 3" xfId="258"/>
    <cellStyle name="Финансовый 2 4 3 2" xfId="430"/>
    <cellStyle name="Финансовый 2 4 3 2 2" xfId="1069"/>
    <cellStyle name="Финансовый 2 4 3 3" xfId="601"/>
    <cellStyle name="Финансовый 2 4 3 3 2" xfId="1070"/>
    <cellStyle name="Финансовый 2 4 3 4" xfId="1068"/>
    <cellStyle name="Финансовый 2 4 4" xfId="428"/>
    <cellStyle name="Финансовый 2 4 4 2" xfId="1071"/>
    <cellStyle name="Финансовый 2 4 5" xfId="599"/>
    <cellStyle name="Финансовый 2 4 5 2" xfId="1072"/>
    <cellStyle name="Финансовый 2 4 6" xfId="1064"/>
    <cellStyle name="Финансовый 2 5" xfId="259"/>
    <cellStyle name="Финансовый 2 5 2" xfId="431"/>
    <cellStyle name="Финансовый 2 5 2 2" xfId="1074"/>
    <cellStyle name="Финансовый 2 5 3" xfId="602"/>
    <cellStyle name="Финансовый 2 5 3 2" xfId="1075"/>
    <cellStyle name="Финансовый 2 5 4" xfId="1073"/>
    <cellStyle name="Финансовый 2 6" xfId="260"/>
    <cellStyle name="Финансовый 2 6 2" xfId="432"/>
    <cellStyle name="Финансовый 2 6 2 2" xfId="1077"/>
    <cellStyle name="Финансовый 2 6 3" xfId="603"/>
    <cellStyle name="Финансовый 2 6 3 2" xfId="1078"/>
    <cellStyle name="Финансовый 2 6 4" xfId="1076"/>
    <cellStyle name="Финансовый 2 7" xfId="261"/>
    <cellStyle name="Финансовый 2 7 2" xfId="433"/>
    <cellStyle name="Финансовый 2 7 2 2" xfId="1080"/>
    <cellStyle name="Финансовый 2 7 3" xfId="604"/>
    <cellStyle name="Финансовый 2 7 3 2" xfId="1081"/>
    <cellStyle name="Финансовый 2 7 4" xfId="1079"/>
    <cellStyle name="Финансовый 2 8" xfId="107"/>
    <cellStyle name="Финансовый 2 8 2" xfId="1082"/>
    <cellStyle name="Финансовый 2 9" xfId="280"/>
    <cellStyle name="Финансовый 2 9 2" xfId="1083"/>
    <cellStyle name="Финансовый 3" xfId="51"/>
    <cellStyle name="Финансовый 3 10" xfId="452"/>
    <cellStyle name="Финансовый 3 10 2" xfId="1085"/>
    <cellStyle name="Финансовый 3 11" xfId="1084"/>
    <cellStyle name="Финансовый 3 2" xfId="126"/>
    <cellStyle name="Финансовый 3 2 2" xfId="262"/>
    <cellStyle name="Финансовый 3 2 2 2" xfId="263"/>
    <cellStyle name="Финансовый 3 2 2 2 2" xfId="435"/>
    <cellStyle name="Финансовый 3 2 2 2 2 2" xfId="1089"/>
    <cellStyle name="Финансовый 3 2 2 2 3" xfId="606"/>
    <cellStyle name="Финансовый 3 2 2 2 3 2" xfId="1090"/>
    <cellStyle name="Финансовый 3 2 2 2 4" xfId="1088"/>
    <cellStyle name="Финансовый 3 2 2 3" xfId="264"/>
    <cellStyle name="Финансовый 3 2 2 3 2" xfId="436"/>
    <cellStyle name="Финансовый 3 2 2 3 2 2" xfId="1092"/>
    <cellStyle name="Финансовый 3 2 2 3 3" xfId="607"/>
    <cellStyle name="Финансовый 3 2 2 3 3 2" xfId="1093"/>
    <cellStyle name="Финансовый 3 2 2 3 4" xfId="1091"/>
    <cellStyle name="Финансовый 3 2 2 4" xfId="434"/>
    <cellStyle name="Финансовый 3 2 2 4 2" xfId="1094"/>
    <cellStyle name="Финансовый 3 2 2 5" xfId="605"/>
    <cellStyle name="Финансовый 3 2 2 5 2" xfId="1095"/>
    <cellStyle name="Финансовый 3 2 2 6" xfId="1087"/>
    <cellStyle name="Финансовый 3 2 3" xfId="265"/>
    <cellStyle name="Финансовый 3 2 3 2" xfId="437"/>
    <cellStyle name="Финансовый 3 2 3 2 2" xfId="1097"/>
    <cellStyle name="Финансовый 3 2 3 3" xfId="608"/>
    <cellStyle name="Финансовый 3 2 3 3 2" xfId="1098"/>
    <cellStyle name="Финансовый 3 2 3 4" xfId="1096"/>
    <cellStyle name="Финансовый 3 2 4" xfId="266"/>
    <cellStyle name="Финансовый 3 2 4 2" xfId="438"/>
    <cellStyle name="Финансовый 3 2 4 2 2" xfId="1100"/>
    <cellStyle name="Финансовый 3 2 4 3" xfId="609"/>
    <cellStyle name="Финансовый 3 2 4 3 2" xfId="1101"/>
    <cellStyle name="Финансовый 3 2 4 4" xfId="1099"/>
    <cellStyle name="Финансовый 3 2 5" xfId="298"/>
    <cellStyle name="Финансовый 3 2 5 2" xfId="1102"/>
    <cellStyle name="Финансовый 3 2 6" xfId="469"/>
    <cellStyle name="Финансовый 3 2 6 2" xfId="1103"/>
    <cellStyle name="Финансовый 3 2 7" xfId="1086"/>
    <cellStyle name="Финансовый 3 3" xfId="119"/>
    <cellStyle name="Финансовый 3 3 2" xfId="267"/>
    <cellStyle name="Финансовый 3 3 2 2" xfId="268"/>
    <cellStyle name="Финансовый 3 3 2 2 2" xfId="440"/>
    <cellStyle name="Финансовый 3 3 2 2 2 2" xfId="1107"/>
    <cellStyle name="Финансовый 3 3 2 2 3" xfId="611"/>
    <cellStyle name="Финансовый 3 3 2 2 3 2" xfId="1108"/>
    <cellStyle name="Финансовый 3 3 2 2 4" xfId="1106"/>
    <cellStyle name="Финансовый 3 3 2 3" xfId="269"/>
    <cellStyle name="Финансовый 3 3 2 3 2" xfId="441"/>
    <cellStyle name="Финансовый 3 3 2 3 2 2" xfId="1110"/>
    <cellStyle name="Финансовый 3 3 2 3 3" xfId="612"/>
    <cellStyle name="Финансовый 3 3 2 3 3 2" xfId="1111"/>
    <cellStyle name="Финансовый 3 3 2 3 4" xfId="1109"/>
    <cellStyle name="Финансовый 3 3 2 4" xfId="439"/>
    <cellStyle name="Финансовый 3 3 2 4 2" xfId="1112"/>
    <cellStyle name="Финансовый 3 3 2 5" xfId="610"/>
    <cellStyle name="Финансовый 3 3 2 5 2" xfId="1113"/>
    <cellStyle name="Финансовый 3 3 2 6" xfId="1105"/>
    <cellStyle name="Финансовый 3 3 3" xfId="270"/>
    <cellStyle name="Финансовый 3 3 3 2" xfId="442"/>
    <cellStyle name="Финансовый 3 3 3 2 2" xfId="1115"/>
    <cellStyle name="Финансовый 3 3 3 3" xfId="613"/>
    <cellStyle name="Финансовый 3 3 3 3 2" xfId="1116"/>
    <cellStyle name="Финансовый 3 3 3 4" xfId="1114"/>
    <cellStyle name="Финансовый 3 3 4" xfId="271"/>
    <cellStyle name="Финансовый 3 3 4 2" xfId="443"/>
    <cellStyle name="Финансовый 3 3 4 2 2" xfId="1118"/>
    <cellStyle name="Финансовый 3 3 4 3" xfId="614"/>
    <cellStyle name="Финансовый 3 3 4 3 2" xfId="1119"/>
    <cellStyle name="Финансовый 3 3 4 4" xfId="1117"/>
    <cellStyle name="Финансовый 3 3 5" xfId="291"/>
    <cellStyle name="Финансовый 3 3 5 2" xfId="1120"/>
    <cellStyle name="Финансовый 3 3 6" xfId="462"/>
    <cellStyle name="Финансовый 3 3 6 2" xfId="1121"/>
    <cellStyle name="Финансовый 3 3 7" xfId="1104"/>
    <cellStyle name="Финансовый 3 4" xfId="272"/>
    <cellStyle name="Финансовый 3 4 2" xfId="273"/>
    <cellStyle name="Финансовый 3 4 2 2" xfId="445"/>
    <cellStyle name="Финансовый 3 4 2 2 2" xfId="1124"/>
    <cellStyle name="Финансовый 3 4 2 3" xfId="616"/>
    <cellStyle name="Финансовый 3 4 2 3 2" xfId="1125"/>
    <cellStyle name="Финансовый 3 4 2 4" xfId="1123"/>
    <cellStyle name="Финансовый 3 4 3" xfId="274"/>
    <cellStyle name="Финансовый 3 4 3 2" xfId="446"/>
    <cellStyle name="Финансовый 3 4 3 2 2" xfId="1127"/>
    <cellStyle name="Финансовый 3 4 3 3" xfId="617"/>
    <cellStyle name="Финансовый 3 4 3 3 2" xfId="1128"/>
    <cellStyle name="Финансовый 3 4 3 4" xfId="1126"/>
    <cellStyle name="Финансовый 3 4 4" xfId="444"/>
    <cellStyle name="Финансовый 3 4 4 2" xfId="1129"/>
    <cellStyle name="Финансовый 3 4 5" xfId="615"/>
    <cellStyle name="Финансовый 3 4 5 2" xfId="1130"/>
    <cellStyle name="Финансовый 3 4 6" xfId="1122"/>
    <cellStyle name="Финансовый 3 5" xfId="275"/>
    <cellStyle name="Финансовый 3 5 2" xfId="447"/>
    <cellStyle name="Финансовый 3 5 2 2" xfId="1132"/>
    <cellStyle name="Финансовый 3 5 3" xfId="618"/>
    <cellStyle name="Финансовый 3 5 3 2" xfId="1133"/>
    <cellStyle name="Финансовый 3 5 4" xfId="1131"/>
    <cellStyle name="Финансовый 3 6" xfId="276"/>
    <cellStyle name="Финансовый 3 6 2" xfId="448"/>
    <cellStyle name="Финансовый 3 6 2 2" xfId="1135"/>
    <cellStyle name="Финансовый 3 6 3" xfId="619"/>
    <cellStyle name="Финансовый 3 6 3 2" xfId="1136"/>
    <cellStyle name="Финансовый 3 6 4" xfId="1134"/>
    <cellStyle name="Финансовый 3 7" xfId="277"/>
    <cellStyle name="Финансовый 3 7 2" xfId="449"/>
    <cellStyle name="Финансовый 3 7 2 2" xfId="1138"/>
    <cellStyle name="Финансовый 3 7 3" xfId="620"/>
    <cellStyle name="Финансовый 3 7 3 2" xfId="1139"/>
    <cellStyle name="Финансовый 3 7 4" xfId="1137"/>
    <cellStyle name="Финансовый 3 8" xfId="108"/>
    <cellStyle name="Финансовый 3 8 2" xfId="1140"/>
    <cellStyle name="Финансовый 3 9" xfId="281"/>
    <cellStyle name="Финансовый 3 9 2" xfId="1141"/>
    <cellStyle name="Финансовый 4" xfId="1025"/>
    <cellStyle name="Хороший" xfId="43" builtinId="26" customBuiltin="1"/>
    <cellStyle name="Хороший 2" xfId="10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89"/>
  <sheetViews>
    <sheetView tabSelected="1" zoomScale="90" zoomScaleNormal="90" zoomScaleSheetLayoutView="80" workbookViewId="0">
      <selection activeCell="U56" sqref="U56"/>
    </sheetView>
  </sheetViews>
  <sheetFormatPr defaultRowHeight="15.75" x14ac:dyDescent="0.25"/>
  <cols>
    <col min="1" max="1" width="10" style="34" customWidth="1"/>
    <col min="2" max="2" width="34.25" style="34" customWidth="1"/>
    <col min="3" max="3" width="13.125" style="34" customWidth="1"/>
    <col min="4" max="5" width="13.375" style="34" customWidth="1"/>
    <col min="6" max="6" width="9" style="34" customWidth="1"/>
    <col min="7" max="7" width="9.125" style="34" customWidth="1"/>
    <col min="8" max="8" width="10.75" style="34" customWidth="1"/>
    <col min="9" max="9" width="11.625" style="34" customWidth="1"/>
    <col min="10" max="10" width="9.375" style="34" customWidth="1"/>
    <col min="11" max="11" width="12.75" style="34" customWidth="1"/>
    <col min="12" max="12" width="9.375" style="34" customWidth="1"/>
    <col min="13" max="13" width="11.875" style="34" customWidth="1"/>
    <col min="14" max="17" width="9.375" style="34" customWidth="1"/>
    <col min="18" max="18" width="7.875" style="34" customWidth="1"/>
    <col min="19" max="19" width="9.75" style="34" customWidth="1"/>
    <col min="20" max="20" width="10.75" style="34" customWidth="1"/>
    <col min="21" max="21" width="10.125" style="34" customWidth="1"/>
    <col min="22" max="22" width="34.75" style="34" customWidth="1"/>
    <col min="23" max="23" width="10.875" style="1" customWidth="1"/>
    <col min="24" max="24" width="13.25" style="1" customWidth="1"/>
    <col min="25" max="26" width="10.625" style="1" customWidth="1"/>
    <col min="27" max="27" width="12.125" style="1" customWidth="1"/>
    <col min="28" max="28" width="10.625" style="1" customWidth="1"/>
    <col min="29" max="29" width="22.75" style="1" customWidth="1"/>
    <col min="30" max="67" width="10.625" style="1" customWidth="1"/>
    <col min="68" max="68" width="12.125" style="1" customWidth="1"/>
    <col min="69" max="69" width="11.5" style="1" customWidth="1"/>
    <col min="70" max="70" width="14.125" style="1" customWidth="1"/>
    <col min="71" max="71" width="15.125" style="1" customWidth="1"/>
    <col min="72" max="72" width="13" style="1" customWidth="1"/>
    <col min="73" max="73" width="11.75" style="1" customWidth="1"/>
    <col min="74" max="74" width="17.5" style="1" customWidth="1"/>
    <col min="75" max="16384" width="9" style="1"/>
  </cols>
  <sheetData>
    <row r="1" spans="1:28" ht="24.75" customHeight="1" x14ac:dyDescent="0.25">
      <c r="K1" s="75"/>
      <c r="V1" s="35" t="s">
        <v>10</v>
      </c>
    </row>
    <row r="2" spans="1:28" ht="28.5" customHeight="1" x14ac:dyDescent="0.25">
      <c r="K2" s="75"/>
      <c r="V2" s="36" t="s">
        <v>0</v>
      </c>
    </row>
    <row r="3" spans="1:28" ht="25.5" customHeight="1" x14ac:dyDescent="0.25">
      <c r="V3" s="36" t="s">
        <v>46</v>
      </c>
    </row>
    <row r="4" spans="1:28" s="2" customFormat="1" ht="24" customHeight="1" x14ac:dyDescent="0.3">
      <c r="A4" s="106" t="s">
        <v>45</v>
      </c>
      <c r="B4" s="106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  <c r="V4" s="106"/>
      <c r="W4" s="5"/>
      <c r="X4" s="5"/>
      <c r="Y4" s="5"/>
      <c r="Z4" s="5"/>
      <c r="AA4" s="5"/>
    </row>
    <row r="5" spans="1:28" s="2" customFormat="1" ht="25.5" customHeight="1" x14ac:dyDescent="0.3">
      <c r="A5" s="107" t="s">
        <v>720</v>
      </c>
      <c r="B5" s="107"/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107"/>
      <c r="T5" s="107"/>
      <c r="U5" s="107"/>
      <c r="V5" s="107"/>
      <c r="W5" s="6"/>
      <c r="X5" s="6"/>
      <c r="Y5" s="6"/>
      <c r="Z5" s="6"/>
      <c r="AA5" s="6"/>
      <c r="AB5" s="6"/>
    </row>
    <row r="6" spans="1:28" s="2" customFormat="1" ht="24" customHeight="1" x14ac:dyDescent="0.3">
      <c r="A6" s="65"/>
      <c r="B6" s="65"/>
      <c r="C6" s="65"/>
      <c r="D6" s="65"/>
      <c r="E6" s="65"/>
      <c r="F6" s="65"/>
      <c r="G6" s="65"/>
      <c r="H6" s="70"/>
      <c r="I6" s="70"/>
      <c r="J6" s="73"/>
      <c r="K6" s="73"/>
      <c r="L6" s="73"/>
      <c r="M6" s="73"/>
      <c r="N6" s="70"/>
      <c r="O6" s="70"/>
      <c r="P6" s="70"/>
      <c r="Q6" s="70"/>
      <c r="R6" s="65"/>
      <c r="S6" s="65"/>
      <c r="T6" s="65"/>
      <c r="U6" s="65"/>
      <c r="V6" s="65"/>
      <c r="W6" s="7"/>
      <c r="X6" s="7"/>
      <c r="Y6" s="7"/>
      <c r="Z6" s="7"/>
      <c r="AA6" s="7"/>
    </row>
    <row r="7" spans="1:28" s="2" customFormat="1" ht="24" customHeight="1" x14ac:dyDescent="0.3">
      <c r="A7" s="107" t="s">
        <v>330</v>
      </c>
      <c r="B7" s="107"/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07"/>
      <c r="P7" s="107"/>
      <c r="Q7" s="107"/>
      <c r="R7" s="107"/>
      <c r="S7" s="107"/>
      <c r="T7" s="107"/>
      <c r="U7" s="107"/>
      <c r="V7" s="107"/>
      <c r="W7" s="6"/>
      <c r="X7" s="6"/>
      <c r="Y7" s="6"/>
      <c r="Z7" s="6"/>
      <c r="AA7" s="6"/>
    </row>
    <row r="8" spans="1:28" ht="22.5" customHeight="1" x14ac:dyDescent="0.25">
      <c r="A8" s="108" t="s">
        <v>16</v>
      </c>
      <c r="B8" s="108"/>
      <c r="C8" s="108"/>
      <c r="D8" s="108"/>
      <c r="E8" s="108"/>
      <c r="F8" s="108"/>
      <c r="G8" s="108"/>
      <c r="H8" s="108"/>
      <c r="I8" s="108"/>
      <c r="J8" s="108"/>
      <c r="K8" s="108"/>
      <c r="L8" s="108"/>
      <c r="M8" s="108"/>
      <c r="N8" s="108"/>
      <c r="O8" s="108"/>
      <c r="P8" s="108"/>
      <c r="Q8" s="108"/>
      <c r="R8" s="108"/>
      <c r="S8" s="108"/>
      <c r="T8" s="108"/>
      <c r="U8" s="108"/>
      <c r="V8" s="108"/>
      <c r="W8" s="3"/>
      <c r="X8" s="3"/>
      <c r="Y8" s="3"/>
      <c r="Z8" s="3"/>
      <c r="AA8" s="3"/>
    </row>
    <row r="9" spans="1:28" ht="24" customHeight="1" x14ac:dyDescent="0.25">
      <c r="A9" s="66"/>
      <c r="B9" s="66"/>
      <c r="C9" s="66"/>
      <c r="D9" s="66"/>
      <c r="E9" s="66"/>
      <c r="F9" s="66"/>
      <c r="G9" s="66"/>
      <c r="H9" s="71"/>
      <c r="I9" s="71"/>
      <c r="J9" s="74"/>
      <c r="K9" s="74"/>
      <c r="L9" s="74"/>
      <c r="M9" s="76"/>
      <c r="N9" s="71"/>
      <c r="O9" s="71"/>
      <c r="P9" s="71"/>
      <c r="Q9" s="71"/>
      <c r="R9" s="66"/>
      <c r="S9" s="66"/>
      <c r="T9" s="66"/>
      <c r="U9" s="66"/>
      <c r="V9" s="66"/>
      <c r="W9" s="4"/>
      <c r="X9" s="4"/>
      <c r="Y9" s="4"/>
      <c r="Z9" s="4"/>
      <c r="AA9" s="4"/>
    </row>
    <row r="10" spans="1:28" ht="22.5" customHeight="1" x14ac:dyDescent="0.3">
      <c r="A10" s="109" t="s">
        <v>331</v>
      </c>
      <c r="B10" s="109"/>
      <c r="C10" s="109"/>
      <c r="D10" s="109"/>
      <c r="E10" s="109"/>
      <c r="F10" s="109"/>
      <c r="G10" s="109"/>
      <c r="H10" s="109"/>
      <c r="I10" s="109"/>
      <c r="J10" s="109"/>
      <c r="K10" s="109"/>
      <c r="L10" s="109"/>
      <c r="M10" s="109"/>
      <c r="N10" s="109"/>
      <c r="O10" s="109"/>
      <c r="P10" s="109"/>
      <c r="Q10" s="109"/>
      <c r="R10" s="109"/>
      <c r="S10" s="109"/>
      <c r="T10" s="109"/>
      <c r="U10" s="109"/>
      <c r="V10" s="109"/>
      <c r="W10" s="8"/>
      <c r="X10" s="8"/>
      <c r="Y10" s="8"/>
      <c r="Z10" s="8"/>
      <c r="AA10" s="8"/>
    </row>
    <row r="11" spans="1:28" ht="26.25" customHeight="1" x14ac:dyDescent="0.25">
      <c r="A11" s="81"/>
      <c r="B11" s="81"/>
      <c r="C11" s="81"/>
      <c r="D11" s="81"/>
      <c r="E11" s="81"/>
      <c r="F11" s="81"/>
      <c r="G11" s="81"/>
      <c r="H11" s="81"/>
      <c r="I11" s="81"/>
      <c r="J11" s="81"/>
      <c r="K11" s="81"/>
      <c r="L11" s="81"/>
      <c r="M11" s="81"/>
      <c r="N11" s="81"/>
      <c r="O11" s="81"/>
      <c r="P11" s="81"/>
      <c r="Q11" s="81"/>
      <c r="R11" s="81"/>
      <c r="S11" s="81"/>
      <c r="T11" s="81"/>
      <c r="U11" s="81"/>
      <c r="V11" s="81"/>
      <c r="W11" s="9"/>
      <c r="X11" s="9"/>
      <c r="Y11" s="9"/>
      <c r="Z11" s="9"/>
    </row>
    <row r="12" spans="1:28" ht="130.5" customHeight="1" x14ac:dyDescent="0.25">
      <c r="A12" s="78" t="s">
        <v>11</v>
      </c>
      <c r="B12" s="82" t="s">
        <v>8</v>
      </c>
      <c r="C12" s="82" t="s">
        <v>2</v>
      </c>
      <c r="D12" s="93" t="s">
        <v>47</v>
      </c>
      <c r="E12" s="93" t="s">
        <v>332</v>
      </c>
      <c r="F12" s="82" t="s">
        <v>333</v>
      </c>
      <c r="G12" s="82"/>
      <c r="H12" s="87" t="s">
        <v>334</v>
      </c>
      <c r="I12" s="88"/>
      <c r="J12" s="88"/>
      <c r="K12" s="88"/>
      <c r="L12" s="88"/>
      <c r="M12" s="88"/>
      <c r="N12" s="88"/>
      <c r="O12" s="88"/>
      <c r="P12" s="88"/>
      <c r="Q12" s="89"/>
      <c r="R12" s="82" t="s">
        <v>49</v>
      </c>
      <c r="S12" s="82"/>
      <c r="T12" s="83" t="s">
        <v>44</v>
      </c>
      <c r="U12" s="84"/>
      <c r="V12" s="78" t="s">
        <v>3</v>
      </c>
    </row>
    <row r="13" spans="1:28" ht="35.25" customHeight="1" x14ac:dyDescent="0.25">
      <c r="A13" s="79"/>
      <c r="B13" s="82"/>
      <c r="C13" s="82"/>
      <c r="D13" s="94"/>
      <c r="E13" s="94"/>
      <c r="F13" s="96" t="s">
        <v>1</v>
      </c>
      <c r="G13" s="96" t="s">
        <v>7</v>
      </c>
      <c r="H13" s="82" t="s">
        <v>6</v>
      </c>
      <c r="I13" s="82"/>
      <c r="J13" s="82" t="s">
        <v>12</v>
      </c>
      <c r="K13" s="82"/>
      <c r="L13" s="82" t="s">
        <v>13</v>
      </c>
      <c r="M13" s="82"/>
      <c r="N13" s="83" t="s">
        <v>14</v>
      </c>
      <c r="O13" s="84"/>
      <c r="P13" s="83" t="s">
        <v>15</v>
      </c>
      <c r="Q13" s="84"/>
      <c r="R13" s="96" t="s">
        <v>1</v>
      </c>
      <c r="S13" s="96" t="s">
        <v>7</v>
      </c>
      <c r="T13" s="110"/>
      <c r="U13" s="111"/>
      <c r="V13" s="79"/>
    </row>
    <row r="14" spans="1:28" ht="35.25" customHeight="1" x14ac:dyDescent="0.25">
      <c r="A14" s="79"/>
      <c r="B14" s="82"/>
      <c r="C14" s="82"/>
      <c r="D14" s="94"/>
      <c r="E14" s="94"/>
      <c r="F14" s="96"/>
      <c r="G14" s="96"/>
      <c r="H14" s="82"/>
      <c r="I14" s="82"/>
      <c r="J14" s="82"/>
      <c r="K14" s="82"/>
      <c r="L14" s="82"/>
      <c r="M14" s="82"/>
      <c r="N14" s="85"/>
      <c r="O14" s="86"/>
      <c r="P14" s="85"/>
      <c r="Q14" s="86"/>
      <c r="R14" s="96"/>
      <c r="S14" s="96"/>
      <c r="T14" s="85"/>
      <c r="U14" s="86"/>
      <c r="V14" s="79"/>
    </row>
    <row r="15" spans="1:28" ht="65.25" customHeight="1" x14ac:dyDescent="0.25">
      <c r="A15" s="80"/>
      <c r="B15" s="82"/>
      <c r="C15" s="82"/>
      <c r="D15" s="95"/>
      <c r="E15" s="95"/>
      <c r="F15" s="96"/>
      <c r="G15" s="96"/>
      <c r="H15" s="68" t="s">
        <v>5</v>
      </c>
      <c r="I15" s="68" t="s">
        <v>9</v>
      </c>
      <c r="J15" s="72" t="s">
        <v>5</v>
      </c>
      <c r="K15" s="72" t="s">
        <v>9</v>
      </c>
      <c r="L15" s="72" t="s">
        <v>5</v>
      </c>
      <c r="M15" s="72" t="s">
        <v>9</v>
      </c>
      <c r="N15" s="69" t="s">
        <v>5</v>
      </c>
      <c r="O15" s="69" t="s">
        <v>9</v>
      </c>
      <c r="P15" s="69" t="s">
        <v>5</v>
      </c>
      <c r="Q15" s="69" t="s">
        <v>9</v>
      </c>
      <c r="R15" s="96"/>
      <c r="S15" s="96"/>
      <c r="T15" s="64" t="s">
        <v>48</v>
      </c>
      <c r="U15" s="64" t="s">
        <v>4</v>
      </c>
      <c r="V15" s="80"/>
    </row>
    <row r="16" spans="1:28" ht="20.25" customHeight="1" x14ac:dyDescent="0.25">
      <c r="A16" s="63">
        <v>1</v>
      </c>
      <c r="B16" s="63">
        <f>A16+1</f>
        <v>2</v>
      </c>
      <c r="C16" s="63">
        <f t="shared" ref="C16:D16" si="0">B16+1</f>
        <v>3</v>
      </c>
      <c r="D16" s="63">
        <f t="shared" si="0"/>
        <v>4</v>
      </c>
      <c r="E16" s="39">
        <f>D16+1</f>
        <v>5</v>
      </c>
      <c r="F16" s="63">
        <f t="shared" ref="F16" si="1">E16+1</f>
        <v>6</v>
      </c>
      <c r="G16" s="39">
        <f t="shared" ref="G16" si="2">F16+1</f>
        <v>7</v>
      </c>
      <c r="H16" s="68">
        <f>G16+1</f>
        <v>8</v>
      </c>
      <c r="I16" s="39">
        <f>H16+1</f>
        <v>9</v>
      </c>
      <c r="J16" s="72">
        <f>I16+1</f>
        <v>10</v>
      </c>
      <c r="K16" s="39">
        <f>J16+1</f>
        <v>11</v>
      </c>
      <c r="L16" s="72">
        <f t="shared" ref="L16" si="3">K16+1</f>
        <v>12</v>
      </c>
      <c r="M16" s="39">
        <f t="shared" ref="M16" si="4">L16+1</f>
        <v>13</v>
      </c>
      <c r="N16" s="68">
        <f t="shared" ref="N16" si="5">M16+1</f>
        <v>14</v>
      </c>
      <c r="O16" s="39">
        <f t="shared" ref="O16" si="6">N16+1</f>
        <v>15</v>
      </c>
      <c r="P16" s="68">
        <f t="shared" ref="P16" si="7">O16+1</f>
        <v>16</v>
      </c>
      <c r="Q16" s="39">
        <f t="shared" ref="Q16" si="8">P16+1</f>
        <v>17</v>
      </c>
      <c r="R16" s="63">
        <f t="shared" ref="R16" si="9">Q16+1</f>
        <v>18</v>
      </c>
      <c r="S16" s="39">
        <f t="shared" ref="S16" si="10">R16+1</f>
        <v>19</v>
      </c>
      <c r="T16" s="63">
        <f t="shared" ref="T16" si="11">S16+1</f>
        <v>20</v>
      </c>
      <c r="U16" s="39">
        <f t="shared" ref="U16" si="12">T16+1</f>
        <v>21</v>
      </c>
      <c r="V16" s="63">
        <f t="shared" ref="V16" si="13">U16+1</f>
        <v>22</v>
      </c>
    </row>
    <row r="17" spans="1:22" ht="28.5" x14ac:dyDescent="0.25">
      <c r="A17" s="10" t="s">
        <v>51</v>
      </c>
      <c r="B17" s="11" t="s">
        <v>17</v>
      </c>
      <c r="C17" s="12" t="s">
        <v>52</v>
      </c>
      <c r="D17" s="49">
        <v>34.733845630378994</v>
      </c>
      <c r="E17" s="49">
        <f>E18+E19+E20+E21+E22+E23</f>
        <v>56.503586196000001</v>
      </c>
      <c r="F17" s="44" t="s">
        <v>50</v>
      </c>
      <c r="G17" s="49">
        <f>H17</f>
        <v>297.81601864278684</v>
      </c>
      <c r="H17" s="49">
        <f>J17+L17+N17+P17</f>
        <v>297.81601864278684</v>
      </c>
      <c r="I17" s="49">
        <f>K17+M17</f>
        <v>73.63115547999999</v>
      </c>
      <c r="J17" s="49">
        <v>15.611173139813559</v>
      </c>
      <c r="K17" s="49">
        <f>K18+K19+K20+K21+K22+K23</f>
        <v>43.623718589999996</v>
      </c>
      <c r="L17" s="49">
        <v>127.00266346015495</v>
      </c>
      <c r="M17" s="44">
        <f>M18+M19+M20+M21+M22+M23</f>
        <v>30.007436889999997</v>
      </c>
      <c r="N17" s="49">
        <v>91.929264022460004</v>
      </c>
      <c r="O17" s="44" t="s">
        <v>50</v>
      </c>
      <c r="P17" s="49">
        <v>63.272918020358333</v>
      </c>
      <c r="Q17" s="44" t="s">
        <v>50</v>
      </c>
      <c r="R17" s="44" t="s">
        <v>50</v>
      </c>
      <c r="S17" s="49">
        <f t="shared" ref="S17:S80" si="14">G17-I17</f>
        <v>224.18486316278685</v>
      </c>
      <c r="T17" s="49">
        <f>(K17+M17)-(J17+L17)</f>
        <v>-68.982681119968532</v>
      </c>
      <c r="U17" s="37">
        <f>(K17+M17)/(J17+L17)*100-100</f>
        <v>-48.370258289498793</v>
      </c>
      <c r="V17" s="38" t="s">
        <v>50</v>
      </c>
    </row>
    <row r="18" spans="1:22" ht="28.5" x14ac:dyDescent="0.25">
      <c r="A18" s="10" t="s">
        <v>53</v>
      </c>
      <c r="B18" s="11" t="s">
        <v>54</v>
      </c>
      <c r="C18" s="12" t="s">
        <v>52</v>
      </c>
      <c r="D18" s="49">
        <v>14.480973987574979</v>
      </c>
      <c r="E18" s="49">
        <f>E25</f>
        <v>47.874384720000002</v>
      </c>
      <c r="F18" s="44" t="s">
        <v>50</v>
      </c>
      <c r="G18" s="49">
        <f t="shared" ref="G18:G136" si="15">H18</f>
        <v>98.013090161106788</v>
      </c>
      <c r="H18" s="49">
        <f t="shared" ref="H18:H136" si="16">J18+L18+N18+P18</f>
        <v>98.013090161106788</v>
      </c>
      <c r="I18" s="49">
        <f t="shared" ref="I18:I80" si="17">K18+M18</f>
        <v>29.674158030000001</v>
      </c>
      <c r="J18" s="49">
        <v>6.8272772810000006</v>
      </c>
      <c r="K18" s="49">
        <f>K25</f>
        <v>12.51622899</v>
      </c>
      <c r="L18" s="49">
        <v>27.017183298460004</v>
      </c>
      <c r="M18" s="44">
        <f>M25</f>
        <v>17.157929039999999</v>
      </c>
      <c r="N18" s="49">
        <v>27.017183298460004</v>
      </c>
      <c r="O18" s="44" t="s">
        <v>50</v>
      </c>
      <c r="P18" s="49">
        <f>P25</f>
        <v>37.151446283186786</v>
      </c>
      <c r="Q18" s="44" t="s">
        <v>50</v>
      </c>
      <c r="R18" s="44" t="s">
        <v>50</v>
      </c>
      <c r="S18" s="49">
        <f t="shared" si="14"/>
        <v>68.338932131106787</v>
      </c>
      <c r="T18" s="49">
        <f t="shared" ref="T18:T81" si="18">(K18+M18)-(J18+L18)</f>
        <v>-4.1703025494600041</v>
      </c>
      <c r="U18" s="37">
        <f t="shared" ref="U18:U55" si="19">(K18+M18)/(J18+L18)*100-100</f>
        <v>-12.321964888963052</v>
      </c>
      <c r="V18" s="38" t="s">
        <v>50</v>
      </c>
    </row>
    <row r="19" spans="1:22" ht="28.5" x14ac:dyDescent="0.25">
      <c r="A19" s="10" t="s">
        <v>55</v>
      </c>
      <c r="B19" s="11" t="s">
        <v>56</v>
      </c>
      <c r="C19" s="12" t="s">
        <v>52</v>
      </c>
      <c r="D19" s="49">
        <v>16.520314779488359</v>
      </c>
      <c r="E19" s="49">
        <f>E149</f>
        <v>6.7060424879999996</v>
      </c>
      <c r="F19" s="44" t="s">
        <v>50</v>
      </c>
      <c r="G19" s="49">
        <f t="shared" si="15"/>
        <v>144.67234544213562</v>
      </c>
      <c r="H19" s="49">
        <f t="shared" si="16"/>
        <v>144.67234544213562</v>
      </c>
      <c r="I19" s="49">
        <f t="shared" si="17"/>
        <v>31.618125219999996</v>
      </c>
      <c r="J19" s="49">
        <v>7.0209631613559322</v>
      </c>
      <c r="K19" s="49">
        <f>K149</f>
        <v>21.489658899999998</v>
      </c>
      <c r="L19" s="49">
        <v>76.049340292203397</v>
      </c>
      <c r="M19" s="44">
        <f>M149</f>
        <v>10.128466319999998</v>
      </c>
      <c r="N19" s="49">
        <v>38.919446434508487</v>
      </c>
      <c r="O19" s="44" t="s">
        <v>50</v>
      </c>
      <c r="P19" s="49">
        <f>P149</f>
        <v>22.682595554067799</v>
      </c>
      <c r="Q19" s="44" t="s">
        <v>50</v>
      </c>
      <c r="R19" s="44" t="s">
        <v>50</v>
      </c>
      <c r="S19" s="49">
        <f t="shared" si="14"/>
        <v>113.05422022213563</v>
      </c>
      <c r="T19" s="49">
        <f t="shared" si="18"/>
        <v>-51.452178233559337</v>
      </c>
      <c r="U19" s="37">
        <f t="shared" si="19"/>
        <v>-61.938112772543093</v>
      </c>
      <c r="V19" s="38" t="s">
        <v>50</v>
      </c>
    </row>
    <row r="20" spans="1:22" ht="71.25" x14ac:dyDescent="0.25">
      <c r="A20" s="10" t="s">
        <v>57</v>
      </c>
      <c r="B20" s="11" t="s">
        <v>58</v>
      </c>
      <c r="C20" s="12" t="s">
        <v>52</v>
      </c>
      <c r="D20" s="49">
        <v>0</v>
      </c>
      <c r="E20" s="49">
        <f>E333</f>
        <v>0</v>
      </c>
      <c r="F20" s="44" t="s">
        <v>50</v>
      </c>
      <c r="G20" s="49">
        <f t="shared" si="15"/>
        <v>0</v>
      </c>
      <c r="H20" s="49">
        <f t="shared" si="16"/>
        <v>0</v>
      </c>
      <c r="I20" s="49">
        <f t="shared" si="17"/>
        <v>0</v>
      </c>
      <c r="J20" s="49">
        <v>0</v>
      </c>
      <c r="K20" s="49">
        <f>K333</f>
        <v>0</v>
      </c>
      <c r="L20" s="49">
        <v>0</v>
      </c>
      <c r="M20" s="44">
        <f>M333</f>
        <v>0</v>
      </c>
      <c r="N20" s="49">
        <v>0</v>
      </c>
      <c r="O20" s="44" t="s">
        <v>50</v>
      </c>
      <c r="P20" s="49">
        <v>0</v>
      </c>
      <c r="Q20" s="44" t="s">
        <v>50</v>
      </c>
      <c r="R20" s="44" t="s">
        <v>50</v>
      </c>
      <c r="S20" s="49">
        <f t="shared" si="14"/>
        <v>0</v>
      </c>
      <c r="T20" s="49">
        <f t="shared" si="18"/>
        <v>0</v>
      </c>
      <c r="U20" s="37">
        <v>0</v>
      </c>
      <c r="V20" s="38" t="s">
        <v>50</v>
      </c>
    </row>
    <row r="21" spans="1:22" ht="42.75" x14ac:dyDescent="0.25">
      <c r="A21" s="10" t="s">
        <v>59</v>
      </c>
      <c r="B21" s="11" t="s">
        <v>60</v>
      </c>
      <c r="C21" s="12" t="s">
        <v>52</v>
      </c>
      <c r="D21" s="49">
        <v>3.7325568633156565</v>
      </c>
      <c r="E21" s="49">
        <f>E336</f>
        <v>1.1462098439999999</v>
      </c>
      <c r="F21" s="44" t="s">
        <v>50</v>
      </c>
      <c r="G21" s="49">
        <f t="shared" si="15"/>
        <v>28.465893039544426</v>
      </c>
      <c r="H21" s="49">
        <f t="shared" si="16"/>
        <v>28.465893039544426</v>
      </c>
      <c r="I21" s="49">
        <f t="shared" si="17"/>
        <v>3.7248598100000003</v>
      </c>
      <c r="J21" s="49">
        <v>1.7629326974576274</v>
      </c>
      <c r="K21" s="49">
        <f>K336</f>
        <v>0.86449767</v>
      </c>
      <c r="L21" s="49">
        <v>4.3464498694915257</v>
      </c>
      <c r="M21" s="44">
        <f>M336</f>
        <v>2.8603621400000003</v>
      </c>
      <c r="N21" s="49">
        <v>18.917634289491527</v>
      </c>
      <c r="O21" s="44" t="s">
        <v>50</v>
      </c>
      <c r="P21" s="49">
        <v>3.4388761831037424</v>
      </c>
      <c r="Q21" s="44" t="s">
        <v>50</v>
      </c>
      <c r="R21" s="44" t="s">
        <v>50</v>
      </c>
      <c r="S21" s="49">
        <f t="shared" si="14"/>
        <v>24.741033229544424</v>
      </c>
      <c r="T21" s="49">
        <f t="shared" si="18"/>
        <v>-2.3845227569491523</v>
      </c>
      <c r="U21" s="37">
        <f t="shared" si="19"/>
        <v>-39.030503177998121</v>
      </c>
      <c r="V21" s="38" t="s">
        <v>50</v>
      </c>
    </row>
    <row r="22" spans="1:22" ht="42.75" x14ac:dyDescent="0.25">
      <c r="A22" s="10" t="s">
        <v>61</v>
      </c>
      <c r="B22" s="11" t="s">
        <v>62</v>
      </c>
      <c r="C22" s="12" t="s">
        <v>52</v>
      </c>
      <c r="D22" s="49">
        <v>0</v>
      </c>
      <c r="E22" s="49">
        <f>E382</f>
        <v>0</v>
      </c>
      <c r="F22" s="44" t="s">
        <v>50</v>
      </c>
      <c r="G22" s="49">
        <f t="shared" si="15"/>
        <v>0</v>
      </c>
      <c r="H22" s="49">
        <f t="shared" si="16"/>
        <v>0</v>
      </c>
      <c r="I22" s="49">
        <f t="shared" si="17"/>
        <v>0</v>
      </c>
      <c r="J22" s="49">
        <v>0</v>
      </c>
      <c r="K22" s="49">
        <f>K382</f>
        <v>0</v>
      </c>
      <c r="L22" s="49">
        <v>0</v>
      </c>
      <c r="M22" s="44">
        <f>M382</f>
        <v>0</v>
      </c>
      <c r="N22" s="49">
        <v>0</v>
      </c>
      <c r="O22" s="44" t="s">
        <v>50</v>
      </c>
      <c r="P22" s="49">
        <v>0</v>
      </c>
      <c r="Q22" s="44" t="s">
        <v>50</v>
      </c>
      <c r="R22" s="44" t="s">
        <v>50</v>
      </c>
      <c r="S22" s="49">
        <f t="shared" si="14"/>
        <v>0</v>
      </c>
      <c r="T22" s="49">
        <f t="shared" si="18"/>
        <v>0</v>
      </c>
      <c r="U22" s="37">
        <v>0</v>
      </c>
      <c r="V22" s="38" t="s">
        <v>50</v>
      </c>
    </row>
    <row r="23" spans="1:22" ht="28.5" x14ac:dyDescent="0.25">
      <c r="A23" s="10" t="s">
        <v>63</v>
      </c>
      <c r="B23" s="11" t="s">
        <v>64</v>
      </c>
      <c r="C23" s="12" t="s">
        <v>52</v>
      </c>
      <c r="D23" s="49">
        <v>0</v>
      </c>
      <c r="E23" s="49">
        <f>E383</f>
        <v>0.77694914399999992</v>
      </c>
      <c r="F23" s="44" t="s">
        <v>50</v>
      </c>
      <c r="G23" s="49">
        <f t="shared" si="15"/>
        <v>26.66469</v>
      </c>
      <c r="H23" s="49">
        <f t="shared" si="16"/>
        <v>26.66469</v>
      </c>
      <c r="I23" s="49">
        <f t="shared" si="17"/>
        <v>8.6140124199999999</v>
      </c>
      <c r="J23" s="49">
        <v>0</v>
      </c>
      <c r="K23" s="49">
        <f>K383</f>
        <v>8.7533330300000003</v>
      </c>
      <c r="L23" s="49">
        <v>19.589690000000001</v>
      </c>
      <c r="M23" s="44">
        <f>M383</f>
        <v>-0.13932061000000001</v>
      </c>
      <c r="N23" s="49">
        <v>7.0750000000000002</v>
      </c>
      <c r="O23" s="44" t="s">
        <v>50</v>
      </c>
      <c r="P23" s="49">
        <v>0</v>
      </c>
      <c r="Q23" s="44" t="s">
        <v>50</v>
      </c>
      <c r="R23" s="44" t="s">
        <v>50</v>
      </c>
      <c r="S23" s="49">
        <f t="shared" si="14"/>
        <v>18.050677579999999</v>
      </c>
      <c r="T23" s="49">
        <f t="shared" si="18"/>
        <v>-10.975677580000001</v>
      </c>
      <c r="U23" s="37">
        <f t="shared" si="19"/>
        <v>-56.027826780311486</v>
      </c>
      <c r="V23" s="38" t="s">
        <v>50</v>
      </c>
    </row>
    <row r="24" spans="1:22" x14ac:dyDescent="0.25">
      <c r="A24" s="10" t="s">
        <v>65</v>
      </c>
      <c r="B24" s="11" t="s">
        <v>66</v>
      </c>
      <c r="C24" s="12" t="s">
        <v>52</v>
      </c>
      <c r="D24" s="49">
        <v>0</v>
      </c>
      <c r="E24" s="49">
        <v>0</v>
      </c>
      <c r="F24" s="44" t="s">
        <v>50</v>
      </c>
      <c r="G24" s="49">
        <f t="shared" si="15"/>
        <v>0</v>
      </c>
      <c r="H24" s="49">
        <f t="shared" si="16"/>
        <v>0</v>
      </c>
      <c r="I24" s="49">
        <f t="shared" si="17"/>
        <v>0</v>
      </c>
      <c r="J24" s="44">
        <v>0</v>
      </c>
      <c r="K24" s="44">
        <v>0</v>
      </c>
      <c r="L24" s="44">
        <v>0</v>
      </c>
      <c r="M24" s="44">
        <v>0</v>
      </c>
      <c r="N24" s="44">
        <v>0</v>
      </c>
      <c r="O24" s="44" t="s">
        <v>50</v>
      </c>
      <c r="P24" s="44">
        <v>0</v>
      </c>
      <c r="Q24" s="44" t="s">
        <v>50</v>
      </c>
      <c r="R24" s="44" t="s">
        <v>50</v>
      </c>
      <c r="S24" s="49">
        <f t="shared" si="14"/>
        <v>0</v>
      </c>
      <c r="T24" s="49">
        <f t="shared" si="18"/>
        <v>0</v>
      </c>
      <c r="U24" s="37">
        <v>0</v>
      </c>
      <c r="V24" s="38" t="s">
        <v>50</v>
      </c>
    </row>
    <row r="25" spans="1:22" ht="28.5" x14ac:dyDescent="0.25">
      <c r="A25" s="10" t="s">
        <v>18</v>
      </c>
      <c r="B25" s="13" t="s">
        <v>67</v>
      </c>
      <c r="C25" s="14" t="s">
        <v>52</v>
      </c>
      <c r="D25" s="49">
        <v>14.480973987574979</v>
      </c>
      <c r="E25" s="49">
        <f>E26+E93+E96+E105</f>
        <v>47.874384720000002</v>
      </c>
      <c r="F25" s="44" t="s">
        <v>50</v>
      </c>
      <c r="G25" s="49">
        <f t="shared" si="15"/>
        <v>98.013090161106788</v>
      </c>
      <c r="H25" s="49">
        <f t="shared" si="16"/>
        <v>98.013090161106788</v>
      </c>
      <c r="I25" s="49">
        <f t="shared" si="17"/>
        <v>29.674158030000001</v>
      </c>
      <c r="J25" s="49">
        <v>6.8272772810000006</v>
      </c>
      <c r="K25" s="49">
        <f>K26+K93+K96+K105</f>
        <v>12.51622899</v>
      </c>
      <c r="L25" s="49">
        <v>27.017183298460004</v>
      </c>
      <c r="M25" s="44">
        <f>M26+M93+M96+M105</f>
        <v>17.157929039999999</v>
      </c>
      <c r="N25" s="49">
        <v>27.017183298460004</v>
      </c>
      <c r="O25" s="44" t="s">
        <v>50</v>
      </c>
      <c r="P25" s="49">
        <f>P26+P105</f>
        <v>37.151446283186786</v>
      </c>
      <c r="Q25" s="44" t="s">
        <v>50</v>
      </c>
      <c r="R25" s="44" t="s">
        <v>50</v>
      </c>
      <c r="S25" s="49">
        <f t="shared" si="14"/>
        <v>68.338932131106787</v>
      </c>
      <c r="T25" s="49">
        <f t="shared" si="18"/>
        <v>-4.1703025494600041</v>
      </c>
      <c r="U25" s="37">
        <f t="shared" si="19"/>
        <v>-12.321964888963052</v>
      </c>
      <c r="V25" s="90" t="s">
        <v>716</v>
      </c>
    </row>
    <row r="26" spans="1:22" ht="42.75" x14ac:dyDescent="0.25">
      <c r="A26" s="10" t="s">
        <v>19</v>
      </c>
      <c r="B26" s="13" t="s">
        <v>68</v>
      </c>
      <c r="C26" s="14" t="s">
        <v>52</v>
      </c>
      <c r="D26" s="49">
        <v>13.671825</v>
      </c>
      <c r="E26" s="49">
        <f>E27++E43+E59</f>
        <v>47.737404900000001</v>
      </c>
      <c r="F26" s="44" t="s">
        <v>50</v>
      </c>
      <c r="G26" s="49">
        <f t="shared" si="15"/>
        <v>92.284818642786803</v>
      </c>
      <c r="H26" s="49">
        <f t="shared" si="16"/>
        <v>92.284818642786803</v>
      </c>
      <c r="I26" s="49">
        <f t="shared" si="17"/>
        <v>28.773314360000001</v>
      </c>
      <c r="J26" s="49">
        <v>6.7014768830000007</v>
      </c>
      <c r="K26" s="49">
        <f>K27++K43+K59</f>
        <v>11.867591040000001</v>
      </c>
      <c r="L26" s="49">
        <v>27.017183298460004</v>
      </c>
      <c r="M26" s="44">
        <f>M27++M43+M59</f>
        <v>16.90572332</v>
      </c>
      <c r="N26" s="49">
        <v>27.017183298460004</v>
      </c>
      <c r="O26" s="44" t="s">
        <v>50</v>
      </c>
      <c r="P26" s="49">
        <v>31.548975162866789</v>
      </c>
      <c r="Q26" s="44" t="s">
        <v>50</v>
      </c>
      <c r="R26" s="44" t="s">
        <v>50</v>
      </c>
      <c r="S26" s="49">
        <f t="shared" si="14"/>
        <v>63.511504282786802</v>
      </c>
      <c r="T26" s="49">
        <f t="shared" si="18"/>
        <v>-4.9453458214600019</v>
      </c>
      <c r="U26" s="37">
        <f t="shared" si="19"/>
        <v>-14.666495628373667</v>
      </c>
      <c r="V26" s="91"/>
    </row>
    <row r="27" spans="1:22" ht="71.25" x14ac:dyDescent="0.25">
      <c r="A27" s="10" t="s">
        <v>20</v>
      </c>
      <c r="B27" s="13" t="s">
        <v>69</v>
      </c>
      <c r="C27" s="14" t="s">
        <v>52</v>
      </c>
      <c r="D27" s="49">
        <v>0</v>
      </c>
      <c r="E27" s="49">
        <f>SUM(E28:E39)</f>
        <v>7.0085961959999992</v>
      </c>
      <c r="F27" s="44" t="s">
        <v>50</v>
      </c>
      <c r="G27" s="49">
        <f t="shared" ref="G27:Q27" si="20">SUM(G28:G39)</f>
        <v>0</v>
      </c>
      <c r="H27" s="49">
        <f t="shared" si="20"/>
        <v>0</v>
      </c>
      <c r="I27" s="49">
        <f t="shared" si="17"/>
        <v>9.1671593299999987</v>
      </c>
      <c r="J27" s="49">
        <f t="shared" si="20"/>
        <v>0</v>
      </c>
      <c r="K27" s="49">
        <f t="shared" si="20"/>
        <v>7.2734900699999994</v>
      </c>
      <c r="L27" s="49">
        <f t="shared" si="20"/>
        <v>0</v>
      </c>
      <c r="M27" s="49">
        <f t="shared" ref="M27" si="21">SUM(M28:M39)</f>
        <v>1.89366926</v>
      </c>
      <c r="N27" s="49">
        <f t="shared" si="20"/>
        <v>0</v>
      </c>
      <c r="O27" s="44" t="s">
        <v>50</v>
      </c>
      <c r="P27" s="49">
        <f t="shared" si="20"/>
        <v>0</v>
      </c>
      <c r="Q27" s="49">
        <f t="shared" si="20"/>
        <v>0</v>
      </c>
      <c r="R27" s="44" t="s">
        <v>50</v>
      </c>
      <c r="S27" s="49">
        <f t="shared" si="14"/>
        <v>-9.1671593299999987</v>
      </c>
      <c r="T27" s="49">
        <f t="shared" si="18"/>
        <v>9.1671593299999987</v>
      </c>
      <c r="U27" s="37">
        <v>0</v>
      </c>
      <c r="V27" s="91"/>
    </row>
    <row r="28" spans="1:22" s="42" customFormat="1" ht="60" x14ac:dyDescent="0.25">
      <c r="A28" s="18" t="s">
        <v>20</v>
      </c>
      <c r="B28" s="33" t="s">
        <v>478</v>
      </c>
      <c r="C28" s="51" t="s">
        <v>479</v>
      </c>
      <c r="D28" s="47">
        <v>0</v>
      </c>
      <c r="E28" s="47">
        <f>2759.78*1.2/1000000</f>
        <v>3.3117360000000005E-3</v>
      </c>
      <c r="F28" s="45" t="s">
        <v>50</v>
      </c>
      <c r="G28" s="47">
        <v>0</v>
      </c>
      <c r="H28" s="47">
        <v>0</v>
      </c>
      <c r="I28" s="47">
        <f t="shared" si="17"/>
        <v>0</v>
      </c>
      <c r="J28" s="47">
        <v>0</v>
      </c>
      <c r="K28" s="47">
        <v>0</v>
      </c>
      <c r="L28" s="47">
        <v>0</v>
      </c>
      <c r="M28" s="47">
        <v>0</v>
      </c>
      <c r="N28" s="47">
        <v>0</v>
      </c>
      <c r="O28" s="45" t="s">
        <v>50</v>
      </c>
      <c r="P28" s="47">
        <v>0</v>
      </c>
      <c r="Q28" s="47">
        <v>0</v>
      </c>
      <c r="R28" s="45" t="s">
        <v>50</v>
      </c>
      <c r="S28" s="47">
        <f t="shared" si="14"/>
        <v>0</v>
      </c>
      <c r="T28" s="47">
        <f t="shared" si="18"/>
        <v>0</v>
      </c>
      <c r="U28" s="48">
        <v>0</v>
      </c>
      <c r="V28" s="91"/>
    </row>
    <row r="29" spans="1:22" s="42" customFormat="1" ht="60" x14ac:dyDescent="0.25">
      <c r="A29" s="18" t="s">
        <v>20</v>
      </c>
      <c r="B29" s="33" t="s">
        <v>480</v>
      </c>
      <c r="C29" s="51" t="s">
        <v>481</v>
      </c>
      <c r="D29" s="47">
        <v>0</v>
      </c>
      <c r="E29" s="47">
        <f>(46427.2+18233.57)*1.2/1000000</f>
        <v>7.7592923999999994E-2</v>
      </c>
      <c r="F29" s="45" t="s">
        <v>50</v>
      </c>
      <c r="G29" s="47">
        <v>0</v>
      </c>
      <c r="H29" s="47">
        <v>0</v>
      </c>
      <c r="I29" s="47">
        <f t="shared" si="17"/>
        <v>0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5" t="s">
        <v>50</v>
      </c>
      <c r="P29" s="47">
        <v>0</v>
      </c>
      <c r="Q29" s="47">
        <v>0</v>
      </c>
      <c r="R29" s="45" t="s">
        <v>50</v>
      </c>
      <c r="S29" s="47">
        <f t="shared" si="14"/>
        <v>0</v>
      </c>
      <c r="T29" s="47">
        <f t="shared" si="18"/>
        <v>0</v>
      </c>
      <c r="U29" s="48">
        <v>0</v>
      </c>
      <c r="V29" s="91"/>
    </row>
    <row r="30" spans="1:22" s="42" customFormat="1" ht="60" x14ac:dyDescent="0.25">
      <c r="A30" s="18" t="s">
        <v>20</v>
      </c>
      <c r="B30" s="33" t="s">
        <v>482</v>
      </c>
      <c r="C30" s="51" t="s">
        <v>483</v>
      </c>
      <c r="D30" s="47">
        <v>0</v>
      </c>
      <c r="E30" s="47">
        <f>8822.57*1.2/1000000</f>
        <v>1.0587083999999998E-2</v>
      </c>
      <c r="F30" s="45" t="s">
        <v>50</v>
      </c>
      <c r="G30" s="47">
        <v>0</v>
      </c>
      <c r="H30" s="47">
        <v>0</v>
      </c>
      <c r="I30" s="47">
        <f t="shared" si="17"/>
        <v>0</v>
      </c>
      <c r="J30" s="47">
        <v>0</v>
      </c>
      <c r="K30" s="47">
        <v>0</v>
      </c>
      <c r="L30" s="47">
        <v>0</v>
      </c>
      <c r="M30" s="47">
        <v>0</v>
      </c>
      <c r="N30" s="47">
        <v>0</v>
      </c>
      <c r="O30" s="45" t="s">
        <v>50</v>
      </c>
      <c r="P30" s="47">
        <v>0</v>
      </c>
      <c r="Q30" s="47">
        <v>0</v>
      </c>
      <c r="R30" s="45" t="s">
        <v>50</v>
      </c>
      <c r="S30" s="47">
        <f t="shared" si="14"/>
        <v>0</v>
      </c>
      <c r="T30" s="47">
        <f t="shared" si="18"/>
        <v>0</v>
      </c>
      <c r="U30" s="48">
        <v>0</v>
      </c>
      <c r="V30" s="91"/>
    </row>
    <row r="31" spans="1:22" s="42" customFormat="1" ht="45" x14ac:dyDescent="0.25">
      <c r="A31" s="18" t="s">
        <v>20</v>
      </c>
      <c r="B31" s="30" t="s">
        <v>484</v>
      </c>
      <c r="C31" s="52" t="s">
        <v>485</v>
      </c>
      <c r="D31" s="47">
        <v>0</v>
      </c>
      <c r="E31" s="47">
        <f>11508.29*1.2/1000000</f>
        <v>1.3809948000000001E-2</v>
      </c>
      <c r="F31" s="45" t="s">
        <v>50</v>
      </c>
      <c r="G31" s="47">
        <v>0</v>
      </c>
      <c r="H31" s="47">
        <v>0</v>
      </c>
      <c r="I31" s="47">
        <f t="shared" si="17"/>
        <v>0</v>
      </c>
      <c r="J31" s="47">
        <v>0</v>
      </c>
      <c r="K31" s="47">
        <v>0</v>
      </c>
      <c r="L31" s="47">
        <v>0</v>
      </c>
      <c r="M31" s="47">
        <v>0</v>
      </c>
      <c r="N31" s="47">
        <v>0</v>
      </c>
      <c r="O31" s="45" t="s">
        <v>50</v>
      </c>
      <c r="P31" s="47">
        <v>0</v>
      </c>
      <c r="Q31" s="47">
        <v>0</v>
      </c>
      <c r="R31" s="45" t="s">
        <v>50</v>
      </c>
      <c r="S31" s="47">
        <f t="shared" si="14"/>
        <v>0</v>
      </c>
      <c r="T31" s="47">
        <f t="shared" si="18"/>
        <v>0</v>
      </c>
      <c r="U31" s="48">
        <v>0</v>
      </c>
      <c r="V31" s="91"/>
    </row>
    <row r="32" spans="1:22" s="42" customFormat="1" ht="45" x14ac:dyDescent="0.25">
      <c r="A32" s="18" t="s">
        <v>20</v>
      </c>
      <c r="B32" s="30" t="s">
        <v>486</v>
      </c>
      <c r="C32" s="52" t="s">
        <v>487</v>
      </c>
      <c r="D32" s="47">
        <v>0</v>
      </c>
      <c r="E32" s="47">
        <f>24909.32*1.2/1000000</f>
        <v>2.9891183999999998E-2</v>
      </c>
      <c r="F32" s="45" t="s">
        <v>50</v>
      </c>
      <c r="G32" s="47">
        <v>0</v>
      </c>
      <c r="H32" s="47">
        <v>0</v>
      </c>
      <c r="I32" s="47">
        <f t="shared" si="17"/>
        <v>0</v>
      </c>
      <c r="J32" s="47">
        <v>0</v>
      </c>
      <c r="K32" s="47">
        <v>0</v>
      </c>
      <c r="L32" s="47">
        <v>0</v>
      </c>
      <c r="M32" s="47">
        <v>0</v>
      </c>
      <c r="N32" s="47">
        <v>0</v>
      </c>
      <c r="O32" s="45" t="s">
        <v>50</v>
      </c>
      <c r="P32" s="47">
        <v>0</v>
      </c>
      <c r="Q32" s="47">
        <v>0</v>
      </c>
      <c r="R32" s="45" t="s">
        <v>50</v>
      </c>
      <c r="S32" s="47">
        <f t="shared" si="14"/>
        <v>0</v>
      </c>
      <c r="T32" s="47">
        <f t="shared" si="18"/>
        <v>0</v>
      </c>
      <c r="U32" s="48">
        <v>0</v>
      </c>
      <c r="V32" s="91"/>
    </row>
    <row r="33" spans="1:22" s="42" customFormat="1" ht="45" x14ac:dyDescent="0.25">
      <c r="A33" s="18" t="s">
        <v>20</v>
      </c>
      <c r="B33" s="33" t="s">
        <v>488</v>
      </c>
      <c r="C33" s="43" t="s">
        <v>489</v>
      </c>
      <c r="D33" s="47">
        <v>0</v>
      </c>
      <c r="E33" s="47">
        <f>(19088.72+29834.59)*1.2/1000000</f>
        <v>5.8707971999999997E-2</v>
      </c>
      <c r="F33" s="45" t="s">
        <v>50</v>
      </c>
      <c r="G33" s="47">
        <v>0</v>
      </c>
      <c r="H33" s="47">
        <v>0</v>
      </c>
      <c r="I33" s="47">
        <f t="shared" si="17"/>
        <v>0</v>
      </c>
      <c r="J33" s="47">
        <v>0</v>
      </c>
      <c r="K33" s="47">
        <v>0</v>
      </c>
      <c r="L33" s="47">
        <v>0</v>
      </c>
      <c r="M33" s="47">
        <v>0</v>
      </c>
      <c r="N33" s="47">
        <v>0</v>
      </c>
      <c r="O33" s="45" t="s">
        <v>50</v>
      </c>
      <c r="P33" s="47">
        <v>0</v>
      </c>
      <c r="Q33" s="47">
        <v>0</v>
      </c>
      <c r="R33" s="45" t="s">
        <v>50</v>
      </c>
      <c r="S33" s="47">
        <f t="shared" si="14"/>
        <v>0</v>
      </c>
      <c r="T33" s="47">
        <f t="shared" si="18"/>
        <v>0</v>
      </c>
      <c r="U33" s="48">
        <v>0</v>
      </c>
      <c r="V33" s="91"/>
    </row>
    <row r="34" spans="1:22" s="42" customFormat="1" ht="60" x14ac:dyDescent="0.25">
      <c r="A34" s="18" t="s">
        <v>20</v>
      </c>
      <c r="B34" s="33" t="s">
        <v>490</v>
      </c>
      <c r="C34" s="43" t="s">
        <v>491</v>
      </c>
      <c r="D34" s="47">
        <v>0</v>
      </c>
      <c r="E34" s="47">
        <f>(43458.94+17769.58+27367.1+38142.67+109577.98+38439.55+109742+48316.26+49021.14+38755.62+29933+18891.07+14874+15921)*1.2/1000000</f>
        <v>0.72025189199999995</v>
      </c>
      <c r="F34" s="45" t="s">
        <v>50</v>
      </c>
      <c r="G34" s="47">
        <v>0</v>
      </c>
      <c r="H34" s="47">
        <v>0</v>
      </c>
      <c r="I34" s="47">
        <f t="shared" si="17"/>
        <v>0</v>
      </c>
      <c r="J34" s="47">
        <v>0</v>
      </c>
      <c r="K34" s="47">
        <v>0</v>
      </c>
      <c r="L34" s="47">
        <v>0</v>
      </c>
      <c r="M34" s="47">
        <v>0</v>
      </c>
      <c r="N34" s="47">
        <v>0</v>
      </c>
      <c r="O34" s="45" t="s">
        <v>50</v>
      </c>
      <c r="P34" s="47">
        <v>0</v>
      </c>
      <c r="Q34" s="47">
        <v>0</v>
      </c>
      <c r="R34" s="45" t="s">
        <v>50</v>
      </c>
      <c r="S34" s="47">
        <f t="shared" si="14"/>
        <v>0</v>
      </c>
      <c r="T34" s="47">
        <f t="shared" si="18"/>
        <v>0</v>
      </c>
      <c r="U34" s="48">
        <v>0</v>
      </c>
      <c r="V34" s="91"/>
    </row>
    <row r="35" spans="1:22" s="42" customFormat="1" ht="45" x14ac:dyDescent="0.25">
      <c r="A35" s="18" t="s">
        <v>20</v>
      </c>
      <c r="B35" s="33" t="s">
        <v>492</v>
      </c>
      <c r="C35" s="43" t="s">
        <v>493</v>
      </c>
      <c r="D35" s="47">
        <v>0</v>
      </c>
      <c r="E35" s="47">
        <f>5078702.88*1.2/1000000</f>
        <v>6.0944434559999996</v>
      </c>
      <c r="F35" s="45" t="s">
        <v>50</v>
      </c>
      <c r="G35" s="47">
        <v>0</v>
      </c>
      <c r="H35" s="47">
        <v>0</v>
      </c>
      <c r="I35" s="47">
        <f t="shared" si="17"/>
        <v>0</v>
      </c>
      <c r="J35" s="47">
        <v>0</v>
      </c>
      <c r="K35" s="47">
        <v>0</v>
      </c>
      <c r="L35" s="47">
        <v>0</v>
      </c>
      <c r="M35" s="47">
        <v>0</v>
      </c>
      <c r="N35" s="47">
        <v>0</v>
      </c>
      <c r="O35" s="45" t="s">
        <v>50</v>
      </c>
      <c r="P35" s="47">
        <v>0</v>
      </c>
      <c r="Q35" s="47">
        <v>0</v>
      </c>
      <c r="R35" s="45" t="s">
        <v>50</v>
      </c>
      <c r="S35" s="47">
        <f t="shared" si="14"/>
        <v>0</v>
      </c>
      <c r="T35" s="47">
        <f t="shared" si="18"/>
        <v>0</v>
      </c>
      <c r="U35" s="48">
        <v>0</v>
      </c>
      <c r="V35" s="91"/>
    </row>
    <row r="36" spans="1:22" ht="63" x14ac:dyDescent="0.25">
      <c r="A36" s="18" t="s">
        <v>20</v>
      </c>
      <c r="B36" s="53" t="s">
        <v>474</v>
      </c>
      <c r="C36" s="54" t="s">
        <v>445</v>
      </c>
      <c r="D36" s="47">
        <v>0</v>
      </c>
      <c r="E36" s="47">
        <v>0</v>
      </c>
      <c r="F36" s="45" t="s">
        <v>50</v>
      </c>
      <c r="G36" s="47">
        <f t="shared" si="15"/>
        <v>0</v>
      </c>
      <c r="H36" s="47">
        <f t="shared" si="16"/>
        <v>0</v>
      </c>
      <c r="I36" s="47">
        <f t="shared" si="17"/>
        <v>3.6576900000000001</v>
      </c>
      <c r="J36" s="47">
        <v>0</v>
      </c>
      <c r="K36" s="47">
        <f>1911.83864/1000</f>
        <v>1.91183864</v>
      </c>
      <c r="L36" s="47">
        <v>0</v>
      </c>
      <c r="M36" s="47">
        <v>1.7458513600000001</v>
      </c>
      <c r="N36" s="47">
        <v>0</v>
      </c>
      <c r="O36" s="45" t="s">
        <v>50</v>
      </c>
      <c r="P36" s="47">
        <v>0</v>
      </c>
      <c r="Q36" s="45" t="s">
        <v>50</v>
      </c>
      <c r="R36" s="45" t="s">
        <v>50</v>
      </c>
      <c r="S36" s="47">
        <f t="shared" si="14"/>
        <v>-3.6576900000000001</v>
      </c>
      <c r="T36" s="47">
        <f t="shared" si="18"/>
        <v>3.6576900000000001</v>
      </c>
      <c r="U36" s="48" t="e">
        <f t="shared" si="19"/>
        <v>#DIV/0!</v>
      </c>
      <c r="V36" s="91"/>
    </row>
    <row r="37" spans="1:22" ht="63" x14ac:dyDescent="0.25">
      <c r="A37" s="18" t="s">
        <v>20</v>
      </c>
      <c r="B37" s="53" t="s">
        <v>475</v>
      </c>
      <c r="C37" s="54" t="s">
        <v>446</v>
      </c>
      <c r="D37" s="47">
        <v>0</v>
      </c>
      <c r="E37" s="47">
        <v>0</v>
      </c>
      <c r="F37" s="45" t="s">
        <v>50</v>
      </c>
      <c r="G37" s="47">
        <f t="shared" si="15"/>
        <v>0</v>
      </c>
      <c r="H37" s="47">
        <f t="shared" si="16"/>
        <v>0</v>
      </c>
      <c r="I37" s="47">
        <f t="shared" si="17"/>
        <v>0.26880159000000003</v>
      </c>
      <c r="J37" s="47">
        <v>0</v>
      </c>
      <c r="K37" s="47">
        <f>120983.69/1000000</f>
        <v>0.12098369</v>
      </c>
      <c r="L37" s="47">
        <v>0</v>
      </c>
      <c r="M37" s="47">
        <v>0.1478179</v>
      </c>
      <c r="N37" s="47">
        <v>0</v>
      </c>
      <c r="O37" s="45" t="s">
        <v>50</v>
      </c>
      <c r="P37" s="47">
        <v>0</v>
      </c>
      <c r="Q37" s="45" t="s">
        <v>50</v>
      </c>
      <c r="R37" s="45" t="s">
        <v>50</v>
      </c>
      <c r="S37" s="47">
        <f t="shared" si="14"/>
        <v>-0.26880159000000003</v>
      </c>
      <c r="T37" s="47">
        <f t="shared" si="18"/>
        <v>0.26880159000000003</v>
      </c>
      <c r="U37" s="48" t="e">
        <f t="shared" si="19"/>
        <v>#DIV/0!</v>
      </c>
      <c r="V37" s="91"/>
    </row>
    <row r="38" spans="1:22" ht="63" x14ac:dyDescent="0.25">
      <c r="A38" s="18" t="s">
        <v>20</v>
      </c>
      <c r="B38" s="53" t="s">
        <v>476</v>
      </c>
      <c r="C38" s="54" t="s">
        <v>447</v>
      </c>
      <c r="D38" s="47">
        <v>0</v>
      </c>
      <c r="E38" s="47">
        <v>0</v>
      </c>
      <c r="F38" s="45" t="s">
        <v>50</v>
      </c>
      <c r="G38" s="47">
        <f t="shared" si="15"/>
        <v>0</v>
      </c>
      <c r="H38" s="47">
        <f t="shared" si="16"/>
        <v>0</v>
      </c>
      <c r="I38" s="47">
        <f t="shared" si="17"/>
        <v>5.0981382899999996</v>
      </c>
      <c r="J38" s="47">
        <v>0</v>
      </c>
      <c r="K38" s="47">
        <f>5098138.29/1000000</f>
        <v>5.0981382899999996</v>
      </c>
      <c r="L38" s="47">
        <v>0</v>
      </c>
      <c r="M38" s="47">
        <v>0</v>
      </c>
      <c r="N38" s="47">
        <v>0</v>
      </c>
      <c r="O38" s="45" t="s">
        <v>50</v>
      </c>
      <c r="P38" s="47">
        <v>0</v>
      </c>
      <c r="Q38" s="45" t="s">
        <v>50</v>
      </c>
      <c r="R38" s="45" t="s">
        <v>50</v>
      </c>
      <c r="S38" s="47">
        <f t="shared" si="14"/>
        <v>-5.0981382899999996</v>
      </c>
      <c r="T38" s="47">
        <f t="shared" si="18"/>
        <v>5.0981382899999996</v>
      </c>
      <c r="U38" s="48" t="e">
        <f t="shared" si="19"/>
        <v>#DIV/0!</v>
      </c>
      <c r="V38" s="91"/>
    </row>
    <row r="39" spans="1:22" ht="77.25" customHeight="1" x14ac:dyDescent="0.25">
      <c r="A39" s="18" t="s">
        <v>20</v>
      </c>
      <c r="B39" s="53" t="s">
        <v>477</v>
      </c>
      <c r="C39" s="54" t="s">
        <v>448</v>
      </c>
      <c r="D39" s="47">
        <v>0</v>
      </c>
      <c r="E39" s="47">
        <v>0</v>
      </c>
      <c r="F39" s="45" t="s">
        <v>50</v>
      </c>
      <c r="G39" s="47">
        <f t="shared" si="15"/>
        <v>0</v>
      </c>
      <c r="H39" s="47">
        <f t="shared" si="16"/>
        <v>0</v>
      </c>
      <c r="I39" s="47">
        <f t="shared" si="17"/>
        <v>0.14252945</v>
      </c>
      <c r="J39" s="47">
        <v>0</v>
      </c>
      <c r="K39" s="47">
        <f>142529.45/1000000</f>
        <v>0.14252945</v>
      </c>
      <c r="L39" s="47">
        <v>0</v>
      </c>
      <c r="M39" s="47">
        <v>0</v>
      </c>
      <c r="N39" s="47">
        <v>0</v>
      </c>
      <c r="O39" s="45" t="s">
        <v>50</v>
      </c>
      <c r="P39" s="47">
        <v>0</v>
      </c>
      <c r="Q39" s="45" t="s">
        <v>50</v>
      </c>
      <c r="R39" s="45" t="s">
        <v>50</v>
      </c>
      <c r="S39" s="47">
        <f t="shared" si="14"/>
        <v>-0.14252945</v>
      </c>
      <c r="T39" s="47">
        <f t="shared" si="18"/>
        <v>0.14252945</v>
      </c>
      <c r="U39" s="48" t="e">
        <f t="shared" si="19"/>
        <v>#DIV/0!</v>
      </c>
      <c r="V39" s="91"/>
    </row>
    <row r="40" spans="1:22" ht="62.25" customHeight="1" x14ac:dyDescent="0.25">
      <c r="A40" s="18" t="s">
        <v>20</v>
      </c>
      <c r="B40" s="53" t="s">
        <v>449</v>
      </c>
      <c r="C40" s="54" t="s">
        <v>450</v>
      </c>
      <c r="D40" s="47">
        <v>0</v>
      </c>
      <c r="E40" s="47">
        <v>0</v>
      </c>
      <c r="F40" s="45" t="s">
        <v>50</v>
      </c>
      <c r="G40" s="47">
        <v>0</v>
      </c>
      <c r="H40" s="47">
        <v>0</v>
      </c>
      <c r="I40" s="47">
        <f t="shared" si="17"/>
        <v>0</v>
      </c>
      <c r="J40" s="47">
        <v>0</v>
      </c>
      <c r="K40" s="47">
        <v>0</v>
      </c>
      <c r="L40" s="47">
        <v>0</v>
      </c>
      <c r="M40" s="47">
        <v>0</v>
      </c>
      <c r="N40" s="47">
        <v>0</v>
      </c>
      <c r="O40" s="45" t="s">
        <v>50</v>
      </c>
      <c r="P40" s="47">
        <v>0</v>
      </c>
      <c r="Q40" s="47">
        <v>0</v>
      </c>
      <c r="R40" s="45" t="s">
        <v>50</v>
      </c>
      <c r="S40" s="47">
        <f t="shared" si="14"/>
        <v>0</v>
      </c>
      <c r="T40" s="47">
        <f t="shared" si="18"/>
        <v>0</v>
      </c>
      <c r="U40" s="48">
        <v>0</v>
      </c>
      <c r="V40" s="91"/>
    </row>
    <row r="41" spans="1:22" ht="71.25" x14ac:dyDescent="0.25">
      <c r="A41" s="15" t="s">
        <v>20</v>
      </c>
      <c r="B41" s="16" t="s">
        <v>70</v>
      </c>
      <c r="C41" s="17" t="s">
        <v>52</v>
      </c>
      <c r="D41" s="49">
        <v>0</v>
      </c>
      <c r="E41" s="49">
        <v>0</v>
      </c>
      <c r="F41" s="44" t="s">
        <v>50</v>
      </c>
      <c r="G41" s="49">
        <f t="shared" si="15"/>
        <v>0</v>
      </c>
      <c r="H41" s="49">
        <f t="shared" si="16"/>
        <v>0</v>
      </c>
      <c r="I41" s="49">
        <f t="shared" si="17"/>
        <v>0</v>
      </c>
      <c r="J41" s="49">
        <v>0</v>
      </c>
      <c r="K41" s="49">
        <v>0</v>
      </c>
      <c r="L41" s="49">
        <v>0</v>
      </c>
      <c r="M41" s="44">
        <v>0</v>
      </c>
      <c r="N41" s="49">
        <v>0</v>
      </c>
      <c r="O41" s="44" t="s">
        <v>50</v>
      </c>
      <c r="P41" s="49">
        <v>0</v>
      </c>
      <c r="Q41" s="44" t="s">
        <v>50</v>
      </c>
      <c r="R41" s="44" t="s">
        <v>50</v>
      </c>
      <c r="S41" s="49">
        <f t="shared" si="14"/>
        <v>0</v>
      </c>
      <c r="T41" s="49">
        <f t="shared" si="18"/>
        <v>0</v>
      </c>
      <c r="U41" s="37">
        <v>0</v>
      </c>
      <c r="V41" s="91"/>
    </row>
    <row r="42" spans="1:22" ht="71.25" x14ac:dyDescent="0.25">
      <c r="A42" s="15" t="s">
        <v>20</v>
      </c>
      <c r="B42" s="16" t="s">
        <v>71</v>
      </c>
      <c r="C42" s="17" t="s">
        <v>52</v>
      </c>
      <c r="D42" s="49">
        <v>0</v>
      </c>
      <c r="E42" s="49">
        <v>0</v>
      </c>
      <c r="F42" s="44" t="s">
        <v>50</v>
      </c>
      <c r="G42" s="49">
        <f t="shared" si="15"/>
        <v>0</v>
      </c>
      <c r="H42" s="49">
        <f t="shared" si="16"/>
        <v>0</v>
      </c>
      <c r="I42" s="49">
        <f t="shared" si="17"/>
        <v>0</v>
      </c>
      <c r="J42" s="49">
        <v>0</v>
      </c>
      <c r="K42" s="49">
        <v>0</v>
      </c>
      <c r="L42" s="49">
        <v>0</v>
      </c>
      <c r="M42" s="44">
        <v>0</v>
      </c>
      <c r="N42" s="49">
        <v>0</v>
      </c>
      <c r="O42" s="44" t="s">
        <v>50</v>
      </c>
      <c r="P42" s="49">
        <v>0</v>
      </c>
      <c r="Q42" s="44" t="s">
        <v>50</v>
      </c>
      <c r="R42" s="44" t="s">
        <v>50</v>
      </c>
      <c r="S42" s="49">
        <f t="shared" si="14"/>
        <v>0</v>
      </c>
      <c r="T42" s="49">
        <f t="shared" si="18"/>
        <v>0</v>
      </c>
      <c r="U42" s="37">
        <v>0</v>
      </c>
      <c r="V42" s="91"/>
    </row>
    <row r="43" spans="1:22" ht="71.25" x14ac:dyDescent="0.25">
      <c r="A43" s="10" t="s">
        <v>21</v>
      </c>
      <c r="B43" s="13" t="s">
        <v>72</v>
      </c>
      <c r="C43" s="14" t="s">
        <v>52</v>
      </c>
      <c r="D43" s="49">
        <v>0</v>
      </c>
      <c r="E43" s="49">
        <f>SUM(E44:E56)</f>
        <v>5.7439582080000005</v>
      </c>
      <c r="F43" s="44" t="s">
        <v>50</v>
      </c>
      <c r="G43" s="49">
        <f t="shared" ref="G43:Q43" si="22">SUM(G44:G56)</f>
        <v>0</v>
      </c>
      <c r="H43" s="49">
        <f t="shared" si="22"/>
        <v>0</v>
      </c>
      <c r="I43" s="49">
        <f t="shared" si="17"/>
        <v>8.4135096699999998</v>
      </c>
      <c r="J43" s="49">
        <f t="shared" si="22"/>
        <v>0</v>
      </c>
      <c r="K43" s="49">
        <f t="shared" si="22"/>
        <v>3.58026899</v>
      </c>
      <c r="L43" s="49">
        <f t="shared" si="22"/>
        <v>0</v>
      </c>
      <c r="M43" s="49">
        <f t="shared" ref="M43" si="23">SUM(M44:M56)</f>
        <v>4.8332406799999994</v>
      </c>
      <c r="N43" s="49">
        <f t="shared" si="22"/>
        <v>0</v>
      </c>
      <c r="O43" s="44" t="s">
        <v>50</v>
      </c>
      <c r="P43" s="49">
        <f t="shared" si="22"/>
        <v>0</v>
      </c>
      <c r="Q43" s="49">
        <f t="shared" si="22"/>
        <v>0</v>
      </c>
      <c r="R43" s="44" t="s">
        <v>50</v>
      </c>
      <c r="S43" s="49">
        <f t="shared" si="14"/>
        <v>-8.4135096699999998</v>
      </c>
      <c r="T43" s="49">
        <f t="shared" si="18"/>
        <v>8.4135096699999998</v>
      </c>
      <c r="U43" s="37">
        <v>0</v>
      </c>
      <c r="V43" s="91"/>
    </row>
    <row r="44" spans="1:22" s="42" customFormat="1" ht="60" x14ac:dyDescent="0.25">
      <c r="A44" s="18" t="s">
        <v>21</v>
      </c>
      <c r="B44" s="33" t="s">
        <v>494</v>
      </c>
      <c r="C44" s="51" t="s">
        <v>495</v>
      </c>
      <c r="D44" s="47">
        <v>0</v>
      </c>
      <c r="E44" s="47">
        <f>7715*1.2/1000000</f>
        <v>9.2580000000000006E-3</v>
      </c>
      <c r="F44" s="45" t="s">
        <v>50</v>
      </c>
      <c r="G44" s="47">
        <v>0</v>
      </c>
      <c r="H44" s="47">
        <v>0</v>
      </c>
      <c r="I44" s="47">
        <f t="shared" si="17"/>
        <v>0</v>
      </c>
      <c r="J44" s="47">
        <v>0</v>
      </c>
      <c r="K44" s="47">
        <v>0</v>
      </c>
      <c r="L44" s="47">
        <v>0</v>
      </c>
      <c r="M44" s="47">
        <v>0</v>
      </c>
      <c r="N44" s="47">
        <v>0</v>
      </c>
      <c r="O44" s="45" t="s">
        <v>50</v>
      </c>
      <c r="P44" s="47">
        <v>0</v>
      </c>
      <c r="Q44" s="47">
        <v>0</v>
      </c>
      <c r="R44" s="45" t="s">
        <v>50</v>
      </c>
      <c r="S44" s="47">
        <f t="shared" si="14"/>
        <v>0</v>
      </c>
      <c r="T44" s="47">
        <f t="shared" si="18"/>
        <v>0</v>
      </c>
      <c r="U44" s="48">
        <v>0</v>
      </c>
      <c r="V44" s="91"/>
    </row>
    <row r="45" spans="1:22" s="42" customFormat="1" ht="60" x14ac:dyDescent="0.25">
      <c r="A45" s="18" t="s">
        <v>21</v>
      </c>
      <c r="B45" s="33" t="s">
        <v>496</v>
      </c>
      <c r="C45" s="51" t="s">
        <v>497</v>
      </c>
      <c r="D45" s="47">
        <v>0</v>
      </c>
      <c r="E45" s="47">
        <f>50949.09*1.2/1000000</f>
        <v>6.1138907999999999E-2</v>
      </c>
      <c r="F45" s="45" t="s">
        <v>50</v>
      </c>
      <c r="G45" s="47">
        <v>0</v>
      </c>
      <c r="H45" s="47">
        <v>0</v>
      </c>
      <c r="I45" s="47">
        <f t="shared" si="17"/>
        <v>0</v>
      </c>
      <c r="J45" s="47">
        <v>0</v>
      </c>
      <c r="K45" s="47">
        <v>0</v>
      </c>
      <c r="L45" s="47">
        <v>0</v>
      </c>
      <c r="M45" s="47">
        <v>0</v>
      </c>
      <c r="N45" s="47">
        <v>0</v>
      </c>
      <c r="O45" s="45" t="s">
        <v>50</v>
      </c>
      <c r="P45" s="47">
        <v>0</v>
      </c>
      <c r="Q45" s="47">
        <v>0</v>
      </c>
      <c r="R45" s="45" t="s">
        <v>50</v>
      </c>
      <c r="S45" s="47">
        <f t="shared" si="14"/>
        <v>0</v>
      </c>
      <c r="T45" s="47">
        <f t="shared" si="18"/>
        <v>0</v>
      </c>
      <c r="U45" s="48">
        <v>0</v>
      </c>
      <c r="V45" s="91"/>
    </row>
    <row r="46" spans="1:22" s="42" customFormat="1" ht="60" x14ac:dyDescent="0.25">
      <c r="A46" s="27" t="s">
        <v>21</v>
      </c>
      <c r="B46" s="30" t="s">
        <v>498</v>
      </c>
      <c r="C46" s="52" t="s">
        <v>499</v>
      </c>
      <c r="D46" s="47">
        <v>0</v>
      </c>
      <c r="E46" s="47">
        <f>(59375.34+63604.02+48121.08+30058.3+78113.76+226278.38+48834.89+43258.23+92)*1.2/1000000</f>
        <v>0.7172831999999999</v>
      </c>
      <c r="F46" s="45" t="s">
        <v>50</v>
      </c>
      <c r="G46" s="47">
        <v>0</v>
      </c>
      <c r="H46" s="47">
        <v>0</v>
      </c>
      <c r="I46" s="47">
        <f t="shared" si="17"/>
        <v>0</v>
      </c>
      <c r="J46" s="47">
        <v>0</v>
      </c>
      <c r="K46" s="47">
        <v>0</v>
      </c>
      <c r="L46" s="47">
        <v>0</v>
      </c>
      <c r="M46" s="47">
        <v>0</v>
      </c>
      <c r="N46" s="47">
        <v>0</v>
      </c>
      <c r="O46" s="45" t="s">
        <v>50</v>
      </c>
      <c r="P46" s="47">
        <v>0</v>
      </c>
      <c r="Q46" s="47">
        <v>0</v>
      </c>
      <c r="R46" s="45" t="s">
        <v>50</v>
      </c>
      <c r="S46" s="47">
        <f t="shared" si="14"/>
        <v>0</v>
      </c>
      <c r="T46" s="47">
        <f t="shared" si="18"/>
        <v>0</v>
      </c>
      <c r="U46" s="48">
        <v>0</v>
      </c>
      <c r="V46" s="91"/>
    </row>
    <row r="47" spans="1:22" s="42" customFormat="1" ht="60" x14ac:dyDescent="0.25">
      <c r="A47" s="27" t="s">
        <v>21</v>
      </c>
      <c r="B47" s="30" t="s">
        <v>500</v>
      </c>
      <c r="C47" s="52" t="s">
        <v>501</v>
      </c>
      <c r="D47" s="47">
        <v>0</v>
      </c>
      <c r="E47" s="47">
        <f>(50278.56+54476.29+32864.11)*1.2/1000000</f>
        <v>0.165142752</v>
      </c>
      <c r="F47" s="45" t="s">
        <v>50</v>
      </c>
      <c r="G47" s="47">
        <v>0</v>
      </c>
      <c r="H47" s="47">
        <v>0</v>
      </c>
      <c r="I47" s="47">
        <f t="shared" si="17"/>
        <v>0</v>
      </c>
      <c r="J47" s="47">
        <v>0</v>
      </c>
      <c r="K47" s="47">
        <v>0</v>
      </c>
      <c r="L47" s="47">
        <v>0</v>
      </c>
      <c r="M47" s="47">
        <v>0</v>
      </c>
      <c r="N47" s="47">
        <v>0</v>
      </c>
      <c r="O47" s="45" t="s">
        <v>50</v>
      </c>
      <c r="P47" s="47">
        <v>0</v>
      </c>
      <c r="Q47" s="47">
        <v>0</v>
      </c>
      <c r="R47" s="45" t="s">
        <v>50</v>
      </c>
      <c r="S47" s="47">
        <f t="shared" si="14"/>
        <v>0</v>
      </c>
      <c r="T47" s="47">
        <f t="shared" si="18"/>
        <v>0</v>
      </c>
      <c r="U47" s="48">
        <v>0</v>
      </c>
      <c r="V47" s="91"/>
    </row>
    <row r="48" spans="1:22" s="42" customFormat="1" ht="45" x14ac:dyDescent="0.25">
      <c r="A48" s="27" t="s">
        <v>21</v>
      </c>
      <c r="B48" s="30" t="s">
        <v>502</v>
      </c>
      <c r="C48" s="52" t="s">
        <v>503</v>
      </c>
      <c r="D48" s="47">
        <v>0</v>
      </c>
      <c r="E48" s="47">
        <f>(22839.33+40645.46+44939.54+98966.1+48469.75+50213.24)*1.2/1000000</f>
        <v>0.367288104</v>
      </c>
      <c r="F48" s="45" t="s">
        <v>50</v>
      </c>
      <c r="G48" s="47">
        <v>0</v>
      </c>
      <c r="H48" s="47">
        <v>0</v>
      </c>
      <c r="I48" s="47">
        <f t="shared" si="17"/>
        <v>0</v>
      </c>
      <c r="J48" s="47">
        <v>0</v>
      </c>
      <c r="K48" s="47">
        <v>0</v>
      </c>
      <c r="L48" s="47">
        <v>0</v>
      </c>
      <c r="M48" s="47">
        <v>0</v>
      </c>
      <c r="N48" s="47">
        <v>0</v>
      </c>
      <c r="O48" s="45" t="s">
        <v>50</v>
      </c>
      <c r="P48" s="47">
        <v>0</v>
      </c>
      <c r="Q48" s="47">
        <v>0</v>
      </c>
      <c r="R48" s="45" t="s">
        <v>50</v>
      </c>
      <c r="S48" s="47">
        <f t="shared" si="14"/>
        <v>0</v>
      </c>
      <c r="T48" s="47">
        <f t="shared" si="18"/>
        <v>0</v>
      </c>
      <c r="U48" s="48">
        <v>0</v>
      </c>
      <c r="V48" s="91"/>
    </row>
    <row r="49" spans="1:22" s="42" customFormat="1" ht="45" x14ac:dyDescent="0.25">
      <c r="A49" s="27" t="s">
        <v>21</v>
      </c>
      <c r="B49" s="30" t="s">
        <v>488</v>
      </c>
      <c r="C49" s="52" t="s">
        <v>489</v>
      </c>
      <c r="D49" s="47">
        <v>0</v>
      </c>
      <c r="E49" s="47">
        <f>(34398.93+3597.36+37057.47+13371.36+30046.44+1700+40393.89+50562.62+47967.03+52433.99+197825.5+38418.6+46700.61+74755.25+19946+18082+48158.64+43668.43+17971+47605.43+33647.77+52880.72+17930+51483.87+69049.64+41047.6+28714.44+15836+17136+46448.8+42252.79+51425.57+17691.08+18153+278786.27+41703.59+36781.78+47965.63+53765.11+49130.03+31283.31)*1.2/1000000</f>
        <v>2.2893282600000009</v>
      </c>
      <c r="F49" s="45" t="s">
        <v>50</v>
      </c>
      <c r="G49" s="47">
        <v>0</v>
      </c>
      <c r="H49" s="47">
        <v>0</v>
      </c>
      <c r="I49" s="47">
        <f t="shared" si="17"/>
        <v>0</v>
      </c>
      <c r="J49" s="47">
        <v>0</v>
      </c>
      <c r="K49" s="47">
        <v>0</v>
      </c>
      <c r="L49" s="47">
        <v>0</v>
      </c>
      <c r="M49" s="47">
        <v>0</v>
      </c>
      <c r="N49" s="47">
        <v>0</v>
      </c>
      <c r="O49" s="45" t="s">
        <v>50</v>
      </c>
      <c r="P49" s="47">
        <v>0</v>
      </c>
      <c r="Q49" s="47">
        <v>0</v>
      </c>
      <c r="R49" s="45" t="s">
        <v>50</v>
      </c>
      <c r="S49" s="47">
        <f t="shared" si="14"/>
        <v>0</v>
      </c>
      <c r="T49" s="47">
        <f t="shared" si="18"/>
        <v>0</v>
      </c>
      <c r="U49" s="48">
        <v>0</v>
      </c>
      <c r="V49" s="91"/>
    </row>
    <row r="50" spans="1:22" s="42" customFormat="1" ht="45" x14ac:dyDescent="0.25">
      <c r="A50" s="27" t="s">
        <v>21</v>
      </c>
      <c r="B50" s="30" t="s">
        <v>504</v>
      </c>
      <c r="C50" s="52" t="s">
        <v>505</v>
      </c>
      <c r="D50" s="47">
        <v>0</v>
      </c>
      <c r="E50" s="47">
        <f>(30110.57+47184.57+22941.38+55189.49+18083+18153+18020+900+54092.65+22994+30110.57+26643.82+30110.57+44941.17+750782.07+383028.2+45904.57+48899.66+41240.38+49812.63)*1.2/1000000</f>
        <v>2.0869707599999994</v>
      </c>
      <c r="F50" s="45" t="s">
        <v>50</v>
      </c>
      <c r="G50" s="47">
        <v>0</v>
      </c>
      <c r="H50" s="47">
        <v>0</v>
      </c>
      <c r="I50" s="47">
        <f t="shared" si="17"/>
        <v>0</v>
      </c>
      <c r="J50" s="47">
        <v>0</v>
      </c>
      <c r="K50" s="47">
        <v>0</v>
      </c>
      <c r="L50" s="47">
        <v>0</v>
      </c>
      <c r="M50" s="47">
        <v>0</v>
      </c>
      <c r="N50" s="47">
        <v>0</v>
      </c>
      <c r="O50" s="45" t="s">
        <v>50</v>
      </c>
      <c r="P50" s="47">
        <v>0</v>
      </c>
      <c r="Q50" s="47">
        <v>0</v>
      </c>
      <c r="R50" s="45" t="s">
        <v>50</v>
      </c>
      <c r="S50" s="47">
        <f t="shared" si="14"/>
        <v>0</v>
      </c>
      <c r="T50" s="47">
        <f t="shared" si="18"/>
        <v>0</v>
      </c>
      <c r="U50" s="48">
        <v>0</v>
      </c>
      <c r="V50" s="91"/>
    </row>
    <row r="51" spans="1:22" s="42" customFormat="1" ht="45" x14ac:dyDescent="0.25">
      <c r="A51" s="27" t="s">
        <v>21</v>
      </c>
      <c r="B51" s="30" t="s">
        <v>506</v>
      </c>
      <c r="C51" s="52" t="s">
        <v>507</v>
      </c>
      <c r="D51" s="47">
        <v>0</v>
      </c>
      <c r="E51" s="47">
        <f>39623.52*1.2/1000000</f>
        <v>4.7548223999999993E-2</v>
      </c>
      <c r="F51" s="45" t="s">
        <v>50</v>
      </c>
      <c r="G51" s="47">
        <v>0</v>
      </c>
      <c r="H51" s="47">
        <v>0</v>
      </c>
      <c r="I51" s="47">
        <f t="shared" si="17"/>
        <v>0</v>
      </c>
      <c r="J51" s="47">
        <v>0</v>
      </c>
      <c r="K51" s="47">
        <v>0</v>
      </c>
      <c r="L51" s="47">
        <v>0</v>
      </c>
      <c r="M51" s="47">
        <v>0</v>
      </c>
      <c r="N51" s="47">
        <v>0</v>
      </c>
      <c r="O51" s="45" t="s">
        <v>50</v>
      </c>
      <c r="P51" s="47">
        <v>0</v>
      </c>
      <c r="Q51" s="47">
        <v>0</v>
      </c>
      <c r="R51" s="45" t="s">
        <v>50</v>
      </c>
      <c r="S51" s="47">
        <f t="shared" si="14"/>
        <v>0</v>
      </c>
      <c r="T51" s="47">
        <f t="shared" si="18"/>
        <v>0</v>
      </c>
      <c r="U51" s="48">
        <v>0</v>
      </c>
      <c r="V51" s="91"/>
    </row>
    <row r="52" spans="1:22" ht="45" x14ac:dyDescent="0.25">
      <c r="A52" s="18" t="s">
        <v>21</v>
      </c>
      <c r="B52" s="30" t="s">
        <v>451</v>
      </c>
      <c r="C52" s="43" t="s">
        <v>452</v>
      </c>
      <c r="D52" s="47">
        <v>0</v>
      </c>
      <c r="E52" s="47">
        <v>0</v>
      </c>
      <c r="F52" s="45" t="s">
        <v>50</v>
      </c>
      <c r="G52" s="47">
        <f t="shared" si="15"/>
        <v>0</v>
      </c>
      <c r="H52" s="47">
        <f t="shared" si="16"/>
        <v>0</v>
      </c>
      <c r="I52" s="47">
        <f t="shared" si="17"/>
        <v>0.68129821000000002</v>
      </c>
      <c r="J52" s="47">
        <v>0</v>
      </c>
      <c r="K52" s="47">
        <f>296021.47/1000000</f>
        <v>0.29602146999999995</v>
      </c>
      <c r="L52" s="47">
        <v>0</v>
      </c>
      <c r="M52" s="47">
        <v>0.38527674000000001</v>
      </c>
      <c r="N52" s="47">
        <v>0</v>
      </c>
      <c r="O52" s="45" t="s">
        <v>50</v>
      </c>
      <c r="P52" s="47">
        <v>0</v>
      </c>
      <c r="Q52" s="45" t="s">
        <v>50</v>
      </c>
      <c r="R52" s="45" t="s">
        <v>50</v>
      </c>
      <c r="S52" s="47">
        <f t="shared" si="14"/>
        <v>-0.68129821000000002</v>
      </c>
      <c r="T52" s="47">
        <f t="shared" si="18"/>
        <v>0.68129821000000002</v>
      </c>
      <c r="U52" s="48">
        <v>0</v>
      </c>
      <c r="V52" s="91"/>
    </row>
    <row r="53" spans="1:22" ht="45" x14ac:dyDescent="0.25">
      <c r="A53" s="18" t="s">
        <v>21</v>
      </c>
      <c r="B53" s="30" t="s">
        <v>453</v>
      </c>
      <c r="C53" s="43" t="s">
        <v>454</v>
      </c>
      <c r="D53" s="47">
        <v>0</v>
      </c>
      <c r="E53" s="47">
        <v>0</v>
      </c>
      <c r="F53" s="45" t="s">
        <v>50</v>
      </c>
      <c r="G53" s="47">
        <f t="shared" si="15"/>
        <v>0</v>
      </c>
      <c r="H53" s="47">
        <f t="shared" si="16"/>
        <v>0</v>
      </c>
      <c r="I53" s="47">
        <f t="shared" si="17"/>
        <v>6.9663807799999997</v>
      </c>
      <c r="J53" s="47">
        <v>0</v>
      </c>
      <c r="K53" s="47">
        <f>2542018.38/1000000</f>
        <v>2.54201838</v>
      </c>
      <c r="L53" s="47">
        <v>0</v>
      </c>
      <c r="M53" s="47">
        <v>4.4243623999999997</v>
      </c>
      <c r="N53" s="47">
        <v>0</v>
      </c>
      <c r="O53" s="45" t="s">
        <v>50</v>
      </c>
      <c r="P53" s="47">
        <v>0</v>
      </c>
      <c r="Q53" s="45" t="s">
        <v>50</v>
      </c>
      <c r="R53" s="45" t="s">
        <v>50</v>
      </c>
      <c r="S53" s="47">
        <f t="shared" si="14"/>
        <v>-6.9663807799999997</v>
      </c>
      <c r="T53" s="47">
        <f t="shared" si="18"/>
        <v>6.9663807799999997</v>
      </c>
      <c r="U53" s="48">
        <v>0</v>
      </c>
      <c r="V53" s="91"/>
    </row>
    <row r="54" spans="1:22" ht="45" x14ac:dyDescent="0.25">
      <c r="A54" s="18" t="s">
        <v>21</v>
      </c>
      <c r="B54" s="30" t="s">
        <v>455</v>
      </c>
      <c r="C54" s="43" t="s">
        <v>456</v>
      </c>
      <c r="D54" s="47">
        <v>0</v>
      </c>
      <c r="E54" s="47">
        <v>0</v>
      </c>
      <c r="F54" s="45" t="s">
        <v>50</v>
      </c>
      <c r="G54" s="47">
        <v>0</v>
      </c>
      <c r="H54" s="47">
        <v>0</v>
      </c>
      <c r="I54" s="47">
        <f t="shared" si="17"/>
        <v>0.7658306800000001</v>
      </c>
      <c r="J54" s="47">
        <v>0</v>
      </c>
      <c r="K54" s="47">
        <f>742229.14/1000000</f>
        <v>0.74222914000000006</v>
      </c>
      <c r="L54" s="47">
        <v>0</v>
      </c>
      <c r="M54" s="47">
        <v>2.3601540000000001E-2</v>
      </c>
      <c r="N54" s="47">
        <v>0</v>
      </c>
      <c r="O54" s="45" t="s">
        <v>50</v>
      </c>
      <c r="P54" s="47">
        <v>0</v>
      </c>
      <c r="Q54" s="45" t="s">
        <v>50</v>
      </c>
      <c r="R54" s="45" t="s">
        <v>50</v>
      </c>
      <c r="S54" s="47">
        <f t="shared" si="14"/>
        <v>-0.7658306800000001</v>
      </c>
      <c r="T54" s="47">
        <f t="shared" si="18"/>
        <v>0.7658306800000001</v>
      </c>
      <c r="U54" s="48">
        <v>0</v>
      </c>
      <c r="V54" s="91"/>
    </row>
    <row r="55" spans="1:22" ht="30" x14ac:dyDescent="0.25">
      <c r="A55" s="18" t="s">
        <v>21</v>
      </c>
      <c r="B55" s="30" t="s">
        <v>457</v>
      </c>
      <c r="C55" s="43" t="s">
        <v>458</v>
      </c>
      <c r="D55" s="47">
        <v>0</v>
      </c>
      <c r="E55" s="47">
        <v>0</v>
      </c>
      <c r="F55" s="45" t="s">
        <v>50</v>
      </c>
      <c r="G55" s="47">
        <v>0</v>
      </c>
      <c r="H55" s="47">
        <v>0</v>
      </c>
      <c r="I55" s="47">
        <f t="shared" si="17"/>
        <v>0</v>
      </c>
      <c r="J55" s="47">
        <v>0</v>
      </c>
      <c r="K55" s="47">
        <v>0</v>
      </c>
      <c r="L55" s="47">
        <v>0</v>
      </c>
      <c r="M55" s="45">
        <v>0</v>
      </c>
      <c r="N55" s="47">
        <v>0</v>
      </c>
      <c r="O55" s="45" t="s">
        <v>50</v>
      </c>
      <c r="P55" s="47">
        <v>0</v>
      </c>
      <c r="Q55" s="45" t="s">
        <v>50</v>
      </c>
      <c r="R55" s="45" t="s">
        <v>50</v>
      </c>
      <c r="S55" s="47">
        <f t="shared" si="14"/>
        <v>0</v>
      </c>
      <c r="T55" s="47">
        <f t="shared" si="18"/>
        <v>0</v>
      </c>
      <c r="U55" s="48">
        <v>0</v>
      </c>
      <c r="V55" s="91"/>
    </row>
    <row r="56" spans="1:22" s="42" customFormat="1" ht="35.25" customHeight="1" x14ac:dyDescent="0.25">
      <c r="A56" s="18" t="s">
        <v>21</v>
      </c>
      <c r="B56" s="30" t="s">
        <v>449</v>
      </c>
      <c r="C56" s="43" t="s">
        <v>459</v>
      </c>
      <c r="D56" s="47">
        <v>0</v>
      </c>
      <c r="E56" s="47">
        <v>0</v>
      </c>
      <c r="F56" s="45" t="s">
        <v>50</v>
      </c>
      <c r="G56" s="47">
        <v>0</v>
      </c>
      <c r="H56" s="47">
        <v>0</v>
      </c>
      <c r="I56" s="47">
        <f t="shared" si="17"/>
        <v>0</v>
      </c>
      <c r="J56" s="47">
        <v>0</v>
      </c>
      <c r="K56" s="47">
        <v>0</v>
      </c>
      <c r="L56" s="47">
        <v>0</v>
      </c>
      <c r="M56" s="45">
        <v>0</v>
      </c>
      <c r="N56" s="47">
        <v>0</v>
      </c>
      <c r="O56" s="45" t="s">
        <v>50</v>
      </c>
      <c r="P56" s="47">
        <v>0</v>
      </c>
      <c r="Q56" s="45" t="s">
        <v>50</v>
      </c>
      <c r="R56" s="45" t="s">
        <v>50</v>
      </c>
      <c r="S56" s="47">
        <f t="shared" si="14"/>
        <v>0</v>
      </c>
      <c r="T56" s="47">
        <f t="shared" si="18"/>
        <v>0</v>
      </c>
      <c r="U56" s="48">
        <v>0</v>
      </c>
      <c r="V56" s="91"/>
    </row>
    <row r="57" spans="1:22" ht="71.25" x14ac:dyDescent="0.25">
      <c r="A57" s="15" t="s">
        <v>21</v>
      </c>
      <c r="B57" s="16" t="s">
        <v>73</v>
      </c>
      <c r="C57" s="17" t="s">
        <v>52</v>
      </c>
      <c r="D57" s="49">
        <v>0</v>
      </c>
      <c r="E57" s="49">
        <v>0</v>
      </c>
      <c r="F57" s="44" t="s">
        <v>50</v>
      </c>
      <c r="G57" s="49">
        <f t="shared" si="15"/>
        <v>0</v>
      </c>
      <c r="H57" s="49">
        <f t="shared" si="16"/>
        <v>0</v>
      </c>
      <c r="I57" s="49">
        <f t="shared" si="17"/>
        <v>0</v>
      </c>
      <c r="J57" s="49">
        <v>0</v>
      </c>
      <c r="K57" s="49">
        <v>0</v>
      </c>
      <c r="L57" s="49">
        <v>0</v>
      </c>
      <c r="M57" s="44">
        <v>0</v>
      </c>
      <c r="N57" s="49">
        <v>0</v>
      </c>
      <c r="O57" s="44" t="s">
        <v>50</v>
      </c>
      <c r="P57" s="49">
        <v>0</v>
      </c>
      <c r="Q57" s="44" t="s">
        <v>50</v>
      </c>
      <c r="R57" s="44" t="s">
        <v>50</v>
      </c>
      <c r="S57" s="49">
        <f t="shared" si="14"/>
        <v>0</v>
      </c>
      <c r="T57" s="49">
        <f t="shared" si="18"/>
        <v>0</v>
      </c>
      <c r="U57" s="37">
        <v>0</v>
      </c>
      <c r="V57" s="91"/>
    </row>
    <row r="58" spans="1:22" ht="71.25" x14ac:dyDescent="0.25">
      <c r="A58" s="15" t="s">
        <v>21</v>
      </c>
      <c r="B58" s="16" t="s">
        <v>74</v>
      </c>
      <c r="C58" s="17" t="s">
        <v>52</v>
      </c>
      <c r="D58" s="49">
        <v>0</v>
      </c>
      <c r="E58" s="49">
        <v>0</v>
      </c>
      <c r="F58" s="44" t="s">
        <v>50</v>
      </c>
      <c r="G58" s="49">
        <f t="shared" si="15"/>
        <v>0</v>
      </c>
      <c r="H58" s="49">
        <f t="shared" si="16"/>
        <v>0</v>
      </c>
      <c r="I58" s="49">
        <f t="shared" si="17"/>
        <v>0</v>
      </c>
      <c r="J58" s="49">
        <v>0</v>
      </c>
      <c r="K58" s="49">
        <v>0</v>
      </c>
      <c r="L58" s="49">
        <v>0</v>
      </c>
      <c r="M58" s="44">
        <v>0</v>
      </c>
      <c r="N58" s="49">
        <v>0</v>
      </c>
      <c r="O58" s="44" t="s">
        <v>50</v>
      </c>
      <c r="P58" s="49">
        <v>0</v>
      </c>
      <c r="Q58" s="44" t="s">
        <v>50</v>
      </c>
      <c r="R58" s="44" t="s">
        <v>50</v>
      </c>
      <c r="S58" s="49">
        <f t="shared" si="14"/>
        <v>0</v>
      </c>
      <c r="T58" s="49">
        <f t="shared" si="18"/>
        <v>0</v>
      </c>
      <c r="U58" s="37">
        <v>0</v>
      </c>
      <c r="V58" s="91"/>
    </row>
    <row r="59" spans="1:22" ht="57" x14ac:dyDescent="0.25">
      <c r="A59" s="10" t="s">
        <v>22</v>
      </c>
      <c r="B59" s="13" t="s">
        <v>75</v>
      </c>
      <c r="C59" s="14" t="s">
        <v>52</v>
      </c>
      <c r="D59" s="49">
        <v>0</v>
      </c>
      <c r="E59" s="49">
        <f>SUM(E60:E81)</f>
        <v>34.984850496</v>
      </c>
      <c r="F59" s="44" t="s">
        <v>50</v>
      </c>
      <c r="G59" s="49">
        <f t="shared" ref="G59:Q59" si="24">SUM(G60:G81)</f>
        <v>0</v>
      </c>
      <c r="H59" s="49">
        <f t="shared" si="24"/>
        <v>0</v>
      </c>
      <c r="I59" s="49">
        <f t="shared" si="17"/>
        <v>11.19264536</v>
      </c>
      <c r="J59" s="49">
        <f t="shared" si="24"/>
        <v>0</v>
      </c>
      <c r="K59" s="49">
        <f t="shared" si="24"/>
        <v>1.01383198</v>
      </c>
      <c r="L59" s="49">
        <f t="shared" si="24"/>
        <v>0</v>
      </c>
      <c r="M59" s="49">
        <f>SUM(M60:M92)</f>
        <v>10.178813379999999</v>
      </c>
      <c r="N59" s="49">
        <f t="shared" si="24"/>
        <v>0</v>
      </c>
      <c r="O59" s="44" t="s">
        <v>50</v>
      </c>
      <c r="P59" s="49">
        <f t="shared" si="24"/>
        <v>0</v>
      </c>
      <c r="Q59" s="49">
        <f t="shared" si="24"/>
        <v>0</v>
      </c>
      <c r="R59" s="44" t="s">
        <v>50</v>
      </c>
      <c r="S59" s="49">
        <f t="shared" si="14"/>
        <v>-11.19264536</v>
      </c>
      <c r="T59" s="49">
        <f t="shared" si="18"/>
        <v>11.19264536</v>
      </c>
      <c r="U59" s="37">
        <v>0</v>
      </c>
      <c r="V59" s="91"/>
    </row>
    <row r="60" spans="1:22" s="42" customFormat="1" ht="60" x14ac:dyDescent="0.25">
      <c r="A60" s="18" t="s">
        <v>22</v>
      </c>
      <c r="B60" s="33" t="s">
        <v>508</v>
      </c>
      <c r="C60" s="43" t="s">
        <v>509</v>
      </c>
      <c r="D60" s="47">
        <v>0</v>
      </c>
      <c r="E60" s="47">
        <f>80919.1*1.2/1000000</f>
        <v>9.7102919999999995E-2</v>
      </c>
      <c r="F60" s="45" t="s">
        <v>50</v>
      </c>
      <c r="G60" s="47">
        <v>0</v>
      </c>
      <c r="H60" s="47">
        <v>0</v>
      </c>
      <c r="I60" s="47">
        <f t="shared" si="17"/>
        <v>0</v>
      </c>
      <c r="J60" s="47">
        <v>0</v>
      </c>
      <c r="K60" s="47">
        <v>0</v>
      </c>
      <c r="L60" s="47">
        <v>0</v>
      </c>
      <c r="M60" s="47">
        <v>0</v>
      </c>
      <c r="N60" s="47">
        <v>0</v>
      </c>
      <c r="O60" s="45" t="s">
        <v>50</v>
      </c>
      <c r="P60" s="47">
        <v>0</v>
      </c>
      <c r="Q60" s="47">
        <v>0</v>
      </c>
      <c r="R60" s="45" t="s">
        <v>50</v>
      </c>
      <c r="S60" s="47">
        <f t="shared" si="14"/>
        <v>0</v>
      </c>
      <c r="T60" s="47">
        <f t="shared" si="18"/>
        <v>0</v>
      </c>
      <c r="U60" s="48">
        <v>0</v>
      </c>
      <c r="V60" s="91"/>
    </row>
    <row r="61" spans="1:22" s="42" customFormat="1" ht="45" x14ac:dyDescent="0.25">
      <c r="A61" s="18" t="s">
        <v>22</v>
      </c>
      <c r="B61" s="33" t="s">
        <v>469</v>
      </c>
      <c r="C61" s="43" t="s">
        <v>470</v>
      </c>
      <c r="D61" s="47">
        <v>0</v>
      </c>
      <c r="E61" s="47">
        <f>652422.93*1.2/1000000</f>
        <v>0.78290751600000008</v>
      </c>
      <c r="F61" s="45" t="s">
        <v>50</v>
      </c>
      <c r="G61" s="47">
        <v>0</v>
      </c>
      <c r="H61" s="47">
        <v>0</v>
      </c>
      <c r="I61" s="47">
        <f t="shared" si="17"/>
        <v>0</v>
      </c>
      <c r="J61" s="47">
        <v>0</v>
      </c>
      <c r="K61" s="47">
        <v>0</v>
      </c>
      <c r="L61" s="47">
        <v>0</v>
      </c>
      <c r="M61" s="47">
        <v>0</v>
      </c>
      <c r="N61" s="47">
        <v>0</v>
      </c>
      <c r="O61" s="45" t="s">
        <v>50</v>
      </c>
      <c r="P61" s="47">
        <v>0</v>
      </c>
      <c r="Q61" s="47">
        <v>0</v>
      </c>
      <c r="R61" s="45" t="s">
        <v>50</v>
      </c>
      <c r="S61" s="47">
        <f t="shared" si="14"/>
        <v>0</v>
      </c>
      <c r="T61" s="47">
        <f t="shared" si="18"/>
        <v>0</v>
      </c>
      <c r="U61" s="48">
        <v>0</v>
      </c>
      <c r="V61" s="91"/>
    </row>
    <row r="62" spans="1:22" s="42" customFormat="1" ht="60" x14ac:dyDescent="0.25">
      <c r="A62" s="18" t="s">
        <v>22</v>
      </c>
      <c r="B62" s="33" t="s">
        <v>471</v>
      </c>
      <c r="C62" s="43" t="s">
        <v>472</v>
      </c>
      <c r="D62" s="47">
        <v>0</v>
      </c>
      <c r="E62" s="47">
        <f>480576.75*1.2/1000000</f>
        <v>0.57669209999999993</v>
      </c>
      <c r="F62" s="45" t="s">
        <v>50</v>
      </c>
      <c r="G62" s="47">
        <v>0</v>
      </c>
      <c r="H62" s="47">
        <v>0</v>
      </c>
      <c r="I62" s="47">
        <f t="shared" si="17"/>
        <v>0</v>
      </c>
      <c r="J62" s="47">
        <v>0</v>
      </c>
      <c r="K62" s="47">
        <v>0</v>
      </c>
      <c r="L62" s="47">
        <v>0</v>
      </c>
      <c r="M62" s="47">
        <v>0</v>
      </c>
      <c r="N62" s="47">
        <v>0</v>
      </c>
      <c r="O62" s="45" t="s">
        <v>50</v>
      </c>
      <c r="P62" s="47">
        <v>0</v>
      </c>
      <c r="Q62" s="47">
        <v>0</v>
      </c>
      <c r="R62" s="45" t="s">
        <v>50</v>
      </c>
      <c r="S62" s="47">
        <f t="shared" si="14"/>
        <v>0</v>
      </c>
      <c r="T62" s="47">
        <f t="shared" si="18"/>
        <v>0</v>
      </c>
      <c r="U62" s="48">
        <v>0</v>
      </c>
      <c r="V62" s="91"/>
    </row>
    <row r="63" spans="1:22" s="42" customFormat="1" ht="45" x14ac:dyDescent="0.25">
      <c r="A63" s="18" t="s">
        <v>22</v>
      </c>
      <c r="B63" s="33" t="s">
        <v>510</v>
      </c>
      <c r="C63" s="43" t="s">
        <v>511</v>
      </c>
      <c r="D63" s="47">
        <v>0</v>
      </c>
      <c r="E63" s="47">
        <f>365082.49*1.2/1000000</f>
        <v>0.43809898799999997</v>
      </c>
      <c r="F63" s="45" t="s">
        <v>50</v>
      </c>
      <c r="G63" s="47">
        <v>0</v>
      </c>
      <c r="H63" s="47">
        <v>0</v>
      </c>
      <c r="I63" s="47">
        <f t="shared" si="17"/>
        <v>0</v>
      </c>
      <c r="J63" s="47">
        <v>0</v>
      </c>
      <c r="K63" s="47">
        <v>0</v>
      </c>
      <c r="L63" s="47">
        <v>0</v>
      </c>
      <c r="M63" s="47">
        <v>0</v>
      </c>
      <c r="N63" s="47">
        <v>0</v>
      </c>
      <c r="O63" s="45" t="s">
        <v>50</v>
      </c>
      <c r="P63" s="47">
        <v>0</v>
      </c>
      <c r="Q63" s="47">
        <v>0</v>
      </c>
      <c r="R63" s="45" t="s">
        <v>50</v>
      </c>
      <c r="S63" s="47">
        <f t="shared" si="14"/>
        <v>0</v>
      </c>
      <c r="T63" s="47">
        <f t="shared" si="18"/>
        <v>0</v>
      </c>
      <c r="U63" s="48">
        <v>0</v>
      </c>
      <c r="V63" s="91"/>
    </row>
    <row r="64" spans="1:22" s="42" customFormat="1" ht="60" x14ac:dyDescent="0.25">
      <c r="A64" s="18" t="s">
        <v>22</v>
      </c>
      <c r="B64" s="33" t="s">
        <v>512</v>
      </c>
      <c r="C64" s="43" t="s">
        <v>513</v>
      </c>
      <c r="D64" s="47">
        <v>0</v>
      </c>
      <c r="E64" s="47">
        <f>1005993.42*1.2/1000000</f>
        <v>1.207192104</v>
      </c>
      <c r="F64" s="45" t="s">
        <v>50</v>
      </c>
      <c r="G64" s="47">
        <v>0</v>
      </c>
      <c r="H64" s="47">
        <v>0</v>
      </c>
      <c r="I64" s="47">
        <f t="shared" si="17"/>
        <v>0</v>
      </c>
      <c r="J64" s="47">
        <v>0</v>
      </c>
      <c r="K64" s="47">
        <v>0</v>
      </c>
      <c r="L64" s="47">
        <v>0</v>
      </c>
      <c r="M64" s="47">
        <v>0</v>
      </c>
      <c r="N64" s="47">
        <v>0</v>
      </c>
      <c r="O64" s="45" t="s">
        <v>50</v>
      </c>
      <c r="P64" s="47">
        <v>0</v>
      </c>
      <c r="Q64" s="47">
        <v>0</v>
      </c>
      <c r="R64" s="45" t="s">
        <v>50</v>
      </c>
      <c r="S64" s="47">
        <f t="shared" si="14"/>
        <v>0</v>
      </c>
      <c r="T64" s="47">
        <f t="shared" si="18"/>
        <v>0</v>
      </c>
      <c r="U64" s="48">
        <v>0</v>
      </c>
      <c r="V64" s="91"/>
    </row>
    <row r="65" spans="1:22" s="42" customFormat="1" ht="60" x14ac:dyDescent="0.25">
      <c r="A65" s="18" t="s">
        <v>22</v>
      </c>
      <c r="B65" s="33" t="s">
        <v>514</v>
      </c>
      <c r="C65" s="43" t="s">
        <v>515</v>
      </c>
      <c r="D65" s="47">
        <v>0</v>
      </c>
      <c r="E65" s="47">
        <f>62236.17*1.2/1000000</f>
        <v>7.4683403999999995E-2</v>
      </c>
      <c r="F65" s="45" t="s">
        <v>50</v>
      </c>
      <c r="G65" s="47">
        <v>0</v>
      </c>
      <c r="H65" s="47">
        <v>0</v>
      </c>
      <c r="I65" s="47">
        <f t="shared" si="17"/>
        <v>0</v>
      </c>
      <c r="J65" s="47">
        <v>0</v>
      </c>
      <c r="K65" s="47">
        <v>0</v>
      </c>
      <c r="L65" s="47">
        <v>0</v>
      </c>
      <c r="M65" s="47">
        <v>0</v>
      </c>
      <c r="N65" s="47">
        <v>0</v>
      </c>
      <c r="O65" s="45" t="s">
        <v>50</v>
      </c>
      <c r="P65" s="47">
        <v>0</v>
      </c>
      <c r="Q65" s="47">
        <v>0</v>
      </c>
      <c r="R65" s="45" t="s">
        <v>50</v>
      </c>
      <c r="S65" s="47">
        <f t="shared" si="14"/>
        <v>0</v>
      </c>
      <c r="T65" s="47">
        <f t="shared" si="18"/>
        <v>0</v>
      </c>
      <c r="U65" s="48">
        <v>0</v>
      </c>
      <c r="V65" s="91"/>
    </row>
    <row r="66" spans="1:22" s="42" customFormat="1" ht="60" x14ac:dyDescent="0.25">
      <c r="A66" s="18" t="s">
        <v>22</v>
      </c>
      <c r="B66" s="33" t="s">
        <v>516</v>
      </c>
      <c r="C66" s="43" t="s">
        <v>517</v>
      </c>
      <c r="D66" s="47">
        <v>0</v>
      </c>
      <c r="E66" s="47">
        <f>45050.44*1.2/1000000</f>
        <v>5.4060527999999997E-2</v>
      </c>
      <c r="F66" s="45" t="s">
        <v>50</v>
      </c>
      <c r="G66" s="47">
        <v>0</v>
      </c>
      <c r="H66" s="47">
        <v>0</v>
      </c>
      <c r="I66" s="47">
        <f t="shared" si="17"/>
        <v>0</v>
      </c>
      <c r="J66" s="47">
        <v>0</v>
      </c>
      <c r="K66" s="47">
        <v>0</v>
      </c>
      <c r="L66" s="47">
        <v>0</v>
      </c>
      <c r="M66" s="47">
        <v>0</v>
      </c>
      <c r="N66" s="47">
        <v>0</v>
      </c>
      <c r="O66" s="45" t="s">
        <v>50</v>
      </c>
      <c r="P66" s="47">
        <v>0</v>
      </c>
      <c r="Q66" s="47">
        <v>0</v>
      </c>
      <c r="R66" s="45" t="s">
        <v>50</v>
      </c>
      <c r="S66" s="47">
        <f t="shared" si="14"/>
        <v>0</v>
      </c>
      <c r="T66" s="47">
        <f t="shared" si="18"/>
        <v>0</v>
      </c>
      <c r="U66" s="48">
        <v>0</v>
      </c>
      <c r="V66" s="91"/>
    </row>
    <row r="67" spans="1:22" s="42" customFormat="1" ht="75" x14ac:dyDescent="0.25">
      <c r="A67" s="18" t="s">
        <v>22</v>
      </c>
      <c r="B67" s="33" t="s">
        <v>518</v>
      </c>
      <c r="C67" s="43" t="s">
        <v>519</v>
      </c>
      <c r="D67" s="47">
        <v>0</v>
      </c>
      <c r="E67" s="47">
        <f>112400.85*1.2/1000000</f>
        <v>0.13488101999999999</v>
      </c>
      <c r="F67" s="45" t="s">
        <v>50</v>
      </c>
      <c r="G67" s="47">
        <v>0</v>
      </c>
      <c r="H67" s="47">
        <v>0</v>
      </c>
      <c r="I67" s="47">
        <f t="shared" si="17"/>
        <v>0</v>
      </c>
      <c r="J67" s="47">
        <v>0</v>
      </c>
      <c r="K67" s="47">
        <v>0</v>
      </c>
      <c r="L67" s="47">
        <v>0</v>
      </c>
      <c r="M67" s="47">
        <v>0</v>
      </c>
      <c r="N67" s="47">
        <v>0</v>
      </c>
      <c r="O67" s="45" t="s">
        <v>50</v>
      </c>
      <c r="P67" s="47">
        <v>0</v>
      </c>
      <c r="Q67" s="47">
        <v>0</v>
      </c>
      <c r="R67" s="45" t="s">
        <v>50</v>
      </c>
      <c r="S67" s="47">
        <f t="shared" si="14"/>
        <v>0</v>
      </c>
      <c r="T67" s="47">
        <f t="shared" si="18"/>
        <v>0</v>
      </c>
      <c r="U67" s="48">
        <v>0</v>
      </c>
      <c r="V67" s="91"/>
    </row>
    <row r="68" spans="1:22" s="42" customFormat="1" ht="60" x14ac:dyDescent="0.25">
      <c r="A68" s="18" t="s">
        <v>22</v>
      </c>
      <c r="B68" s="33" t="s">
        <v>520</v>
      </c>
      <c r="C68" s="43" t="s">
        <v>521</v>
      </c>
      <c r="D68" s="47">
        <v>0</v>
      </c>
      <c r="E68" s="47">
        <f>48181.54*1.2/1000000</f>
        <v>5.7817847999999998E-2</v>
      </c>
      <c r="F68" s="45" t="s">
        <v>50</v>
      </c>
      <c r="G68" s="47">
        <v>0</v>
      </c>
      <c r="H68" s="47">
        <v>0</v>
      </c>
      <c r="I68" s="47">
        <f t="shared" si="17"/>
        <v>0</v>
      </c>
      <c r="J68" s="47">
        <v>0</v>
      </c>
      <c r="K68" s="47">
        <v>0</v>
      </c>
      <c r="L68" s="47">
        <v>0</v>
      </c>
      <c r="M68" s="47">
        <v>0</v>
      </c>
      <c r="N68" s="47">
        <v>0</v>
      </c>
      <c r="O68" s="45" t="s">
        <v>50</v>
      </c>
      <c r="P68" s="47">
        <v>0</v>
      </c>
      <c r="Q68" s="47">
        <v>0</v>
      </c>
      <c r="R68" s="45" t="s">
        <v>50</v>
      </c>
      <c r="S68" s="47">
        <f t="shared" si="14"/>
        <v>0</v>
      </c>
      <c r="T68" s="47">
        <f t="shared" si="18"/>
        <v>0</v>
      </c>
      <c r="U68" s="48">
        <v>0</v>
      </c>
      <c r="V68" s="91"/>
    </row>
    <row r="69" spans="1:22" s="42" customFormat="1" ht="60" x14ac:dyDescent="0.25">
      <c r="A69" s="18" t="s">
        <v>22</v>
      </c>
      <c r="B69" s="33" t="s">
        <v>522</v>
      </c>
      <c r="C69" s="43" t="s">
        <v>523</v>
      </c>
      <c r="D69" s="47">
        <v>0</v>
      </c>
      <c r="E69" s="47">
        <f>52632.41*1.2/1000000</f>
        <v>6.3158891999999994E-2</v>
      </c>
      <c r="F69" s="45" t="s">
        <v>50</v>
      </c>
      <c r="G69" s="47">
        <v>0</v>
      </c>
      <c r="H69" s="47">
        <v>0</v>
      </c>
      <c r="I69" s="47">
        <f t="shared" si="17"/>
        <v>0</v>
      </c>
      <c r="J69" s="47">
        <v>0</v>
      </c>
      <c r="K69" s="47">
        <v>0</v>
      </c>
      <c r="L69" s="47">
        <v>0</v>
      </c>
      <c r="M69" s="47">
        <v>0</v>
      </c>
      <c r="N69" s="47">
        <v>0</v>
      </c>
      <c r="O69" s="45" t="s">
        <v>50</v>
      </c>
      <c r="P69" s="47">
        <v>0</v>
      </c>
      <c r="Q69" s="47">
        <v>0</v>
      </c>
      <c r="R69" s="45" t="s">
        <v>50</v>
      </c>
      <c r="S69" s="47">
        <f t="shared" si="14"/>
        <v>0</v>
      </c>
      <c r="T69" s="47">
        <f t="shared" si="18"/>
        <v>0</v>
      </c>
      <c r="U69" s="48">
        <v>0</v>
      </c>
      <c r="V69" s="91"/>
    </row>
    <row r="70" spans="1:22" s="42" customFormat="1" ht="45" x14ac:dyDescent="0.25">
      <c r="A70" s="18" t="s">
        <v>22</v>
      </c>
      <c r="B70" s="33" t="s">
        <v>524</v>
      </c>
      <c r="C70" s="43" t="s">
        <v>525</v>
      </c>
      <c r="D70" s="47">
        <v>0</v>
      </c>
      <c r="E70" s="47">
        <f>36372.31*1.2/1000000</f>
        <v>4.3646772E-2</v>
      </c>
      <c r="F70" s="45" t="s">
        <v>50</v>
      </c>
      <c r="G70" s="47">
        <v>0</v>
      </c>
      <c r="H70" s="47">
        <v>0</v>
      </c>
      <c r="I70" s="47">
        <f t="shared" si="17"/>
        <v>0</v>
      </c>
      <c r="J70" s="47">
        <v>0</v>
      </c>
      <c r="K70" s="47">
        <v>0</v>
      </c>
      <c r="L70" s="47">
        <v>0</v>
      </c>
      <c r="M70" s="47">
        <v>0</v>
      </c>
      <c r="N70" s="47">
        <v>0</v>
      </c>
      <c r="O70" s="45" t="s">
        <v>50</v>
      </c>
      <c r="P70" s="47">
        <v>0</v>
      </c>
      <c r="Q70" s="47">
        <v>0</v>
      </c>
      <c r="R70" s="45" t="s">
        <v>50</v>
      </c>
      <c r="S70" s="47">
        <f t="shared" si="14"/>
        <v>0</v>
      </c>
      <c r="T70" s="47">
        <f t="shared" si="18"/>
        <v>0</v>
      </c>
      <c r="U70" s="48">
        <v>0</v>
      </c>
      <c r="V70" s="91"/>
    </row>
    <row r="71" spans="1:22" s="42" customFormat="1" ht="75" x14ac:dyDescent="0.25">
      <c r="A71" s="18" t="s">
        <v>22</v>
      </c>
      <c r="B71" s="33" t="s">
        <v>526</v>
      </c>
      <c r="C71" s="43" t="s">
        <v>527</v>
      </c>
      <c r="D71" s="47">
        <v>0</v>
      </c>
      <c r="E71" s="47">
        <f>25496.72*1.2/1000000</f>
        <v>3.0596063999999999E-2</v>
      </c>
      <c r="F71" s="45" t="s">
        <v>50</v>
      </c>
      <c r="G71" s="47">
        <v>0</v>
      </c>
      <c r="H71" s="47">
        <v>0</v>
      </c>
      <c r="I71" s="47">
        <f t="shared" si="17"/>
        <v>0</v>
      </c>
      <c r="J71" s="47">
        <v>0</v>
      </c>
      <c r="K71" s="47">
        <v>0</v>
      </c>
      <c r="L71" s="47">
        <v>0</v>
      </c>
      <c r="M71" s="47">
        <v>0</v>
      </c>
      <c r="N71" s="47">
        <v>0</v>
      </c>
      <c r="O71" s="45" t="s">
        <v>50</v>
      </c>
      <c r="P71" s="47">
        <v>0</v>
      </c>
      <c r="Q71" s="47">
        <v>0</v>
      </c>
      <c r="R71" s="45" t="s">
        <v>50</v>
      </c>
      <c r="S71" s="47">
        <f t="shared" si="14"/>
        <v>0</v>
      </c>
      <c r="T71" s="47">
        <f t="shared" si="18"/>
        <v>0</v>
      </c>
      <c r="U71" s="48">
        <v>0</v>
      </c>
      <c r="V71" s="91"/>
    </row>
    <row r="72" spans="1:22" s="42" customFormat="1" ht="150" x14ac:dyDescent="0.25">
      <c r="A72" s="18" t="s">
        <v>22</v>
      </c>
      <c r="B72" s="33" t="s">
        <v>528</v>
      </c>
      <c r="C72" s="43" t="s">
        <v>529</v>
      </c>
      <c r="D72" s="47">
        <v>0</v>
      </c>
      <c r="E72" s="47">
        <f>25720605.89*1.2/1000000</f>
        <v>30.864727068000001</v>
      </c>
      <c r="F72" s="45" t="s">
        <v>50</v>
      </c>
      <c r="G72" s="47">
        <v>0</v>
      </c>
      <c r="H72" s="47">
        <v>0</v>
      </c>
      <c r="I72" s="47">
        <f t="shared" si="17"/>
        <v>0</v>
      </c>
      <c r="J72" s="47">
        <v>0</v>
      </c>
      <c r="K72" s="47">
        <v>0</v>
      </c>
      <c r="L72" s="47">
        <v>0</v>
      </c>
      <c r="M72" s="47">
        <v>0</v>
      </c>
      <c r="N72" s="47">
        <v>0</v>
      </c>
      <c r="O72" s="45" t="s">
        <v>50</v>
      </c>
      <c r="P72" s="47">
        <v>0</v>
      </c>
      <c r="Q72" s="47">
        <v>0</v>
      </c>
      <c r="R72" s="45" t="s">
        <v>50</v>
      </c>
      <c r="S72" s="47">
        <f t="shared" si="14"/>
        <v>0</v>
      </c>
      <c r="T72" s="47">
        <f t="shared" si="18"/>
        <v>0</v>
      </c>
      <c r="U72" s="48">
        <v>0</v>
      </c>
      <c r="V72" s="91"/>
    </row>
    <row r="73" spans="1:22" s="42" customFormat="1" ht="45" x14ac:dyDescent="0.25">
      <c r="A73" s="18" t="s">
        <v>22</v>
      </c>
      <c r="B73" s="33" t="s">
        <v>530</v>
      </c>
      <c r="C73" s="43" t="s">
        <v>531</v>
      </c>
      <c r="D73" s="47">
        <v>0</v>
      </c>
      <c r="E73" s="47">
        <f>440788.25*1.2/1000000</f>
        <v>0.52894589999999997</v>
      </c>
      <c r="F73" s="45" t="s">
        <v>50</v>
      </c>
      <c r="G73" s="47">
        <v>0</v>
      </c>
      <c r="H73" s="47">
        <v>0</v>
      </c>
      <c r="I73" s="47">
        <f t="shared" si="17"/>
        <v>0</v>
      </c>
      <c r="J73" s="47">
        <v>0</v>
      </c>
      <c r="K73" s="47">
        <v>0</v>
      </c>
      <c r="L73" s="47">
        <v>0</v>
      </c>
      <c r="M73" s="47">
        <v>0</v>
      </c>
      <c r="N73" s="47">
        <v>0</v>
      </c>
      <c r="O73" s="45" t="s">
        <v>50</v>
      </c>
      <c r="P73" s="47">
        <v>0</v>
      </c>
      <c r="Q73" s="47">
        <v>0</v>
      </c>
      <c r="R73" s="45" t="s">
        <v>50</v>
      </c>
      <c r="S73" s="47">
        <f t="shared" si="14"/>
        <v>0</v>
      </c>
      <c r="T73" s="47">
        <f t="shared" si="18"/>
        <v>0</v>
      </c>
      <c r="U73" s="48">
        <v>0</v>
      </c>
      <c r="V73" s="91"/>
    </row>
    <row r="74" spans="1:22" s="42" customFormat="1" ht="45" x14ac:dyDescent="0.25">
      <c r="A74" s="18" t="s">
        <v>22</v>
      </c>
      <c r="B74" s="33" t="s">
        <v>532</v>
      </c>
      <c r="C74" s="43" t="s">
        <v>533</v>
      </c>
      <c r="D74" s="47">
        <v>0</v>
      </c>
      <c r="E74" s="47">
        <f>(67178.81-41896)*1.2/1000000</f>
        <v>3.0339371999999996E-2</v>
      </c>
      <c r="F74" s="45" t="s">
        <v>50</v>
      </c>
      <c r="G74" s="47">
        <v>0</v>
      </c>
      <c r="H74" s="47">
        <v>0</v>
      </c>
      <c r="I74" s="47">
        <f t="shared" si="17"/>
        <v>0</v>
      </c>
      <c r="J74" s="47">
        <v>0</v>
      </c>
      <c r="K74" s="47">
        <v>0</v>
      </c>
      <c r="L74" s="47">
        <v>0</v>
      </c>
      <c r="M74" s="47">
        <v>0</v>
      </c>
      <c r="N74" s="47">
        <v>0</v>
      </c>
      <c r="O74" s="45" t="s">
        <v>50</v>
      </c>
      <c r="P74" s="47">
        <v>0</v>
      </c>
      <c r="Q74" s="47">
        <v>0</v>
      </c>
      <c r="R74" s="45" t="s">
        <v>50</v>
      </c>
      <c r="S74" s="47">
        <f t="shared" si="14"/>
        <v>0</v>
      </c>
      <c r="T74" s="47">
        <f t="shared" si="18"/>
        <v>0</v>
      </c>
      <c r="U74" s="48">
        <v>0</v>
      </c>
      <c r="V74" s="91"/>
    </row>
    <row r="75" spans="1:22" s="42" customFormat="1" ht="81.75" customHeight="1" x14ac:dyDescent="0.25">
      <c r="A75" s="18" t="s">
        <v>22</v>
      </c>
      <c r="B75" s="33" t="s">
        <v>460</v>
      </c>
      <c r="C75" s="43" t="s">
        <v>461</v>
      </c>
      <c r="D75" s="47">
        <v>0</v>
      </c>
      <c r="E75" s="47">
        <v>0</v>
      </c>
      <c r="F75" s="45" t="s">
        <v>50</v>
      </c>
      <c r="G75" s="47">
        <v>0</v>
      </c>
      <c r="H75" s="47">
        <f t="shared" ref="H75" si="25">K75</f>
        <v>0</v>
      </c>
      <c r="I75" s="47">
        <f t="shared" si="17"/>
        <v>0</v>
      </c>
      <c r="J75" s="47">
        <v>0</v>
      </c>
      <c r="K75" s="47">
        <v>0</v>
      </c>
      <c r="L75" s="47">
        <v>0</v>
      </c>
      <c r="M75" s="45">
        <v>0</v>
      </c>
      <c r="N75" s="47">
        <v>0</v>
      </c>
      <c r="O75" s="45" t="s">
        <v>50</v>
      </c>
      <c r="P75" s="47">
        <v>0</v>
      </c>
      <c r="Q75" s="47" t="s">
        <v>50</v>
      </c>
      <c r="R75" s="45" t="s">
        <v>50</v>
      </c>
      <c r="S75" s="47">
        <f t="shared" si="14"/>
        <v>0</v>
      </c>
      <c r="T75" s="47">
        <f t="shared" si="18"/>
        <v>0</v>
      </c>
      <c r="U75" s="48">
        <v>0</v>
      </c>
      <c r="V75" s="91"/>
    </row>
    <row r="76" spans="1:22" s="42" customFormat="1" ht="81.75" customHeight="1" x14ac:dyDescent="0.25">
      <c r="A76" s="18" t="s">
        <v>22</v>
      </c>
      <c r="B76" s="33" t="s">
        <v>473</v>
      </c>
      <c r="C76" s="43" t="s">
        <v>462</v>
      </c>
      <c r="D76" s="47">
        <v>0</v>
      </c>
      <c r="E76" s="47">
        <v>0</v>
      </c>
      <c r="F76" s="45" t="s">
        <v>50</v>
      </c>
      <c r="G76" s="47">
        <v>0</v>
      </c>
      <c r="H76" s="47">
        <v>0</v>
      </c>
      <c r="I76" s="47">
        <f t="shared" si="17"/>
        <v>9.7795455699999998</v>
      </c>
      <c r="J76" s="47">
        <v>0</v>
      </c>
      <c r="K76" s="47">
        <v>0</v>
      </c>
      <c r="L76" s="47">
        <v>0</v>
      </c>
      <c r="M76" s="45">
        <v>9.7795455699999998</v>
      </c>
      <c r="N76" s="47">
        <v>0</v>
      </c>
      <c r="O76" s="45" t="s">
        <v>50</v>
      </c>
      <c r="P76" s="47">
        <v>0</v>
      </c>
      <c r="Q76" s="47" t="s">
        <v>50</v>
      </c>
      <c r="R76" s="45" t="s">
        <v>50</v>
      </c>
      <c r="S76" s="47">
        <f t="shared" si="14"/>
        <v>-9.7795455699999998</v>
      </c>
      <c r="T76" s="47">
        <f t="shared" si="18"/>
        <v>9.7795455699999998</v>
      </c>
      <c r="U76" s="48">
        <v>0</v>
      </c>
      <c r="V76" s="91"/>
    </row>
    <row r="77" spans="1:22" s="42" customFormat="1" ht="81.75" customHeight="1" x14ac:dyDescent="0.25">
      <c r="A77" s="18" t="s">
        <v>22</v>
      </c>
      <c r="B77" s="33" t="s">
        <v>463</v>
      </c>
      <c r="C77" s="43" t="s">
        <v>464</v>
      </c>
      <c r="D77" s="47">
        <v>0</v>
      </c>
      <c r="E77" s="47">
        <v>0</v>
      </c>
      <c r="F77" s="45" t="s">
        <v>50</v>
      </c>
      <c r="G77" s="47">
        <v>0</v>
      </c>
      <c r="H77" s="47">
        <f>J77</f>
        <v>0</v>
      </c>
      <c r="I77" s="47">
        <f t="shared" si="17"/>
        <v>0.95793236000000004</v>
      </c>
      <c r="J77" s="47">
        <v>0</v>
      </c>
      <c r="K77" s="47">
        <f>957.93236/1000</f>
        <v>0.95793236000000004</v>
      </c>
      <c r="L77" s="47">
        <v>0</v>
      </c>
      <c r="M77" s="45">
        <v>0</v>
      </c>
      <c r="N77" s="47">
        <v>0</v>
      </c>
      <c r="O77" s="45" t="s">
        <v>50</v>
      </c>
      <c r="P77" s="47">
        <v>0</v>
      </c>
      <c r="Q77" s="47" t="s">
        <v>50</v>
      </c>
      <c r="R77" s="45" t="s">
        <v>50</v>
      </c>
      <c r="S77" s="47">
        <f t="shared" si="14"/>
        <v>-0.95793236000000004</v>
      </c>
      <c r="T77" s="47">
        <f t="shared" si="18"/>
        <v>0.95793236000000004</v>
      </c>
      <c r="U77" s="48">
        <v>0</v>
      </c>
      <c r="V77" s="91"/>
    </row>
    <row r="78" spans="1:22" s="42" customFormat="1" ht="81.75" customHeight="1" x14ac:dyDescent="0.25">
      <c r="A78" s="18" t="s">
        <v>22</v>
      </c>
      <c r="B78" s="33" t="s">
        <v>465</v>
      </c>
      <c r="C78" s="43" t="s">
        <v>466</v>
      </c>
      <c r="D78" s="47">
        <v>0</v>
      </c>
      <c r="E78" s="47">
        <v>0</v>
      </c>
      <c r="F78" s="45" t="s">
        <v>50</v>
      </c>
      <c r="G78" s="47">
        <v>0</v>
      </c>
      <c r="H78" s="47">
        <f t="shared" ref="H78:H80" si="26">J78</f>
        <v>0</v>
      </c>
      <c r="I78" s="47">
        <f t="shared" si="17"/>
        <v>5.5899619999999997E-2</v>
      </c>
      <c r="J78" s="47">
        <v>0</v>
      </c>
      <c r="K78" s="47">
        <f>55.89962/1000</f>
        <v>5.5899619999999997E-2</v>
      </c>
      <c r="L78" s="47">
        <v>0</v>
      </c>
      <c r="M78" s="45">
        <v>0</v>
      </c>
      <c r="N78" s="47">
        <v>0</v>
      </c>
      <c r="O78" s="45" t="s">
        <v>50</v>
      </c>
      <c r="P78" s="47">
        <v>0</v>
      </c>
      <c r="Q78" s="45" t="s">
        <v>50</v>
      </c>
      <c r="R78" s="45" t="s">
        <v>50</v>
      </c>
      <c r="S78" s="47">
        <f t="shared" si="14"/>
        <v>-5.5899619999999997E-2</v>
      </c>
      <c r="T78" s="47">
        <f t="shared" si="18"/>
        <v>5.5899619999999997E-2</v>
      </c>
      <c r="U78" s="48">
        <v>0</v>
      </c>
      <c r="V78" s="91"/>
    </row>
    <row r="79" spans="1:22" s="42" customFormat="1" ht="81.75" customHeight="1" x14ac:dyDescent="0.25">
      <c r="A79" s="18" t="s">
        <v>22</v>
      </c>
      <c r="B79" s="33" t="s">
        <v>467</v>
      </c>
      <c r="C79" s="43" t="s">
        <v>468</v>
      </c>
      <c r="D79" s="47">
        <v>0</v>
      </c>
      <c r="E79" s="47">
        <v>0</v>
      </c>
      <c r="F79" s="45" t="s">
        <v>50</v>
      </c>
      <c r="G79" s="47">
        <v>0</v>
      </c>
      <c r="H79" s="47">
        <f t="shared" si="26"/>
        <v>0</v>
      </c>
      <c r="I79" s="47">
        <f t="shared" si="17"/>
        <v>0</v>
      </c>
      <c r="J79" s="47">
        <v>0</v>
      </c>
      <c r="K79" s="47">
        <v>0</v>
      </c>
      <c r="L79" s="47">
        <v>0</v>
      </c>
      <c r="M79" s="45">
        <v>0</v>
      </c>
      <c r="N79" s="47">
        <v>0</v>
      </c>
      <c r="O79" s="45" t="s">
        <v>50</v>
      </c>
      <c r="P79" s="47">
        <v>0</v>
      </c>
      <c r="Q79" s="45" t="s">
        <v>50</v>
      </c>
      <c r="R79" s="45" t="s">
        <v>50</v>
      </c>
      <c r="S79" s="47">
        <f t="shared" si="14"/>
        <v>0</v>
      </c>
      <c r="T79" s="47">
        <f t="shared" si="18"/>
        <v>0</v>
      </c>
      <c r="U79" s="48">
        <v>0</v>
      </c>
      <c r="V79" s="91"/>
    </row>
    <row r="80" spans="1:22" ht="81.75" customHeight="1" x14ac:dyDescent="0.25">
      <c r="A80" s="18" t="s">
        <v>22</v>
      </c>
      <c r="B80" s="33" t="s">
        <v>469</v>
      </c>
      <c r="C80" s="43" t="s">
        <v>470</v>
      </c>
      <c r="D80" s="47">
        <v>0</v>
      </c>
      <c r="E80" s="47">
        <v>0</v>
      </c>
      <c r="F80" s="45" t="s">
        <v>50</v>
      </c>
      <c r="G80" s="47">
        <f t="shared" si="15"/>
        <v>0</v>
      </c>
      <c r="H80" s="47">
        <f t="shared" si="26"/>
        <v>0</v>
      </c>
      <c r="I80" s="47">
        <f t="shared" si="17"/>
        <v>0</v>
      </c>
      <c r="J80" s="47">
        <v>0</v>
      </c>
      <c r="K80" s="47">
        <v>0</v>
      </c>
      <c r="L80" s="47">
        <v>0</v>
      </c>
      <c r="M80" s="45">
        <v>0</v>
      </c>
      <c r="N80" s="47">
        <v>0</v>
      </c>
      <c r="O80" s="45" t="s">
        <v>50</v>
      </c>
      <c r="P80" s="47">
        <v>0</v>
      </c>
      <c r="Q80" s="45" t="s">
        <v>50</v>
      </c>
      <c r="R80" s="45" t="s">
        <v>50</v>
      </c>
      <c r="S80" s="47">
        <f t="shared" si="14"/>
        <v>0</v>
      </c>
      <c r="T80" s="47">
        <f t="shared" si="18"/>
        <v>0</v>
      </c>
      <c r="U80" s="48">
        <v>0</v>
      </c>
      <c r="V80" s="91"/>
    </row>
    <row r="81" spans="1:22" ht="81.75" customHeight="1" x14ac:dyDescent="0.25">
      <c r="A81" s="18" t="s">
        <v>22</v>
      </c>
      <c r="B81" s="33" t="s">
        <v>471</v>
      </c>
      <c r="C81" s="43" t="s">
        <v>472</v>
      </c>
      <c r="D81" s="47">
        <v>0</v>
      </c>
      <c r="E81" s="47">
        <v>0</v>
      </c>
      <c r="F81" s="45" t="s">
        <v>50</v>
      </c>
      <c r="G81" s="47">
        <f t="shared" si="15"/>
        <v>0</v>
      </c>
      <c r="H81" s="47">
        <v>0</v>
      </c>
      <c r="I81" s="47">
        <v>0</v>
      </c>
      <c r="J81" s="47">
        <v>0</v>
      </c>
      <c r="K81" s="47">
        <v>0</v>
      </c>
      <c r="L81" s="47">
        <v>0</v>
      </c>
      <c r="M81" s="45">
        <v>0</v>
      </c>
      <c r="N81" s="47">
        <v>0</v>
      </c>
      <c r="O81" s="45" t="s">
        <v>50</v>
      </c>
      <c r="P81" s="47">
        <v>0</v>
      </c>
      <c r="Q81" s="45" t="s">
        <v>50</v>
      </c>
      <c r="R81" s="45" t="s">
        <v>50</v>
      </c>
      <c r="S81" s="47">
        <f t="shared" ref="S81:S144" si="27">G81-I81</f>
        <v>0</v>
      </c>
      <c r="T81" s="47">
        <f t="shared" si="18"/>
        <v>0</v>
      </c>
      <c r="U81" s="48">
        <v>0</v>
      </c>
      <c r="V81" s="91"/>
    </row>
    <row r="82" spans="1:22" s="42" customFormat="1" ht="81.75" customHeight="1" x14ac:dyDescent="0.25">
      <c r="A82" s="61" t="s">
        <v>22</v>
      </c>
      <c r="B82" s="33" t="s">
        <v>698</v>
      </c>
      <c r="C82" s="43" t="s">
        <v>707</v>
      </c>
      <c r="D82" s="47">
        <v>0</v>
      </c>
      <c r="E82" s="47">
        <v>0</v>
      </c>
      <c r="F82" s="45" t="s">
        <v>50</v>
      </c>
      <c r="G82" s="47">
        <f t="shared" si="15"/>
        <v>0</v>
      </c>
      <c r="H82" s="47">
        <v>0</v>
      </c>
      <c r="I82" s="47">
        <v>0</v>
      </c>
      <c r="J82" s="47">
        <v>0</v>
      </c>
      <c r="K82" s="47">
        <v>0</v>
      </c>
      <c r="L82" s="47">
        <v>0</v>
      </c>
      <c r="M82" s="45">
        <v>2.611314E-2</v>
      </c>
      <c r="N82" s="47">
        <v>0</v>
      </c>
      <c r="O82" s="45" t="s">
        <v>50</v>
      </c>
      <c r="P82" s="47">
        <v>0</v>
      </c>
      <c r="Q82" s="45" t="s">
        <v>50</v>
      </c>
      <c r="R82" s="45" t="s">
        <v>50</v>
      </c>
      <c r="S82" s="47">
        <f t="shared" si="27"/>
        <v>0</v>
      </c>
      <c r="T82" s="47">
        <f t="shared" ref="T82:T145" si="28">(K82+M82)-(J82+L82)</f>
        <v>2.611314E-2</v>
      </c>
      <c r="U82" s="48">
        <v>0</v>
      </c>
      <c r="V82" s="91"/>
    </row>
    <row r="83" spans="1:22" s="42" customFormat="1" ht="81.75" customHeight="1" x14ac:dyDescent="0.25">
      <c r="A83" s="61" t="s">
        <v>22</v>
      </c>
      <c r="B83" s="33" t="s">
        <v>514</v>
      </c>
      <c r="C83" s="43" t="s">
        <v>515</v>
      </c>
      <c r="D83" s="47">
        <v>0</v>
      </c>
      <c r="E83" s="47">
        <v>0</v>
      </c>
      <c r="F83" s="45" t="s">
        <v>50</v>
      </c>
      <c r="G83" s="47">
        <f t="shared" si="15"/>
        <v>0</v>
      </c>
      <c r="H83" s="47">
        <v>0</v>
      </c>
      <c r="I83" s="47">
        <v>0</v>
      </c>
      <c r="J83" s="47">
        <v>0</v>
      </c>
      <c r="K83" s="47">
        <v>0</v>
      </c>
      <c r="L83" s="47">
        <v>0</v>
      </c>
      <c r="M83" s="45">
        <v>0</v>
      </c>
      <c r="N83" s="47">
        <v>0</v>
      </c>
      <c r="O83" s="45" t="s">
        <v>50</v>
      </c>
      <c r="P83" s="47">
        <v>0</v>
      </c>
      <c r="Q83" s="45" t="s">
        <v>50</v>
      </c>
      <c r="R83" s="45" t="s">
        <v>50</v>
      </c>
      <c r="S83" s="47">
        <f t="shared" si="27"/>
        <v>0</v>
      </c>
      <c r="T83" s="47">
        <f t="shared" si="28"/>
        <v>0</v>
      </c>
      <c r="U83" s="48">
        <v>0</v>
      </c>
      <c r="V83" s="91"/>
    </row>
    <row r="84" spans="1:22" s="42" customFormat="1" ht="81.75" customHeight="1" x14ac:dyDescent="0.25">
      <c r="A84" s="61" t="s">
        <v>22</v>
      </c>
      <c r="B84" s="33" t="s">
        <v>699</v>
      </c>
      <c r="C84" s="43" t="s">
        <v>708</v>
      </c>
      <c r="D84" s="47">
        <v>0</v>
      </c>
      <c r="E84" s="47">
        <v>0</v>
      </c>
      <c r="F84" s="45" t="s">
        <v>50</v>
      </c>
      <c r="G84" s="47">
        <f t="shared" si="15"/>
        <v>0</v>
      </c>
      <c r="H84" s="47">
        <v>0</v>
      </c>
      <c r="I84" s="47">
        <v>0</v>
      </c>
      <c r="J84" s="47">
        <v>0</v>
      </c>
      <c r="K84" s="47">
        <v>0</v>
      </c>
      <c r="L84" s="47">
        <v>0</v>
      </c>
      <c r="M84" s="45">
        <v>0</v>
      </c>
      <c r="N84" s="47">
        <v>0</v>
      </c>
      <c r="O84" s="45" t="s">
        <v>50</v>
      </c>
      <c r="P84" s="47">
        <v>0</v>
      </c>
      <c r="Q84" s="45" t="s">
        <v>50</v>
      </c>
      <c r="R84" s="45" t="s">
        <v>50</v>
      </c>
      <c r="S84" s="47">
        <f t="shared" si="27"/>
        <v>0</v>
      </c>
      <c r="T84" s="47">
        <f t="shared" si="28"/>
        <v>0</v>
      </c>
      <c r="U84" s="48">
        <v>0</v>
      </c>
      <c r="V84" s="91"/>
    </row>
    <row r="85" spans="1:22" s="42" customFormat="1" ht="81.75" customHeight="1" x14ac:dyDescent="0.25">
      <c r="A85" s="61" t="s">
        <v>22</v>
      </c>
      <c r="B85" s="33" t="s">
        <v>700</v>
      </c>
      <c r="C85" s="43" t="s">
        <v>709</v>
      </c>
      <c r="D85" s="47">
        <v>0</v>
      </c>
      <c r="E85" s="47">
        <v>0</v>
      </c>
      <c r="F85" s="45" t="s">
        <v>50</v>
      </c>
      <c r="G85" s="47">
        <f t="shared" si="15"/>
        <v>0</v>
      </c>
      <c r="H85" s="47">
        <v>0</v>
      </c>
      <c r="I85" s="47">
        <v>0</v>
      </c>
      <c r="J85" s="47">
        <v>0</v>
      </c>
      <c r="K85" s="47">
        <v>0</v>
      </c>
      <c r="L85" s="47">
        <v>0</v>
      </c>
      <c r="M85" s="45">
        <v>0</v>
      </c>
      <c r="N85" s="47">
        <v>0</v>
      </c>
      <c r="O85" s="45" t="s">
        <v>50</v>
      </c>
      <c r="P85" s="47">
        <v>0</v>
      </c>
      <c r="Q85" s="45" t="s">
        <v>50</v>
      </c>
      <c r="R85" s="45" t="s">
        <v>50</v>
      </c>
      <c r="S85" s="47">
        <f t="shared" si="27"/>
        <v>0</v>
      </c>
      <c r="T85" s="47">
        <f t="shared" si="28"/>
        <v>0</v>
      </c>
      <c r="U85" s="48">
        <v>0</v>
      </c>
      <c r="V85" s="91"/>
    </row>
    <row r="86" spans="1:22" s="42" customFormat="1" ht="81.75" customHeight="1" x14ac:dyDescent="0.25">
      <c r="A86" s="61" t="s">
        <v>22</v>
      </c>
      <c r="B86" s="33" t="s">
        <v>701</v>
      </c>
      <c r="C86" s="43" t="s">
        <v>710</v>
      </c>
      <c r="D86" s="47">
        <v>0</v>
      </c>
      <c r="E86" s="47">
        <v>0</v>
      </c>
      <c r="F86" s="45" t="s">
        <v>50</v>
      </c>
      <c r="G86" s="47">
        <f t="shared" si="15"/>
        <v>0</v>
      </c>
      <c r="H86" s="47">
        <v>0</v>
      </c>
      <c r="I86" s="47">
        <v>0</v>
      </c>
      <c r="J86" s="47">
        <v>0</v>
      </c>
      <c r="K86" s="47">
        <v>0</v>
      </c>
      <c r="L86" s="47">
        <v>0</v>
      </c>
      <c r="M86" s="45">
        <v>0</v>
      </c>
      <c r="N86" s="47">
        <v>0</v>
      </c>
      <c r="O86" s="45" t="s">
        <v>50</v>
      </c>
      <c r="P86" s="47">
        <v>0</v>
      </c>
      <c r="Q86" s="45" t="s">
        <v>50</v>
      </c>
      <c r="R86" s="45" t="s">
        <v>50</v>
      </c>
      <c r="S86" s="47">
        <f t="shared" si="27"/>
        <v>0</v>
      </c>
      <c r="T86" s="47">
        <f t="shared" si="28"/>
        <v>0</v>
      </c>
      <c r="U86" s="48">
        <v>0</v>
      </c>
      <c r="V86" s="91"/>
    </row>
    <row r="87" spans="1:22" s="42" customFormat="1" ht="81.75" customHeight="1" x14ac:dyDescent="0.25">
      <c r="A87" s="61" t="s">
        <v>22</v>
      </c>
      <c r="B87" s="33" t="s">
        <v>702</v>
      </c>
      <c r="C87" s="43" t="s">
        <v>711</v>
      </c>
      <c r="D87" s="47">
        <v>0</v>
      </c>
      <c r="E87" s="47">
        <v>0</v>
      </c>
      <c r="F87" s="45" t="s">
        <v>50</v>
      </c>
      <c r="G87" s="47">
        <f t="shared" si="15"/>
        <v>0</v>
      </c>
      <c r="H87" s="47">
        <v>0</v>
      </c>
      <c r="I87" s="47">
        <v>0</v>
      </c>
      <c r="J87" s="47">
        <v>0</v>
      </c>
      <c r="K87" s="47">
        <v>0</v>
      </c>
      <c r="L87" s="47">
        <v>0</v>
      </c>
      <c r="M87" s="45">
        <v>0</v>
      </c>
      <c r="N87" s="47">
        <v>0</v>
      </c>
      <c r="O87" s="45" t="s">
        <v>50</v>
      </c>
      <c r="P87" s="47">
        <v>0</v>
      </c>
      <c r="Q87" s="45" t="s">
        <v>50</v>
      </c>
      <c r="R87" s="45" t="s">
        <v>50</v>
      </c>
      <c r="S87" s="47">
        <f t="shared" si="27"/>
        <v>0</v>
      </c>
      <c r="T87" s="47">
        <f t="shared" si="28"/>
        <v>0</v>
      </c>
      <c r="U87" s="48">
        <v>0</v>
      </c>
      <c r="V87" s="91"/>
    </row>
    <row r="88" spans="1:22" s="42" customFormat="1" ht="81.75" customHeight="1" x14ac:dyDescent="0.25">
      <c r="A88" s="61" t="s">
        <v>22</v>
      </c>
      <c r="B88" s="33" t="s">
        <v>703</v>
      </c>
      <c r="C88" s="43" t="s">
        <v>712</v>
      </c>
      <c r="D88" s="47">
        <v>0</v>
      </c>
      <c r="E88" s="47">
        <v>0</v>
      </c>
      <c r="F88" s="45" t="s">
        <v>50</v>
      </c>
      <c r="G88" s="47">
        <f t="shared" si="15"/>
        <v>0</v>
      </c>
      <c r="H88" s="47">
        <v>0</v>
      </c>
      <c r="I88" s="47">
        <v>0</v>
      </c>
      <c r="J88" s="47">
        <v>0</v>
      </c>
      <c r="K88" s="47">
        <v>0</v>
      </c>
      <c r="L88" s="47">
        <v>0</v>
      </c>
      <c r="M88" s="45">
        <v>3.8812589999999994E-2</v>
      </c>
      <c r="N88" s="47">
        <v>0</v>
      </c>
      <c r="O88" s="45" t="s">
        <v>50</v>
      </c>
      <c r="P88" s="47">
        <v>0</v>
      </c>
      <c r="Q88" s="45" t="s">
        <v>50</v>
      </c>
      <c r="R88" s="45" t="s">
        <v>50</v>
      </c>
      <c r="S88" s="47">
        <f t="shared" si="27"/>
        <v>0</v>
      </c>
      <c r="T88" s="47">
        <f t="shared" si="28"/>
        <v>3.8812589999999994E-2</v>
      </c>
      <c r="U88" s="48">
        <v>0</v>
      </c>
      <c r="V88" s="91"/>
    </row>
    <row r="89" spans="1:22" s="42" customFormat="1" ht="81.75" customHeight="1" x14ac:dyDescent="0.25">
      <c r="A89" s="61" t="s">
        <v>22</v>
      </c>
      <c r="B89" s="33" t="s">
        <v>704</v>
      </c>
      <c r="C89" s="43" t="s">
        <v>713</v>
      </c>
      <c r="D89" s="47">
        <v>0</v>
      </c>
      <c r="E89" s="47">
        <v>0</v>
      </c>
      <c r="F89" s="45" t="s">
        <v>50</v>
      </c>
      <c r="G89" s="47">
        <f t="shared" si="15"/>
        <v>0</v>
      </c>
      <c r="H89" s="47">
        <v>0</v>
      </c>
      <c r="I89" s="47">
        <v>0</v>
      </c>
      <c r="J89" s="47">
        <v>0</v>
      </c>
      <c r="K89" s="47">
        <v>0</v>
      </c>
      <c r="L89" s="47">
        <v>0</v>
      </c>
      <c r="M89" s="45">
        <v>0</v>
      </c>
      <c r="N89" s="47">
        <v>0</v>
      </c>
      <c r="O89" s="45" t="s">
        <v>50</v>
      </c>
      <c r="P89" s="47">
        <v>0</v>
      </c>
      <c r="Q89" s="45" t="s">
        <v>50</v>
      </c>
      <c r="R89" s="45" t="s">
        <v>50</v>
      </c>
      <c r="S89" s="47">
        <f t="shared" si="27"/>
        <v>0</v>
      </c>
      <c r="T89" s="47">
        <f t="shared" si="28"/>
        <v>0</v>
      </c>
      <c r="U89" s="48">
        <v>0</v>
      </c>
      <c r="V89" s="91"/>
    </row>
    <row r="90" spans="1:22" s="42" customFormat="1" ht="81.75" customHeight="1" x14ac:dyDescent="0.25">
      <c r="A90" s="61" t="s">
        <v>22</v>
      </c>
      <c r="B90" s="33" t="s">
        <v>705</v>
      </c>
      <c r="C90" s="43" t="s">
        <v>714</v>
      </c>
      <c r="D90" s="47">
        <v>0</v>
      </c>
      <c r="E90" s="47">
        <v>0</v>
      </c>
      <c r="F90" s="45" t="s">
        <v>50</v>
      </c>
      <c r="G90" s="47">
        <f t="shared" si="15"/>
        <v>0</v>
      </c>
      <c r="H90" s="47">
        <v>0</v>
      </c>
      <c r="I90" s="47">
        <v>0</v>
      </c>
      <c r="J90" s="47">
        <v>0</v>
      </c>
      <c r="K90" s="47">
        <v>0</v>
      </c>
      <c r="L90" s="47">
        <v>0</v>
      </c>
      <c r="M90" s="45">
        <v>0.33434207999999999</v>
      </c>
      <c r="N90" s="47">
        <v>0</v>
      </c>
      <c r="O90" s="45" t="s">
        <v>50</v>
      </c>
      <c r="P90" s="47">
        <v>0</v>
      </c>
      <c r="Q90" s="45" t="s">
        <v>50</v>
      </c>
      <c r="R90" s="45" t="s">
        <v>50</v>
      </c>
      <c r="S90" s="47">
        <f t="shared" si="27"/>
        <v>0</v>
      </c>
      <c r="T90" s="47">
        <f t="shared" si="28"/>
        <v>0.33434207999999999</v>
      </c>
      <c r="U90" s="48">
        <v>0</v>
      </c>
      <c r="V90" s="91"/>
    </row>
    <row r="91" spans="1:22" s="42" customFormat="1" ht="81.75" customHeight="1" x14ac:dyDescent="0.25">
      <c r="A91" s="61" t="s">
        <v>22</v>
      </c>
      <c r="B91" s="33" t="s">
        <v>706</v>
      </c>
      <c r="C91" s="43" t="s">
        <v>715</v>
      </c>
      <c r="D91" s="47">
        <v>0</v>
      </c>
      <c r="E91" s="47">
        <v>0</v>
      </c>
      <c r="F91" s="45" t="s">
        <v>50</v>
      </c>
      <c r="G91" s="47">
        <f t="shared" si="15"/>
        <v>0</v>
      </c>
      <c r="H91" s="47">
        <v>0</v>
      </c>
      <c r="I91" s="47">
        <v>0</v>
      </c>
      <c r="J91" s="47">
        <v>0</v>
      </c>
      <c r="K91" s="47">
        <v>0</v>
      </c>
      <c r="L91" s="47">
        <v>0</v>
      </c>
      <c r="M91" s="45">
        <v>0</v>
      </c>
      <c r="N91" s="47">
        <v>0</v>
      </c>
      <c r="O91" s="45" t="s">
        <v>50</v>
      </c>
      <c r="P91" s="47">
        <v>0</v>
      </c>
      <c r="Q91" s="45" t="s">
        <v>50</v>
      </c>
      <c r="R91" s="45" t="s">
        <v>50</v>
      </c>
      <c r="S91" s="47">
        <f t="shared" si="27"/>
        <v>0</v>
      </c>
      <c r="T91" s="47">
        <f t="shared" si="28"/>
        <v>0</v>
      </c>
      <c r="U91" s="48">
        <v>0</v>
      </c>
      <c r="V91" s="91"/>
    </row>
    <row r="92" spans="1:22" s="42" customFormat="1" ht="81.75" customHeight="1" x14ac:dyDescent="0.25">
      <c r="A92" s="61" t="s">
        <v>22</v>
      </c>
      <c r="B92" s="33" t="s">
        <v>508</v>
      </c>
      <c r="C92" s="43" t="s">
        <v>509</v>
      </c>
      <c r="D92" s="47">
        <v>0</v>
      </c>
      <c r="E92" s="47">
        <v>0</v>
      </c>
      <c r="F92" s="45" t="s">
        <v>50</v>
      </c>
      <c r="G92" s="47">
        <f t="shared" si="15"/>
        <v>0</v>
      </c>
      <c r="H92" s="47">
        <v>0</v>
      </c>
      <c r="I92" s="47">
        <v>0</v>
      </c>
      <c r="J92" s="47">
        <v>0</v>
      </c>
      <c r="K92" s="47">
        <v>0</v>
      </c>
      <c r="L92" s="47">
        <v>0</v>
      </c>
      <c r="M92" s="45">
        <v>0</v>
      </c>
      <c r="N92" s="47">
        <v>0</v>
      </c>
      <c r="O92" s="45" t="s">
        <v>50</v>
      </c>
      <c r="P92" s="47">
        <v>0</v>
      </c>
      <c r="Q92" s="45" t="s">
        <v>50</v>
      </c>
      <c r="R92" s="45" t="s">
        <v>50</v>
      </c>
      <c r="S92" s="47">
        <f t="shared" si="27"/>
        <v>0</v>
      </c>
      <c r="T92" s="47">
        <f t="shared" si="28"/>
        <v>0</v>
      </c>
      <c r="U92" s="48">
        <v>0</v>
      </c>
      <c r="V92" s="92"/>
    </row>
    <row r="93" spans="1:22" ht="42.75" x14ac:dyDescent="0.25">
      <c r="A93" s="10" t="s">
        <v>23</v>
      </c>
      <c r="B93" s="13" t="s">
        <v>76</v>
      </c>
      <c r="C93" s="14" t="s">
        <v>52</v>
      </c>
      <c r="D93" s="49">
        <v>0</v>
      </c>
      <c r="E93" s="49">
        <v>0</v>
      </c>
      <c r="F93" s="44" t="s">
        <v>50</v>
      </c>
      <c r="G93" s="49">
        <f t="shared" si="15"/>
        <v>0</v>
      </c>
      <c r="H93" s="49">
        <f t="shared" si="16"/>
        <v>0</v>
      </c>
      <c r="I93" s="49">
        <f t="shared" ref="I93:I156" si="29">K93+M93</f>
        <v>0</v>
      </c>
      <c r="J93" s="49">
        <v>0</v>
      </c>
      <c r="K93" s="49">
        <v>0</v>
      </c>
      <c r="L93" s="49">
        <v>0</v>
      </c>
      <c r="M93" s="44">
        <v>0</v>
      </c>
      <c r="N93" s="49">
        <v>0</v>
      </c>
      <c r="O93" s="44" t="s">
        <v>50</v>
      </c>
      <c r="P93" s="49">
        <v>0</v>
      </c>
      <c r="Q93" s="44" t="s">
        <v>50</v>
      </c>
      <c r="R93" s="44" t="s">
        <v>50</v>
      </c>
      <c r="S93" s="49">
        <f t="shared" si="27"/>
        <v>0</v>
      </c>
      <c r="T93" s="49">
        <f t="shared" si="28"/>
        <v>0</v>
      </c>
      <c r="U93" s="37">
        <v>0</v>
      </c>
      <c r="V93" s="38" t="s">
        <v>50</v>
      </c>
    </row>
    <row r="94" spans="1:22" ht="71.25" x14ac:dyDescent="0.25">
      <c r="A94" s="10" t="s">
        <v>42</v>
      </c>
      <c r="B94" s="13" t="s">
        <v>77</v>
      </c>
      <c r="C94" s="14" t="s">
        <v>52</v>
      </c>
      <c r="D94" s="49">
        <v>0</v>
      </c>
      <c r="E94" s="49">
        <v>0</v>
      </c>
      <c r="F94" s="44" t="s">
        <v>50</v>
      </c>
      <c r="G94" s="49">
        <f t="shared" si="15"/>
        <v>0</v>
      </c>
      <c r="H94" s="49">
        <f t="shared" si="16"/>
        <v>0</v>
      </c>
      <c r="I94" s="49">
        <f t="shared" si="29"/>
        <v>0</v>
      </c>
      <c r="J94" s="49">
        <v>0</v>
      </c>
      <c r="K94" s="49">
        <v>0</v>
      </c>
      <c r="L94" s="49">
        <v>0</v>
      </c>
      <c r="M94" s="44">
        <v>0</v>
      </c>
      <c r="N94" s="49">
        <v>0</v>
      </c>
      <c r="O94" s="44" t="s">
        <v>50</v>
      </c>
      <c r="P94" s="49">
        <v>0</v>
      </c>
      <c r="Q94" s="44" t="s">
        <v>50</v>
      </c>
      <c r="R94" s="44" t="s">
        <v>50</v>
      </c>
      <c r="S94" s="49">
        <f t="shared" si="27"/>
        <v>0</v>
      </c>
      <c r="T94" s="49">
        <f t="shared" si="28"/>
        <v>0</v>
      </c>
      <c r="U94" s="37">
        <v>0</v>
      </c>
      <c r="V94" s="38" t="s">
        <v>50</v>
      </c>
    </row>
    <row r="95" spans="1:22" ht="42.75" x14ac:dyDescent="0.25">
      <c r="A95" s="10" t="s">
        <v>43</v>
      </c>
      <c r="B95" s="13" t="s">
        <v>78</v>
      </c>
      <c r="C95" s="14" t="s">
        <v>52</v>
      </c>
      <c r="D95" s="49">
        <v>0</v>
      </c>
      <c r="E95" s="49">
        <v>0</v>
      </c>
      <c r="F95" s="44" t="s">
        <v>50</v>
      </c>
      <c r="G95" s="49">
        <f t="shared" si="15"/>
        <v>0</v>
      </c>
      <c r="H95" s="49">
        <f t="shared" si="16"/>
        <v>0</v>
      </c>
      <c r="I95" s="49">
        <f t="shared" si="29"/>
        <v>0</v>
      </c>
      <c r="J95" s="49">
        <v>0</v>
      </c>
      <c r="K95" s="49">
        <v>0</v>
      </c>
      <c r="L95" s="49">
        <v>0</v>
      </c>
      <c r="M95" s="44">
        <v>0</v>
      </c>
      <c r="N95" s="49">
        <v>0</v>
      </c>
      <c r="O95" s="44" t="s">
        <v>50</v>
      </c>
      <c r="P95" s="49">
        <v>0</v>
      </c>
      <c r="Q95" s="44" t="s">
        <v>50</v>
      </c>
      <c r="R95" s="44" t="s">
        <v>50</v>
      </c>
      <c r="S95" s="49">
        <f t="shared" si="27"/>
        <v>0</v>
      </c>
      <c r="T95" s="49">
        <f t="shared" si="28"/>
        <v>0</v>
      </c>
      <c r="U95" s="37">
        <v>0</v>
      </c>
      <c r="V95" s="38" t="s">
        <v>50</v>
      </c>
    </row>
    <row r="96" spans="1:22" ht="57" x14ac:dyDescent="0.25">
      <c r="A96" s="10" t="s">
        <v>24</v>
      </c>
      <c r="B96" s="13" t="s">
        <v>79</v>
      </c>
      <c r="C96" s="14" t="s">
        <v>52</v>
      </c>
      <c r="D96" s="49">
        <v>0</v>
      </c>
      <c r="E96" s="49">
        <v>0</v>
      </c>
      <c r="F96" s="44" t="s">
        <v>50</v>
      </c>
      <c r="G96" s="49">
        <f t="shared" si="15"/>
        <v>0</v>
      </c>
      <c r="H96" s="49">
        <f t="shared" si="16"/>
        <v>0</v>
      </c>
      <c r="I96" s="49">
        <f t="shared" si="29"/>
        <v>0</v>
      </c>
      <c r="J96" s="49">
        <v>0</v>
      </c>
      <c r="K96" s="49">
        <v>0</v>
      </c>
      <c r="L96" s="49">
        <v>0</v>
      </c>
      <c r="M96" s="44">
        <v>0</v>
      </c>
      <c r="N96" s="49">
        <v>0</v>
      </c>
      <c r="O96" s="44" t="s">
        <v>50</v>
      </c>
      <c r="P96" s="49">
        <v>0</v>
      </c>
      <c r="Q96" s="44" t="s">
        <v>50</v>
      </c>
      <c r="R96" s="44" t="s">
        <v>50</v>
      </c>
      <c r="S96" s="49">
        <f t="shared" si="27"/>
        <v>0</v>
      </c>
      <c r="T96" s="49">
        <f t="shared" si="28"/>
        <v>0</v>
      </c>
      <c r="U96" s="37">
        <v>0</v>
      </c>
      <c r="V96" s="38" t="s">
        <v>50</v>
      </c>
    </row>
    <row r="97" spans="1:22" ht="42.75" x14ac:dyDescent="0.25">
      <c r="A97" s="10" t="s">
        <v>80</v>
      </c>
      <c r="B97" s="13" t="s">
        <v>81</v>
      </c>
      <c r="C97" s="14" t="s">
        <v>52</v>
      </c>
      <c r="D97" s="49">
        <v>0</v>
      </c>
      <c r="E97" s="49">
        <v>0</v>
      </c>
      <c r="F97" s="44" t="s">
        <v>50</v>
      </c>
      <c r="G97" s="49">
        <f t="shared" si="15"/>
        <v>0</v>
      </c>
      <c r="H97" s="49">
        <f t="shared" si="16"/>
        <v>0</v>
      </c>
      <c r="I97" s="49">
        <f t="shared" si="29"/>
        <v>0</v>
      </c>
      <c r="J97" s="49">
        <v>0</v>
      </c>
      <c r="K97" s="49">
        <v>0</v>
      </c>
      <c r="L97" s="49">
        <v>0</v>
      </c>
      <c r="M97" s="44">
        <v>0</v>
      </c>
      <c r="N97" s="49">
        <v>0</v>
      </c>
      <c r="O97" s="44" t="s">
        <v>50</v>
      </c>
      <c r="P97" s="49">
        <v>0</v>
      </c>
      <c r="Q97" s="44" t="s">
        <v>50</v>
      </c>
      <c r="R97" s="44" t="s">
        <v>50</v>
      </c>
      <c r="S97" s="49">
        <f t="shared" si="27"/>
        <v>0</v>
      </c>
      <c r="T97" s="49">
        <f t="shared" si="28"/>
        <v>0</v>
      </c>
      <c r="U97" s="37">
        <v>0</v>
      </c>
      <c r="V97" s="38" t="s">
        <v>50</v>
      </c>
    </row>
    <row r="98" spans="1:22" ht="128.25" x14ac:dyDescent="0.25">
      <c r="A98" s="10" t="s">
        <v>80</v>
      </c>
      <c r="B98" s="13" t="s">
        <v>82</v>
      </c>
      <c r="C98" s="14" t="s">
        <v>52</v>
      </c>
      <c r="D98" s="49">
        <v>0</v>
      </c>
      <c r="E98" s="49">
        <v>0</v>
      </c>
      <c r="F98" s="44" t="s">
        <v>50</v>
      </c>
      <c r="G98" s="49">
        <f t="shared" si="15"/>
        <v>0</v>
      </c>
      <c r="H98" s="49">
        <f t="shared" si="16"/>
        <v>0</v>
      </c>
      <c r="I98" s="49">
        <f t="shared" si="29"/>
        <v>0</v>
      </c>
      <c r="J98" s="49">
        <v>0</v>
      </c>
      <c r="K98" s="49">
        <v>0</v>
      </c>
      <c r="L98" s="49">
        <v>0</v>
      </c>
      <c r="M98" s="44">
        <v>0</v>
      </c>
      <c r="N98" s="49">
        <v>0</v>
      </c>
      <c r="O98" s="44" t="s">
        <v>50</v>
      </c>
      <c r="P98" s="49">
        <v>0</v>
      </c>
      <c r="Q98" s="44" t="s">
        <v>50</v>
      </c>
      <c r="R98" s="44" t="s">
        <v>50</v>
      </c>
      <c r="S98" s="49">
        <f t="shared" si="27"/>
        <v>0</v>
      </c>
      <c r="T98" s="49">
        <f t="shared" si="28"/>
        <v>0</v>
      </c>
      <c r="U98" s="37">
        <v>0</v>
      </c>
      <c r="V98" s="38" t="s">
        <v>50</v>
      </c>
    </row>
    <row r="99" spans="1:22" ht="114" x14ac:dyDescent="0.25">
      <c r="A99" s="10" t="s">
        <v>80</v>
      </c>
      <c r="B99" s="13" t="s">
        <v>83</v>
      </c>
      <c r="C99" s="14" t="s">
        <v>52</v>
      </c>
      <c r="D99" s="49">
        <v>0</v>
      </c>
      <c r="E99" s="49">
        <v>0</v>
      </c>
      <c r="F99" s="44" t="s">
        <v>50</v>
      </c>
      <c r="G99" s="49">
        <f t="shared" si="15"/>
        <v>0</v>
      </c>
      <c r="H99" s="49">
        <f t="shared" si="16"/>
        <v>0</v>
      </c>
      <c r="I99" s="49">
        <f t="shared" si="29"/>
        <v>0</v>
      </c>
      <c r="J99" s="49">
        <v>0</v>
      </c>
      <c r="K99" s="49">
        <v>0</v>
      </c>
      <c r="L99" s="49">
        <v>0</v>
      </c>
      <c r="M99" s="44">
        <v>0</v>
      </c>
      <c r="N99" s="49">
        <v>0</v>
      </c>
      <c r="O99" s="44" t="s">
        <v>50</v>
      </c>
      <c r="P99" s="49">
        <v>0</v>
      </c>
      <c r="Q99" s="44" t="s">
        <v>50</v>
      </c>
      <c r="R99" s="44" t="s">
        <v>50</v>
      </c>
      <c r="S99" s="49">
        <f t="shared" si="27"/>
        <v>0</v>
      </c>
      <c r="T99" s="49">
        <f t="shared" si="28"/>
        <v>0</v>
      </c>
      <c r="U99" s="37">
        <v>0</v>
      </c>
      <c r="V99" s="38" t="s">
        <v>50</v>
      </c>
    </row>
    <row r="100" spans="1:22" ht="114" x14ac:dyDescent="0.25">
      <c r="A100" s="10" t="s">
        <v>80</v>
      </c>
      <c r="B100" s="13" t="s">
        <v>84</v>
      </c>
      <c r="C100" s="14" t="s">
        <v>52</v>
      </c>
      <c r="D100" s="49">
        <v>0</v>
      </c>
      <c r="E100" s="49">
        <v>0</v>
      </c>
      <c r="F100" s="44" t="s">
        <v>50</v>
      </c>
      <c r="G100" s="49">
        <f t="shared" si="15"/>
        <v>0</v>
      </c>
      <c r="H100" s="49">
        <f t="shared" si="16"/>
        <v>0</v>
      </c>
      <c r="I100" s="49">
        <f t="shared" si="29"/>
        <v>0</v>
      </c>
      <c r="J100" s="49">
        <v>0</v>
      </c>
      <c r="K100" s="49">
        <v>0</v>
      </c>
      <c r="L100" s="49">
        <v>0</v>
      </c>
      <c r="M100" s="44">
        <v>0</v>
      </c>
      <c r="N100" s="49">
        <v>0</v>
      </c>
      <c r="O100" s="44" t="s">
        <v>50</v>
      </c>
      <c r="P100" s="49">
        <v>0</v>
      </c>
      <c r="Q100" s="44" t="s">
        <v>50</v>
      </c>
      <c r="R100" s="44" t="s">
        <v>50</v>
      </c>
      <c r="S100" s="49">
        <f t="shared" si="27"/>
        <v>0</v>
      </c>
      <c r="T100" s="49">
        <f t="shared" si="28"/>
        <v>0</v>
      </c>
      <c r="U100" s="37">
        <v>0</v>
      </c>
      <c r="V100" s="38" t="s">
        <v>50</v>
      </c>
    </row>
    <row r="101" spans="1:22" ht="42.75" x14ac:dyDescent="0.25">
      <c r="A101" s="10" t="s">
        <v>85</v>
      </c>
      <c r="B101" s="13" t="s">
        <v>81</v>
      </c>
      <c r="C101" s="14" t="s">
        <v>52</v>
      </c>
      <c r="D101" s="49">
        <v>0</v>
      </c>
      <c r="E101" s="49">
        <v>0</v>
      </c>
      <c r="F101" s="44" t="s">
        <v>50</v>
      </c>
      <c r="G101" s="49">
        <f t="shared" si="15"/>
        <v>0</v>
      </c>
      <c r="H101" s="49">
        <f t="shared" si="16"/>
        <v>0</v>
      </c>
      <c r="I101" s="49">
        <f t="shared" si="29"/>
        <v>0</v>
      </c>
      <c r="J101" s="49">
        <v>0</v>
      </c>
      <c r="K101" s="49">
        <v>0</v>
      </c>
      <c r="L101" s="49">
        <v>0</v>
      </c>
      <c r="M101" s="44">
        <v>0</v>
      </c>
      <c r="N101" s="49">
        <v>0</v>
      </c>
      <c r="O101" s="44" t="s">
        <v>50</v>
      </c>
      <c r="P101" s="49">
        <v>0</v>
      </c>
      <c r="Q101" s="44" t="s">
        <v>50</v>
      </c>
      <c r="R101" s="44" t="s">
        <v>50</v>
      </c>
      <c r="S101" s="49">
        <f t="shared" si="27"/>
        <v>0</v>
      </c>
      <c r="T101" s="49">
        <f t="shared" si="28"/>
        <v>0</v>
      </c>
      <c r="U101" s="37">
        <v>0</v>
      </c>
      <c r="V101" s="38" t="s">
        <v>50</v>
      </c>
    </row>
    <row r="102" spans="1:22" ht="128.25" x14ac:dyDescent="0.25">
      <c r="A102" s="10" t="s">
        <v>85</v>
      </c>
      <c r="B102" s="13" t="s">
        <v>82</v>
      </c>
      <c r="C102" s="14" t="s">
        <v>52</v>
      </c>
      <c r="D102" s="49">
        <v>0</v>
      </c>
      <c r="E102" s="49">
        <v>0</v>
      </c>
      <c r="F102" s="44" t="s">
        <v>50</v>
      </c>
      <c r="G102" s="49">
        <f t="shared" si="15"/>
        <v>0</v>
      </c>
      <c r="H102" s="49">
        <f t="shared" si="16"/>
        <v>0</v>
      </c>
      <c r="I102" s="49">
        <f t="shared" si="29"/>
        <v>0</v>
      </c>
      <c r="J102" s="49">
        <v>0</v>
      </c>
      <c r="K102" s="49">
        <v>0</v>
      </c>
      <c r="L102" s="49">
        <v>0</v>
      </c>
      <c r="M102" s="44">
        <v>0</v>
      </c>
      <c r="N102" s="49">
        <v>0</v>
      </c>
      <c r="O102" s="44" t="s">
        <v>50</v>
      </c>
      <c r="P102" s="49">
        <v>0</v>
      </c>
      <c r="Q102" s="44" t="s">
        <v>50</v>
      </c>
      <c r="R102" s="44" t="s">
        <v>50</v>
      </c>
      <c r="S102" s="49">
        <f t="shared" si="27"/>
        <v>0</v>
      </c>
      <c r="T102" s="49">
        <f t="shared" si="28"/>
        <v>0</v>
      </c>
      <c r="U102" s="37">
        <v>0</v>
      </c>
      <c r="V102" s="38" t="s">
        <v>50</v>
      </c>
    </row>
    <row r="103" spans="1:22" ht="114" x14ac:dyDescent="0.25">
      <c r="A103" s="10" t="s">
        <v>85</v>
      </c>
      <c r="B103" s="13" t="s">
        <v>83</v>
      </c>
      <c r="C103" s="14" t="s">
        <v>52</v>
      </c>
      <c r="D103" s="49">
        <v>0</v>
      </c>
      <c r="E103" s="49">
        <v>0</v>
      </c>
      <c r="F103" s="44" t="s">
        <v>50</v>
      </c>
      <c r="G103" s="49">
        <f t="shared" si="15"/>
        <v>0</v>
      </c>
      <c r="H103" s="49">
        <f t="shared" si="16"/>
        <v>0</v>
      </c>
      <c r="I103" s="49">
        <f t="shared" si="29"/>
        <v>0</v>
      </c>
      <c r="J103" s="49">
        <v>0</v>
      </c>
      <c r="K103" s="49">
        <v>0</v>
      </c>
      <c r="L103" s="49">
        <v>0</v>
      </c>
      <c r="M103" s="44">
        <v>0</v>
      </c>
      <c r="N103" s="49">
        <v>0</v>
      </c>
      <c r="O103" s="44" t="s">
        <v>50</v>
      </c>
      <c r="P103" s="49">
        <v>0</v>
      </c>
      <c r="Q103" s="44" t="s">
        <v>50</v>
      </c>
      <c r="R103" s="44" t="s">
        <v>50</v>
      </c>
      <c r="S103" s="49">
        <f t="shared" si="27"/>
        <v>0</v>
      </c>
      <c r="T103" s="49">
        <f t="shared" si="28"/>
        <v>0</v>
      </c>
      <c r="U103" s="37">
        <v>0</v>
      </c>
      <c r="V103" s="38" t="s">
        <v>50</v>
      </c>
    </row>
    <row r="104" spans="1:22" ht="114" x14ac:dyDescent="0.25">
      <c r="A104" s="10" t="s">
        <v>85</v>
      </c>
      <c r="B104" s="13" t="s">
        <v>86</v>
      </c>
      <c r="C104" s="14" t="s">
        <v>52</v>
      </c>
      <c r="D104" s="49">
        <v>0</v>
      </c>
      <c r="E104" s="49">
        <v>0</v>
      </c>
      <c r="F104" s="44" t="s">
        <v>50</v>
      </c>
      <c r="G104" s="49">
        <f t="shared" si="15"/>
        <v>0</v>
      </c>
      <c r="H104" s="49">
        <f t="shared" si="16"/>
        <v>0</v>
      </c>
      <c r="I104" s="49">
        <f t="shared" si="29"/>
        <v>0</v>
      </c>
      <c r="J104" s="49">
        <v>0</v>
      </c>
      <c r="K104" s="49">
        <v>0</v>
      </c>
      <c r="L104" s="49">
        <v>0</v>
      </c>
      <c r="M104" s="44">
        <v>0</v>
      </c>
      <c r="N104" s="49">
        <v>0</v>
      </c>
      <c r="O104" s="44" t="s">
        <v>50</v>
      </c>
      <c r="P104" s="49">
        <v>0</v>
      </c>
      <c r="Q104" s="44" t="s">
        <v>50</v>
      </c>
      <c r="R104" s="44" t="s">
        <v>50</v>
      </c>
      <c r="S104" s="49">
        <f t="shared" si="27"/>
        <v>0</v>
      </c>
      <c r="T104" s="49">
        <f t="shared" si="28"/>
        <v>0</v>
      </c>
      <c r="U104" s="37">
        <v>0</v>
      </c>
      <c r="V104" s="38" t="s">
        <v>50</v>
      </c>
    </row>
    <row r="105" spans="1:22" ht="99.75" x14ac:dyDescent="0.25">
      <c r="A105" s="10" t="s">
        <v>87</v>
      </c>
      <c r="B105" s="13" t="s">
        <v>88</v>
      </c>
      <c r="C105" s="14" t="s">
        <v>52</v>
      </c>
      <c r="D105" s="49">
        <v>0.80914898757497855</v>
      </c>
      <c r="E105" s="49">
        <f>E106+E127</f>
        <v>0.13697982</v>
      </c>
      <c r="F105" s="44" t="s">
        <v>50</v>
      </c>
      <c r="G105" s="49">
        <f t="shared" si="15"/>
        <v>5.7282715183200006</v>
      </c>
      <c r="H105" s="49">
        <f t="shared" si="16"/>
        <v>5.7282715183200006</v>
      </c>
      <c r="I105" s="49">
        <f t="shared" si="29"/>
        <v>0.90084366999999999</v>
      </c>
      <c r="J105" s="49">
        <v>0.12580039800000001</v>
      </c>
      <c r="K105" s="49">
        <f>K106+K127</f>
        <v>0.64863795000000002</v>
      </c>
      <c r="L105" s="49">
        <v>0</v>
      </c>
      <c r="M105" s="44">
        <f>M106+M127</f>
        <v>0.25220572000000002</v>
      </c>
      <c r="N105" s="49">
        <v>0</v>
      </c>
      <c r="O105" s="44" t="s">
        <v>50</v>
      </c>
      <c r="P105" s="49">
        <f>P106+P127</f>
        <v>5.6024711203200006</v>
      </c>
      <c r="Q105" s="44" t="s">
        <v>50</v>
      </c>
      <c r="R105" s="44" t="s">
        <v>50</v>
      </c>
      <c r="S105" s="49">
        <f t="shared" si="27"/>
        <v>4.827427848320001</v>
      </c>
      <c r="T105" s="49">
        <f t="shared" si="28"/>
        <v>0.77504327200000001</v>
      </c>
      <c r="U105" s="37">
        <f t="shared" ref="U105:U107" si="30">(K105+M105)/(J105+L105)*100-100</f>
        <v>616.08968200561651</v>
      </c>
      <c r="V105" s="38" t="s">
        <v>50</v>
      </c>
    </row>
    <row r="106" spans="1:22" ht="85.5" x14ac:dyDescent="0.25">
      <c r="A106" s="10" t="s">
        <v>89</v>
      </c>
      <c r="B106" s="13" t="s">
        <v>90</v>
      </c>
      <c r="C106" s="14" t="s">
        <v>52</v>
      </c>
      <c r="D106" s="49">
        <v>0.38333333333333336</v>
      </c>
      <c r="E106" s="49">
        <f>SUM(E107:E120)</f>
        <v>7.3034652000000005E-2</v>
      </c>
      <c r="F106" s="44" t="s">
        <v>50</v>
      </c>
      <c r="G106" s="49">
        <f t="shared" si="15"/>
        <v>2.4154257283200002</v>
      </c>
      <c r="H106" s="49">
        <f t="shared" si="16"/>
        <v>2.4154257283200002</v>
      </c>
      <c r="I106" s="49">
        <f t="shared" si="29"/>
        <v>0.57816950999999994</v>
      </c>
      <c r="J106" s="49">
        <v>0.12580039800000001</v>
      </c>
      <c r="K106" s="77">
        <f>SUM(K107:K120)</f>
        <v>0.36467053999999999</v>
      </c>
      <c r="L106" s="49">
        <v>0</v>
      </c>
      <c r="M106" s="44">
        <f>SUM(M107:M126)</f>
        <v>0.21349897000000001</v>
      </c>
      <c r="N106" s="49">
        <v>0</v>
      </c>
      <c r="O106" s="44" t="s">
        <v>50</v>
      </c>
      <c r="P106" s="49">
        <v>2.2896253303200003</v>
      </c>
      <c r="Q106" s="44" t="s">
        <v>50</v>
      </c>
      <c r="R106" s="44" t="s">
        <v>50</v>
      </c>
      <c r="S106" s="49">
        <f t="shared" si="27"/>
        <v>1.8372562183200003</v>
      </c>
      <c r="T106" s="49">
        <f t="shared" si="28"/>
        <v>0.45236911199999996</v>
      </c>
      <c r="U106" s="37">
        <f t="shared" si="30"/>
        <v>359.59275104996084</v>
      </c>
      <c r="V106" s="38" t="s">
        <v>50</v>
      </c>
    </row>
    <row r="107" spans="1:22" ht="45" x14ac:dyDescent="0.25">
      <c r="A107" s="18" t="s">
        <v>89</v>
      </c>
      <c r="B107" s="19" t="s">
        <v>91</v>
      </c>
      <c r="C107" s="20" t="s">
        <v>92</v>
      </c>
      <c r="D107" s="47">
        <v>0.38333333333333336</v>
      </c>
      <c r="E107" s="47">
        <v>0</v>
      </c>
      <c r="F107" s="45" t="s">
        <v>50</v>
      </c>
      <c r="G107" s="47">
        <f t="shared" si="15"/>
        <v>2.4154257283200002</v>
      </c>
      <c r="H107" s="47">
        <f t="shared" si="16"/>
        <v>2.4154257283200002</v>
      </c>
      <c r="I107" s="47">
        <f t="shared" si="29"/>
        <v>0</v>
      </c>
      <c r="J107" s="47">
        <v>0.12580039800000001</v>
      </c>
      <c r="K107" s="47">
        <v>0</v>
      </c>
      <c r="L107" s="47">
        <v>0</v>
      </c>
      <c r="M107" s="45">
        <v>0</v>
      </c>
      <c r="N107" s="47">
        <v>0</v>
      </c>
      <c r="O107" s="45" t="s">
        <v>50</v>
      </c>
      <c r="P107" s="47">
        <v>2.2896253303200003</v>
      </c>
      <c r="Q107" s="45" t="s">
        <v>50</v>
      </c>
      <c r="R107" s="45" t="s">
        <v>50</v>
      </c>
      <c r="S107" s="47">
        <f t="shared" si="27"/>
        <v>2.4154257283200002</v>
      </c>
      <c r="T107" s="47">
        <f t="shared" si="28"/>
        <v>-0.12580039800000001</v>
      </c>
      <c r="U107" s="48">
        <f t="shared" si="30"/>
        <v>-100</v>
      </c>
      <c r="V107" s="46" t="s">
        <v>50</v>
      </c>
    </row>
    <row r="108" spans="1:22" ht="45" x14ac:dyDescent="0.25">
      <c r="A108" s="18" t="s">
        <v>89</v>
      </c>
      <c r="B108" s="50" t="s">
        <v>335</v>
      </c>
      <c r="C108" s="51" t="s">
        <v>222</v>
      </c>
      <c r="D108" s="47">
        <v>0</v>
      </c>
      <c r="E108" s="47">
        <v>0</v>
      </c>
      <c r="F108" s="45" t="s">
        <v>50</v>
      </c>
      <c r="G108" s="47">
        <f t="shared" si="15"/>
        <v>0</v>
      </c>
      <c r="H108" s="47">
        <f t="shared" si="16"/>
        <v>0</v>
      </c>
      <c r="I108" s="47">
        <f t="shared" si="29"/>
        <v>9.6648110000000009E-2</v>
      </c>
      <c r="J108" s="47">
        <v>0</v>
      </c>
      <c r="K108" s="47">
        <f>96.64811/1000</f>
        <v>9.6648110000000009E-2</v>
      </c>
      <c r="L108" s="47">
        <v>0</v>
      </c>
      <c r="M108" s="45">
        <v>0</v>
      </c>
      <c r="N108" s="47">
        <v>0</v>
      </c>
      <c r="O108" s="45" t="s">
        <v>50</v>
      </c>
      <c r="P108" s="47">
        <v>0</v>
      </c>
      <c r="Q108" s="45" t="s">
        <v>50</v>
      </c>
      <c r="R108" s="45" t="s">
        <v>50</v>
      </c>
      <c r="S108" s="47">
        <f t="shared" si="27"/>
        <v>-9.6648110000000009E-2</v>
      </c>
      <c r="T108" s="47">
        <f t="shared" si="28"/>
        <v>9.6648110000000009E-2</v>
      </c>
      <c r="U108" s="48">
        <v>0</v>
      </c>
      <c r="V108" s="40" t="s">
        <v>440</v>
      </c>
    </row>
    <row r="109" spans="1:22" ht="45" x14ac:dyDescent="0.25">
      <c r="A109" s="18" t="s">
        <v>89</v>
      </c>
      <c r="B109" s="50" t="s">
        <v>336</v>
      </c>
      <c r="C109" s="51" t="s">
        <v>256</v>
      </c>
      <c r="D109" s="47">
        <v>0</v>
      </c>
      <c r="E109" s="47">
        <v>0</v>
      </c>
      <c r="F109" s="45" t="s">
        <v>50</v>
      </c>
      <c r="G109" s="47">
        <f t="shared" si="15"/>
        <v>0</v>
      </c>
      <c r="H109" s="47">
        <f t="shared" si="16"/>
        <v>0</v>
      </c>
      <c r="I109" s="47">
        <f t="shared" si="29"/>
        <v>0.16561473000000002</v>
      </c>
      <c r="J109" s="47">
        <v>0</v>
      </c>
      <c r="K109" s="47">
        <f>165.61473/1000</f>
        <v>0.16561473000000002</v>
      </c>
      <c r="L109" s="47">
        <v>0</v>
      </c>
      <c r="M109" s="45">
        <v>0</v>
      </c>
      <c r="N109" s="47">
        <v>0</v>
      </c>
      <c r="O109" s="45" t="s">
        <v>50</v>
      </c>
      <c r="P109" s="47">
        <v>0</v>
      </c>
      <c r="Q109" s="45" t="s">
        <v>50</v>
      </c>
      <c r="R109" s="45" t="s">
        <v>50</v>
      </c>
      <c r="S109" s="47">
        <f t="shared" si="27"/>
        <v>-0.16561473000000002</v>
      </c>
      <c r="T109" s="47">
        <f t="shared" si="28"/>
        <v>0.16561473000000002</v>
      </c>
      <c r="U109" s="48">
        <v>0</v>
      </c>
      <c r="V109" s="40" t="s">
        <v>440</v>
      </c>
    </row>
    <row r="110" spans="1:22" ht="45" x14ac:dyDescent="0.25">
      <c r="A110" s="18" t="s">
        <v>89</v>
      </c>
      <c r="B110" s="50" t="s">
        <v>337</v>
      </c>
      <c r="C110" s="51" t="s">
        <v>254</v>
      </c>
      <c r="D110" s="47">
        <v>0</v>
      </c>
      <c r="E110" s="47">
        <v>0</v>
      </c>
      <c r="F110" s="45" t="s">
        <v>50</v>
      </c>
      <c r="G110" s="47">
        <f t="shared" si="15"/>
        <v>0</v>
      </c>
      <c r="H110" s="47">
        <f t="shared" si="16"/>
        <v>0</v>
      </c>
      <c r="I110" s="47">
        <f t="shared" si="29"/>
        <v>9.3945459999999995E-2</v>
      </c>
      <c r="J110" s="47">
        <v>0</v>
      </c>
      <c r="K110" s="47">
        <f>93.94546/1000</f>
        <v>9.3945459999999995E-2</v>
      </c>
      <c r="L110" s="47">
        <v>0</v>
      </c>
      <c r="M110" s="45">
        <v>0</v>
      </c>
      <c r="N110" s="47">
        <v>0</v>
      </c>
      <c r="O110" s="45" t="s">
        <v>50</v>
      </c>
      <c r="P110" s="47">
        <v>0</v>
      </c>
      <c r="Q110" s="45" t="s">
        <v>50</v>
      </c>
      <c r="R110" s="45" t="s">
        <v>50</v>
      </c>
      <c r="S110" s="47">
        <f t="shared" si="27"/>
        <v>-9.3945459999999995E-2</v>
      </c>
      <c r="T110" s="47">
        <f t="shared" si="28"/>
        <v>9.3945459999999995E-2</v>
      </c>
      <c r="U110" s="48">
        <v>0</v>
      </c>
      <c r="V110" s="40" t="s">
        <v>440</v>
      </c>
    </row>
    <row r="111" spans="1:22" ht="45" x14ac:dyDescent="0.25">
      <c r="A111" s="18" t="s">
        <v>89</v>
      </c>
      <c r="B111" s="50" t="s">
        <v>338</v>
      </c>
      <c r="C111" s="51" t="s">
        <v>228</v>
      </c>
      <c r="D111" s="47">
        <v>0</v>
      </c>
      <c r="E111" s="47">
        <v>0</v>
      </c>
      <c r="F111" s="45" t="s">
        <v>50</v>
      </c>
      <c r="G111" s="47">
        <f t="shared" si="15"/>
        <v>0</v>
      </c>
      <c r="H111" s="47">
        <f t="shared" si="16"/>
        <v>0</v>
      </c>
      <c r="I111" s="47">
        <f t="shared" si="29"/>
        <v>8.4622399999999993E-3</v>
      </c>
      <c r="J111" s="47">
        <v>0</v>
      </c>
      <c r="K111" s="47">
        <f>8.46224/1000</f>
        <v>8.4622399999999993E-3</v>
      </c>
      <c r="L111" s="47">
        <v>0</v>
      </c>
      <c r="M111" s="45">
        <v>0</v>
      </c>
      <c r="N111" s="47">
        <v>0</v>
      </c>
      <c r="O111" s="45" t="s">
        <v>50</v>
      </c>
      <c r="P111" s="47">
        <v>0</v>
      </c>
      <c r="Q111" s="45" t="s">
        <v>50</v>
      </c>
      <c r="R111" s="45" t="s">
        <v>50</v>
      </c>
      <c r="S111" s="47">
        <f t="shared" si="27"/>
        <v>-8.4622399999999993E-3</v>
      </c>
      <c r="T111" s="47">
        <f t="shared" si="28"/>
        <v>8.4622399999999993E-3</v>
      </c>
      <c r="U111" s="48">
        <v>0</v>
      </c>
      <c r="V111" s="40" t="s">
        <v>440</v>
      </c>
    </row>
    <row r="112" spans="1:22" ht="45" x14ac:dyDescent="0.25">
      <c r="A112" s="18" t="s">
        <v>89</v>
      </c>
      <c r="B112" s="50" t="s">
        <v>339</v>
      </c>
      <c r="C112" s="51" t="s">
        <v>230</v>
      </c>
      <c r="D112" s="47">
        <v>0</v>
      </c>
      <c r="E112" s="47">
        <v>0</v>
      </c>
      <c r="F112" s="45" t="s">
        <v>50</v>
      </c>
      <c r="G112" s="47">
        <f t="shared" si="15"/>
        <v>0</v>
      </c>
      <c r="H112" s="47">
        <f t="shared" si="16"/>
        <v>0</v>
      </c>
      <c r="I112" s="47">
        <f t="shared" si="29"/>
        <v>5.1739400000000005E-2</v>
      </c>
      <c r="J112" s="47">
        <v>0</v>
      </c>
      <c r="K112" s="47">
        <v>0</v>
      </c>
      <c r="L112" s="47">
        <v>0</v>
      </c>
      <c r="M112" s="45">
        <v>5.1739400000000005E-2</v>
      </c>
      <c r="N112" s="47">
        <v>0</v>
      </c>
      <c r="O112" s="45" t="s">
        <v>50</v>
      </c>
      <c r="P112" s="47">
        <v>0</v>
      </c>
      <c r="Q112" s="45" t="s">
        <v>50</v>
      </c>
      <c r="R112" s="45" t="s">
        <v>50</v>
      </c>
      <c r="S112" s="47">
        <f t="shared" si="27"/>
        <v>-5.1739400000000005E-2</v>
      </c>
      <c r="T112" s="47">
        <f t="shared" si="28"/>
        <v>5.1739400000000005E-2</v>
      </c>
      <c r="U112" s="48">
        <v>0</v>
      </c>
      <c r="V112" s="40" t="s">
        <v>440</v>
      </c>
    </row>
    <row r="113" spans="1:22" ht="49.5" customHeight="1" x14ac:dyDescent="0.25">
      <c r="A113" s="18" t="s">
        <v>89</v>
      </c>
      <c r="B113" s="50" t="s">
        <v>340</v>
      </c>
      <c r="C113" s="51" t="s">
        <v>341</v>
      </c>
      <c r="D113" s="47">
        <v>0</v>
      </c>
      <c r="E113" s="47">
        <f>60862.21*1.2/1000000</f>
        <v>7.3034652000000005E-2</v>
      </c>
      <c r="F113" s="45" t="s">
        <v>50</v>
      </c>
      <c r="G113" s="47">
        <f t="shared" si="15"/>
        <v>0</v>
      </c>
      <c r="H113" s="47">
        <f t="shared" si="16"/>
        <v>0</v>
      </c>
      <c r="I113" s="47">
        <f t="shared" si="29"/>
        <v>0</v>
      </c>
      <c r="J113" s="47">
        <v>0</v>
      </c>
      <c r="K113" s="47">
        <v>0</v>
      </c>
      <c r="L113" s="47">
        <v>0</v>
      </c>
      <c r="M113" s="45">
        <v>0</v>
      </c>
      <c r="N113" s="47">
        <v>0</v>
      </c>
      <c r="O113" s="45" t="s">
        <v>50</v>
      </c>
      <c r="P113" s="47">
        <v>0</v>
      </c>
      <c r="Q113" s="45" t="s">
        <v>50</v>
      </c>
      <c r="R113" s="45" t="s">
        <v>50</v>
      </c>
      <c r="S113" s="47">
        <f t="shared" si="27"/>
        <v>0</v>
      </c>
      <c r="T113" s="47">
        <f t="shared" si="28"/>
        <v>0</v>
      </c>
      <c r="U113" s="48">
        <v>0</v>
      </c>
      <c r="V113" s="40" t="s">
        <v>436</v>
      </c>
    </row>
    <row r="114" spans="1:22" ht="45" x14ac:dyDescent="0.25">
      <c r="A114" s="18" t="s">
        <v>89</v>
      </c>
      <c r="B114" s="50" t="s">
        <v>342</v>
      </c>
      <c r="C114" s="51" t="s">
        <v>310</v>
      </c>
      <c r="D114" s="47">
        <v>0</v>
      </c>
      <c r="E114" s="47">
        <v>0</v>
      </c>
      <c r="F114" s="45" t="s">
        <v>50</v>
      </c>
      <c r="G114" s="47">
        <f t="shared" si="15"/>
        <v>0</v>
      </c>
      <c r="H114" s="47">
        <f t="shared" si="16"/>
        <v>0</v>
      </c>
      <c r="I114" s="47">
        <f t="shared" si="29"/>
        <v>0</v>
      </c>
      <c r="J114" s="47">
        <v>0</v>
      </c>
      <c r="K114" s="47">
        <v>0</v>
      </c>
      <c r="L114" s="47">
        <v>0</v>
      </c>
      <c r="M114" s="45">
        <v>0</v>
      </c>
      <c r="N114" s="47">
        <v>0</v>
      </c>
      <c r="O114" s="45" t="s">
        <v>50</v>
      </c>
      <c r="P114" s="47">
        <v>0</v>
      </c>
      <c r="Q114" s="45" t="s">
        <v>50</v>
      </c>
      <c r="R114" s="45" t="s">
        <v>50</v>
      </c>
      <c r="S114" s="47">
        <f t="shared" si="27"/>
        <v>0</v>
      </c>
      <c r="T114" s="47">
        <f t="shared" si="28"/>
        <v>0</v>
      </c>
      <c r="U114" s="48">
        <v>0</v>
      </c>
      <c r="V114" s="40" t="s">
        <v>440</v>
      </c>
    </row>
    <row r="115" spans="1:22" ht="45" x14ac:dyDescent="0.25">
      <c r="A115" s="18" t="s">
        <v>89</v>
      </c>
      <c r="B115" s="50" t="s">
        <v>343</v>
      </c>
      <c r="C115" s="51" t="s">
        <v>312</v>
      </c>
      <c r="D115" s="47">
        <v>0</v>
      </c>
      <c r="E115" s="47">
        <v>0</v>
      </c>
      <c r="F115" s="45" t="s">
        <v>50</v>
      </c>
      <c r="G115" s="47">
        <f t="shared" si="15"/>
        <v>0</v>
      </c>
      <c r="H115" s="47">
        <f t="shared" si="16"/>
        <v>0</v>
      </c>
      <c r="I115" s="47">
        <f t="shared" si="29"/>
        <v>0</v>
      </c>
      <c r="J115" s="47">
        <v>0</v>
      </c>
      <c r="K115" s="47">
        <v>0</v>
      </c>
      <c r="L115" s="47">
        <v>0</v>
      </c>
      <c r="M115" s="45">
        <v>0</v>
      </c>
      <c r="N115" s="47">
        <v>0</v>
      </c>
      <c r="O115" s="45" t="s">
        <v>50</v>
      </c>
      <c r="P115" s="47">
        <v>0</v>
      </c>
      <c r="Q115" s="45" t="s">
        <v>50</v>
      </c>
      <c r="R115" s="45" t="s">
        <v>50</v>
      </c>
      <c r="S115" s="47">
        <f t="shared" si="27"/>
        <v>0</v>
      </c>
      <c r="T115" s="47">
        <f t="shared" si="28"/>
        <v>0</v>
      </c>
      <c r="U115" s="48">
        <v>0</v>
      </c>
      <c r="V115" s="40" t="s">
        <v>440</v>
      </c>
    </row>
    <row r="116" spans="1:22" ht="45" x14ac:dyDescent="0.25">
      <c r="A116" s="18" t="s">
        <v>89</v>
      </c>
      <c r="B116" s="50" t="s">
        <v>344</v>
      </c>
      <c r="C116" s="51" t="s">
        <v>314</v>
      </c>
      <c r="D116" s="47">
        <v>0</v>
      </c>
      <c r="E116" s="47">
        <v>0</v>
      </c>
      <c r="F116" s="45" t="s">
        <v>50</v>
      </c>
      <c r="G116" s="47">
        <f t="shared" si="15"/>
        <v>0</v>
      </c>
      <c r="H116" s="47">
        <f t="shared" si="16"/>
        <v>0</v>
      </c>
      <c r="I116" s="47">
        <f t="shared" si="29"/>
        <v>0</v>
      </c>
      <c r="J116" s="47">
        <v>0</v>
      </c>
      <c r="K116" s="47">
        <v>0</v>
      </c>
      <c r="L116" s="47">
        <v>0</v>
      </c>
      <c r="M116" s="45">
        <v>0</v>
      </c>
      <c r="N116" s="47">
        <v>0</v>
      </c>
      <c r="O116" s="45" t="s">
        <v>50</v>
      </c>
      <c r="P116" s="47">
        <v>0</v>
      </c>
      <c r="Q116" s="45" t="s">
        <v>50</v>
      </c>
      <c r="R116" s="45" t="s">
        <v>50</v>
      </c>
      <c r="S116" s="47">
        <f t="shared" si="27"/>
        <v>0</v>
      </c>
      <c r="T116" s="47">
        <f t="shared" si="28"/>
        <v>0</v>
      </c>
      <c r="U116" s="48">
        <v>0</v>
      </c>
      <c r="V116" s="40" t="s">
        <v>440</v>
      </c>
    </row>
    <row r="117" spans="1:22" ht="45" x14ac:dyDescent="0.25">
      <c r="A117" s="18" t="s">
        <v>89</v>
      </c>
      <c r="B117" s="50" t="s">
        <v>345</v>
      </c>
      <c r="C117" s="51" t="s">
        <v>316</v>
      </c>
      <c r="D117" s="47">
        <v>0</v>
      </c>
      <c r="E117" s="47">
        <v>0</v>
      </c>
      <c r="F117" s="45" t="s">
        <v>50</v>
      </c>
      <c r="G117" s="47">
        <f t="shared" si="15"/>
        <v>0</v>
      </c>
      <c r="H117" s="47">
        <f t="shared" si="16"/>
        <v>0</v>
      </c>
      <c r="I117" s="47">
        <f t="shared" si="29"/>
        <v>0</v>
      </c>
      <c r="J117" s="47">
        <v>0</v>
      </c>
      <c r="K117" s="47">
        <v>0</v>
      </c>
      <c r="L117" s="47">
        <v>0</v>
      </c>
      <c r="M117" s="45">
        <v>0</v>
      </c>
      <c r="N117" s="47">
        <v>0</v>
      </c>
      <c r="O117" s="45" t="s">
        <v>50</v>
      </c>
      <c r="P117" s="47">
        <v>0</v>
      </c>
      <c r="Q117" s="45" t="s">
        <v>50</v>
      </c>
      <c r="R117" s="45" t="s">
        <v>50</v>
      </c>
      <c r="S117" s="47">
        <f t="shared" si="27"/>
        <v>0</v>
      </c>
      <c r="T117" s="47">
        <f t="shared" si="28"/>
        <v>0</v>
      </c>
      <c r="U117" s="48">
        <v>0</v>
      </c>
      <c r="V117" s="40" t="s">
        <v>440</v>
      </c>
    </row>
    <row r="118" spans="1:22" ht="45" x14ac:dyDescent="0.25">
      <c r="A118" s="18" t="s">
        <v>89</v>
      </c>
      <c r="B118" s="50" t="s">
        <v>346</v>
      </c>
      <c r="C118" s="51" t="s">
        <v>318</v>
      </c>
      <c r="D118" s="47">
        <v>0</v>
      </c>
      <c r="E118" s="47">
        <v>0</v>
      </c>
      <c r="F118" s="45" t="s">
        <v>50</v>
      </c>
      <c r="G118" s="47">
        <f t="shared" si="15"/>
        <v>0</v>
      </c>
      <c r="H118" s="47">
        <f t="shared" si="16"/>
        <v>0</v>
      </c>
      <c r="I118" s="47">
        <f t="shared" si="29"/>
        <v>0</v>
      </c>
      <c r="J118" s="47">
        <v>0</v>
      </c>
      <c r="K118" s="47">
        <v>0</v>
      </c>
      <c r="L118" s="47">
        <v>0</v>
      </c>
      <c r="M118" s="45">
        <v>0</v>
      </c>
      <c r="N118" s="47">
        <v>0</v>
      </c>
      <c r="O118" s="45" t="s">
        <v>50</v>
      </c>
      <c r="P118" s="47">
        <v>0</v>
      </c>
      <c r="Q118" s="45" t="s">
        <v>50</v>
      </c>
      <c r="R118" s="45" t="s">
        <v>50</v>
      </c>
      <c r="S118" s="47">
        <f t="shared" si="27"/>
        <v>0</v>
      </c>
      <c r="T118" s="47">
        <f t="shared" si="28"/>
        <v>0</v>
      </c>
      <c r="U118" s="48">
        <v>0</v>
      </c>
      <c r="V118" s="40" t="s">
        <v>440</v>
      </c>
    </row>
    <row r="119" spans="1:22" ht="45" x14ac:dyDescent="0.25">
      <c r="A119" s="18" t="s">
        <v>89</v>
      </c>
      <c r="B119" s="50" t="s">
        <v>347</v>
      </c>
      <c r="C119" s="51" t="s">
        <v>320</v>
      </c>
      <c r="D119" s="47">
        <v>0</v>
      </c>
      <c r="E119" s="47">
        <v>0</v>
      </c>
      <c r="F119" s="45" t="s">
        <v>50</v>
      </c>
      <c r="G119" s="47">
        <f t="shared" si="15"/>
        <v>0</v>
      </c>
      <c r="H119" s="47">
        <f t="shared" si="16"/>
        <v>0</v>
      </c>
      <c r="I119" s="47">
        <f t="shared" si="29"/>
        <v>0</v>
      </c>
      <c r="J119" s="47">
        <v>0</v>
      </c>
      <c r="K119" s="47">
        <v>0</v>
      </c>
      <c r="L119" s="47">
        <v>0</v>
      </c>
      <c r="M119" s="45">
        <v>0</v>
      </c>
      <c r="N119" s="47">
        <v>0</v>
      </c>
      <c r="O119" s="45" t="s">
        <v>50</v>
      </c>
      <c r="P119" s="47">
        <v>0</v>
      </c>
      <c r="Q119" s="45" t="s">
        <v>50</v>
      </c>
      <c r="R119" s="45" t="s">
        <v>50</v>
      </c>
      <c r="S119" s="47">
        <f t="shared" si="27"/>
        <v>0</v>
      </c>
      <c r="T119" s="47">
        <f t="shared" si="28"/>
        <v>0</v>
      </c>
      <c r="U119" s="48">
        <v>0</v>
      </c>
      <c r="V119" s="40" t="s">
        <v>440</v>
      </c>
    </row>
    <row r="120" spans="1:22" ht="45" x14ac:dyDescent="0.25">
      <c r="A120" s="18" t="s">
        <v>89</v>
      </c>
      <c r="B120" s="50" t="s">
        <v>348</v>
      </c>
      <c r="C120" s="51" t="s">
        <v>349</v>
      </c>
      <c r="D120" s="47">
        <v>0</v>
      </c>
      <c r="E120" s="47">
        <v>0</v>
      </c>
      <c r="F120" s="45" t="s">
        <v>50</v>
      </c>
      <c r="G120" s="47">
        <v>0</v>
      </c>
      <c r="H120" s="47">
        <v>0</v>
      </c>
      <c r="I120" s="47">
        <f t="shared" si="29"/>
        <v>0</v>
      </c>
      <c r="J120" s="47">
        <v>0</v>
      </c>
      <c r="K120" s="47">
        <v>0</v>
      </c>
      <c r="L120" s="47">
        <v>0</v>
      </c>
      <c r="M120" s="45">
        <v>0</v>
      </c>
      <c r="N120" s="47">
        <v>0</v>
      </c>
      <c r="O120" s="45" t="s">
        <v>50</v>
      </c>
      <c r="P120" s="47">
        <v>0</v>
      </c>
      <c r="Q120" s="45" t="s">
        <v>50</v>
      </c>
      <c r="R120" s="45" t="s">
        <v>50</v>
      </c>
      <c r="S120" s="47">
        <f t="shared" si="27"/>
        <v>0</v>
      </c>
      <c r="T120" s="47">
        <f t="shared" si="28"/>
        <v>0</v>
      </c>
      <c r="U120" s="48">
        <v>0</v>
      </c>
      <c r="V120" s="40" t="s">
        <v>440</v>
      </c>
    </row>
    <row r="121" spans="1:22" s="42" customFormat="1" ht="45" x14ac:dyDescent="0.25">
      <c r="A121" s="61" t="s">
        <v>89</v>
      </c>
      <c r="B121" s="50" t="s">
        <v>571</v>
      </c>
      <c r="C121" s="51" t="s">
        <v>230</v>
      </c>
      <c r="D121" s="47">
        <v>0</v>
      </c>
      <c r="E121" s="47">
        <v>0</v>
      </c>
      <c r="F121" s="45" t="s">
        <v>50</v>
      </c>
      <c r="G121" s="47">
        <v>0</v>
      </c>
      <c r="H121" s="47">
        <v>0</v>
      </c>
      <c r="I121" s="47">
        <f t="shared" si="29"/>
        <v>7.0547250000000006E-2</v>
      </c>
      <c r="J121" s="47">
        <v>0</v>
      </c>
      <c r="K121" s="47">
        <v>0</v>
      </c>
      <c r="L121" s="47">
        <v>0</v>
      </c>
      <c r="M121" s="45">
        <f>70.54725/1000</f>
        <v>7.0547250000000006E-2</v>
      </c>
      <c r="N121" s="47">
        <v>0</v>
      </c>
      <c r="O121" s="45" t="s">
        <v>50</v>
      </c>
      <c r="P121" s="47">
        <v>0</v>
      </c>
      <c r="Q121" s="45" t="s">
        <v>50</v>
      </c>
      <c r="R121" s="45" t="s">
        <v>50</v>
      </c>
      <c r="S121" s="47">
        <f t="shared" si="27"/>
        <v>-7.0547250000000006E-2</v>
      </c>
      <c r="T121" s="47">
        <f t="shared" si="28"/>
        <v>7.0547250000000006E-2</v>
      </c>
      <c r="U121" s="48">
        <v>0</v>
      </c>
      <c r="V121" s="40" t="s">
        <v>440</v>
      </c>
    </row>
    <row r="122" spans="1:22" s="42" customFormat="1" ht="45" x14ac:dyDescent="0.25">
      <c r="A122" s="61" t="s">
        <v>89</v>
      </c>
      <c r="B122" s="50" t="s">
        <v>572</v>
      </c>
      <c r="C122" s="51" t="s">
        <v>234</v>
      </c>
      <c r="D122" s="47">
        <v>0</v>
      </c>
      <c r="E122" s="47">
        <v>0</v>
      </c>
      <c r="F122" s="45" t="s">
        <v>50</v>
      </c>
      <c r="G122" s="47">
        <v>0</v>
      </c>
      <c r="H122" s="47">
        <v>0</v>
      </c>
      <c r="I122" s="47">
        <f t="shared" si="29"/>
        <v>8.8717099999999997E-3</v>
      </c>
      <c r="J122" s="47">
        <v>0</v>
      </c>
      <c r="K122" s="47">
        <v>0</v>
      </c>
      <c r="L122" s="47">
        <v>0</v>
      </c>
      <c r="M122" s="45">
        <f>8.87171/1000</f>
        <v>8.8717099999999997E-3</v>
      </c>
      <c r="N122" s="47">
        <v>0</v>
      </c>
      <c r="O122" s="45" t="s">
        <v>50</v>
      </c>
      <c r="P122" s="47">
        <v>0</v>
      </c>
      <c r="Q122" s="45" t="s">
        <v>50</v>
      </c>
      <c r="R122" s="45" t="s">
        <v>50</v>
      </c>
      <c r="S122" s="47">
        <f t="shared" si="27"/>
        <v>-8.8717099999999997E-3</v>
      </c>
      <c r="T122" s="47">
        <f t="shared" si="28"/>
        <v>8.8717099999999997E-3</v>
      </c>
      <c r="U122" s="48">
        <v>0</v>
      </c>
      <c r="V122" s="40" t="s">
        <v>440</v>
      </c>
    </row>
    <row r="123" spans="1:22" s="42" customFormat="1" ht="45" x14ac:dyDescent="0.25">
      <c r="A123" s="61" t="s">
        <v>89</v>
      </c>
      <c r="B123" s="50" t="s">
        <v>573</v>
      </c>
      <c r="C123" s="51" t="s">
        <v>574</v>
      </c>
      <c r="D123" s="47">
        <v>0</v>
      </c>
      <c r="E123" s="47">
        <v>0</v>
      </c>
      <c r="F123" s="45" t="s">
        <v>50</v>
      </c>
      <c r="G123" s="47">
        <v>0</v>
      </c>
      <c r="H123" s="47">
        <v>0</v>
      </c>
      <c r="I123" s="47">
        <f t="shared" si="29"/>
        <v>0</v>
      </c>
      <c r="J123" s="47">
        <v>0</v>
      </c>
      <c r="K123" s="47">
        <v>0</v>
      </c>
      <c r="L123" s="47">
        <v>0</v>
      </c>
      <c r="M123" s="45">
        <v>0</v>
      </c>
      <c r="N123" s="47">
        <v>0</v>
      </c>
      <c r="O123" s="45" t="s">
        <v>50</v>
      </c>
      <c r="P123" s="47">
        <v>0</v>
      </c>
      <c r="Q123" s="45" t="s">
        <v>50</v>
      </c>
      <c r="R123" s="45" t="s">
        <v>50</v>
      </c>
      <c r="S123" s="47">
        <f t="shared" si="27"/>
        <v>0</v>
      </c>
      <c r="T123" s="47">
        <f t="shared" si="28"/>
        <v>0</v>
      </c>
      <c r="U123" s="48">
        <v>0</v>
      </c>
      <c r="V123" s="40" t="s">
        <v>443</v>
      </c>
    </row>
    <row r="124" spans="1:22" s="42" customFormat="1" ht="45" x14ac:dyDescent="0.25">
      <c r="A124" s="61" t="s">
        <v>89</v>
      </c>
      <c r="B124" s="50" t="s">
        <v>575</v>
      </c>
      <c r="C124" s="51" t="s">
        <v>576</v>
      </c>
      <c r="D124" s="47">
        <v>0</v>
      </c>
      <c r="E124" s="47">
        <v>0</v>
      </c>
      <c r="F124" s="45" t="s">
        <v>50</v>
      </c>
      <c r="G124" s="47">
        <v>0</v>
      </c>
      <c r="H124" s="47">
        <v>0</v>
      </c>
      <c r="I124" s="47">
        <f t="shared" si="29"/>
        <v>0</v>
      </c>
      <c r="J124" s="47">
        <v>0</v>
      </c>
      <c r="K124" s="47">
        <v>0</v>
      </c>
      <c r="L124" s="47">
        <v>0</v>
      </c>
      <c r="M124" s="45">
        <v>0</v>
      </c>
      <c r="N124" s="47">
        <v>0</v>
      </c>
      <c r="O124" s="45" t="s">
        <v>50</v>
      </c>
      <c r="P124" s="47">
        <v>0</v>
      </c>
      <c r="Q124" s="45" t="s">
        <v>50</v>
      </c>
      <c r="R124" s="45" t="s">
        <v>50</v>
      </c>
      <c r="S124" s="47">
        <f t="shared" si="27"/>
        <v>0</v>
      </c>
      <c r="T124" s="47">
        <f t="shared" si="28"/>
        <v>0</v>
      </c>
      <c r="U124" s="48">
        <v>0</v>
      </c>
      <c r="V124" s="40" t="s">
        <v>440</v>
      </c>
    </row>
    <row r="125" spans="1:22" s="42" customFormat="1" ht="45" x14ac:dyDescent="0.25">
      <c r="A125" s="61" t="s">
        <v>89</v>
      </c>
      <c r="B125" s="50" t="s">
        <v>577</v>
      </c>
      <c r="C125" s="51" t="s">
        <v>578</v>
      </c>
      <c r="D125" s="47">
        <v>0</v>
      </c>
      <c r="E125" s="47">
        <v>0</v>
      </c>
      <c r="F125" s="45" t="s">
        <v>50</v>
      </c>
      <c r="G125" s="47">
        <v>0</v>
      </c>
      <c r="H125" s="47">
        <v>0</v>
      </c>
      <c r="I125" s="47">
        <f t="shared" si="29"/>
        <v>0</v>
      </c>
      <c r="J125" s="47">
        <v>0</v>
      </c>
      <c r="K125" s="47">
        <v>0</v>
      </c>
      <c r="L125" s="47">
        <v>0</v>
      </c>
      <c r="M125" s="45">
        <v>0</v>
      </c>
      <c r="N125" s="47">
        <v>0</v>
      </c>
      <c r="O125" s="45" t="s">
        <v>50</v>
      </c>
      <c r="P125" s="47">
        <v>0</v>
      </c>
      <c r="Q125" s="45" t="s">
        <v>50</v>
      </c>
      <c r="R125" s="45" t="s">
        <v>50</v>
      </c>
      <c r="S125" s="47">
        <f t="shared" si="27"/>
        <v>0</v>
      </c>
      <c r="T125" s="47">
        <f t="shared" si="28"/>
        <v>0</v>
      </c>
      <c r="U125" s="48">
        <v>0</v>
      </c>
      <c r="V125" s="40" t="s">
        <v>440</v>
      </c>
    </row>
    <row r="126" spans="1:22" s="42" customFormat="1" ht="45" x14ac:dyDescent="0.25">
      <c r="A126" s="61" t="s">
        <v>89</v>
      </c>
      <c r="B126" s="50" t="s">
        <v>579</v>
      </c>
      <c r="C126" s="51" t="s">
        <v>580</v>
      </c>
      <c r="D126" s="47">
        <v>0</v>
      </c>
      <c r="E126" s="47">
        <v>0</v>
      </c>
      <c r="F126" s="45" t="s">
        <v>50</v>
      </c>
      <c r="G126" s="47">
        <v>0</v>
      </c>
      <c r="H126" s="47">
        <v>0</v>
      </c>
      <c r="I126" s="47">
        <f t="shared" si="29"/>
        <v>8.2340609999999995E-2</v>
      </c>
      <c r="J126" s="47">
        <v>0</v>
      </c>
      <c r="K126" s="47">
        <v>0</v>
      </c>
      <c r="L126" s="47">
        <v>0</v>
      </c>
      <c r="M126" s="45">
        <f>82.34061/1000</f>
        <v>8.2340609999999995E-2</v>
      </c>
      <c r="N126" s="47">
        <v>0</v>
      </c>
      <c r="O126" s="45" t="s">
        <v>50</v>
      </c>
      <c r="P126" s="47">
        <v>0</v>
      </c>
      <c r="Q126" s="45" t="s">
        <v>50</v>
      </c>
      <c r="R126" s="45" t="s">
        <v>50</v>
      </c>
      <c r="S126" s="47">
        <f t="shared" si="27"/>
        <v>-8.2340609999999995E-2</v>
      </c>
      <c r="T126" s="47">
        <f t="shared" si="28"/>
        <v>8.2340609999999995E-2</v>
      </c>
      <c r="U126" s="48">
        <v>0</v>
      </c>
      <c r="V126" s="40" t="s">
        <v>440</v>
      </c>
    </row>
    <row r="127" spans="1:22" ht="89.25" customHeight="1" x14ac:dyDescent="0.25">
      <c r="A127" s="10" t="s">
        <v>93</v>
      </c>
      <c r="B127" s="13" t="s">
        <v>94</v>
      </c>
      <c r="C127" s="14" t="s">
        <v>52</v>
      </c>
      <c r="D127" s="49">
        <v>0.42581565424164525</v>
      </c>
      <c r="E127" s="49">
        <f>SUM(E128:E147)</f>
        <v>6.3945167999999997E-2</v>
      </c>
      <c r="F127" s="44" t="s">
        <v>50</v>
      </c>
      <c r="G127" s="49">
        <f t="shared" ref="G127:Q127" si="31">SUM(G128:G147)</f>
        <v>3.3128457900000003</v>
      </c>
      <c r="H127" s="49">
        <f t="shared" si="31"/>
        <v>3.3128457900000003</v>
      </c>
      <c r="I127" s="49">
        <f t="shared" si="29"/>
        <v>0.32267416000000004</v>
      </c>
      <c r="J127" s="49">
        <f t="shared" si="31"/>
        <v>0</v>
      </c>
      <c r="K127" s="49">
        <f t="shared" si="31"/>
        <v>0.28396741000000003</v>
      </c>
      <c r="L127" s="49">
        <f t="shared" si="31"/>
        <v>0</v>
      </c>
      <c r="M127" s="49">
        <f>SUM(M128:M148)</f>
        <v>3.8706750000000005E-2</v>
      </c>
      <c r="N127" s="49">
        <f t="shared" si="31"/>
        <v>0</v>
      </c>
      <c r="O127" s="44" t="s">
        <v>50</v>
      </c>
      <c r="P127" s="49">
        <f t="shared" si="31"/>
        <v>3.3128457900000003</v>
      </c>
      <c r="Q127" s="49">
        <f t="shared" si="31"/>
        <v>0</v>
      </c>
      <c r="R127" s="44" t="s">
        <v>50</v>
      </c>
      <c r="S127" s="49">
        <f t="shared" si="27"/>
        <v>2.9901716300000003</v>
      </c>
      <c r="T127" s="49">
        <f t="shared" si="28"/>
        <v>0.32267416000000004</v>
      </c>
      <c r="U127" s="37">
        <v>0</v>
      </c>
      <c r="V127" s="38" t="s">
        <v>50</v>
      </c>
    </row>
    <row r="128" spans="1:22" s="42" customFormat="1" ht="38.25" customHeight="1" x14ac:dyDescent="0.25">
      <c r="A128" s="18" t="s">
        <v>93</v>
      </c>
      <c r="B128" s="33" t="s">
        <v>534</v>
      </c>
      <c r="C128" s="43" t="s">
        <v>535</v>
      </c>
      <c r="D128" s="47">
        <v>0</v>
      </c>
      <c r="E128" s="47">
        <v>3.1972583999999998E-2</v>
      </c>
      <c r="F128" s="45" t="s">
        <v>50</v>
      </c>
      <c r="G128" s="47">
        <v>0</v>
      </c>
      <c r="H128" s="47">
        <v>0</v>
      </c>
      <c r="I128" s="47">
        <f t="shared" si="29"/>
        <v>0</v>
      </c>
      <c r="J128" s="47">
        <v>0</v>
      </c>
      <c r="K128" s="47">
        <v>0</v>
      </c>
      <c r="L128" s="47">
        <v>0</v>
      </c>
      <c r="M128" s="47">
        <v>0</v>
      </c>
      <c r="N128" s="47">
        <v>0</v>
      </c>
      <c r="O128" s="45" t="s">
        <v>50</v>
      </c>
      <c r="P128" s="47">
        <v>0</v>
      </c>
      <c r="Q128" s="47">
        <v>0</v>
      </c>
      <c r="R128" s="45" t="s">
        <v>50</v>
      </c>
      <c r="S128" s="47">
        <f t="shared" si="27"/>
        <v>0</v>
      </c>
      <c r="T128" s="47">
        <f t="shared" si="28"/>
        <v>0</v>
      </c>
      <c r="U128" s="48">
        <v>0</v>
      </c>
      <c r="V128" s="40" t="s">
        <v>437</v>
      </c>
    </row>
    <row r="129" spans="1:22" s="42" customFormat="1" ht="38.25" customHeight="1" x14ac:dyDescent="0.25">
      <c r="A129" s="18" t="s">
        <v>93</v>
      </c>
      <c r="B129" s="33" t="s">
        <v>536</v>
      </c>
      <c r="C129" s="43" t="s">
        <v>537</v>
      </c>
      <c r="D129" s="47">
        <v>0</v>
      </c>
      <c r="E129" s="47">
        <v>3.1972583999999998E-2</v>
      </c>
      <c r="F129" s="45" t="s">
        <v>50</v>
      </c>
      <c r="G129" s="47">
        <v>0</v>
      </c>
      <c r="H129" s="47">
        <v>0</v>
      </c>
      <c r="I129" s="47">
        <f t="shared" si="29"/>
        <v>0</v>
      </c>
      <c r="J129" s="47">
        <v>0</v>
      </c>
      <c r="K129" s="47">
        <v>0</v>
      </c>
      <c r="L129" s="47">
        <v>0</v>
      </c>
      <c r="M129" s="47">
        <v>0</v>
      </c>
      <c r="N129" s="47">
        <v>0</v>
      </c>
      <c r="O129" s="45" t="s">
        <v>50</v>
      </c>
      <c r="P129" s="47">
        <v>0</v>
      </c>
      <c r="Q129" s="47">
        <v>0</v>
      </c>
      <c r="R129" s="45" t="s">
        <v>50</v>
      </c>
      <c r="S129" s="47">
        <f t="shared" si="27"/>
        <v>0</v>
      </c>
      <c r="T129" s="47">
        <f t="shared" si="28"/>
        <v>0</v>
      </c>
      <c r="U129" s="48">
        <v>0</v>
      </c>
      <c r="V129" s="40" t="s">
        <v>437</v>
      </c>
    </row>
    <row r="130" spans="1:22" ht="49.5" customHeight="1" x14ac:dyDescent="0.25">
      <c r="A130" s="27" t="s">
        <v>93</v>
      </c>
      <c r="B130" s="22" t="s">
        <v>183</v>
      </c>
      <c r="C130" s="52" t="s">
        <v>184</v>
      </c>
      <c r="D130" s="47">
        <v>8.8453570694087394E-2</v>
      </c>
      <c r="E130" s="47">
        <v>0</v>
      </c>
      <c r="F130" s="45" t="s">
        <v>50</v>
      </c>
      <c r="G130" s="47">
        <f t="shared" si="15"/>
        <v>0.68816877999999992</v>
      </c>
      <c r="H130" s="47">
        <f t="shared" si="16"/>
        <v>0.68816877999999992</v>
      </c>
      <c r="I130" s="47">
        <f t="shared" si="29"/>
        <v>0</v>
      </c>
      <c r="J130" s="47">
        <v>0</v>
      </c>
      <c r="K130" s="47">
        <v>0</v>
      </c>
      <c r="L130" s="47">
        <v>0</v>
      </c>
      <c r="M130" s="45">
        <v>0</v>
      </c>
      <c r="N130" s="47">
        <v>0</v>
      </c>
      <c r="O130" s="45" t="s">
        <v>50</v>
      </c>
      <c r="P130" s="47">
        <v>0.68816877999999992</v>
      </c>
      <c r="Q130" s="45" t="s">
        <v>50</v>
      </c>
      <c r="R130" s="45" t="s">
        <v>50</v>
      </c>
      <c r="S130" s="47">
        <f t="shared" si="27"/>
        <v>0.68816877999999992</v>
      </c>
      <c r="T130" s="47">
        <f t="shared" si="28"/>
        <v>0</v>
      </c>
      <c r="U130" s="48">
        <v>0</v>
      </c>
      <c r="V130" s="90" t="s">
        <v>717</v>
      </c>
    </row>
    <row r="131" spans="1:22" ht="30" x14ac:dyDescent="0.25">
      <c r="A131" s="27" t="s">
        <v>93</v>
      </c>
      <c r="B131" s="22" t="s">
        <v>352</v>
      </c>
      <c r="C131" s="52" t="s">
        <v>353</v>
      </c>
      <c r="D131" s="47">
        <v>0</v>
      </c>
      <c r="E131" s="47">
        <v>0</v>
      </c>
      <c r="F131" s="45" t="s">
        <v>50</v>
      </c>
      <c r="G131" s="47">
        <f t="shared" si="15"/>
        <v>0</v>
      </c>
      <c r="H131" s="47">
        <f t="shared" si="16"/>
        <v>0</v>
      </c>
      <c r="I131" s="47">
        <f t="shared" si="29"/>
        <v>4.1587300000000002E-3</v>
      </c>
      <c r="J131" s="47">
        <v>0</v>
      </c>
      <c r="K131" s="47">
        <v>4.1587300000000002E-3</v>
      </c>
      <c r="L131" s="47">
        <v>0</v>
      </c>
      <c r="M131" s="45">
        <v>0</v>
      </c>
      <c r="N131" s="47">
        <v>0</v>
      </c>
      <c r="O131" s="45" t="s">
        <v>50</v>
      </c>
      <c r="P131" s="47">
        <v>0</v>
      </c>
      <c r="Q131" s="45" t="s">
        <v>50</v>
      </c>
      <c r="R131" s="45" t="s">
        <v>50</v>
      </c>
      <c r="S131" s="47">
        <f t="shared" si="27"/>
        <v>-4.1587300000000002E-3</v>
      </c>
      <c r="T131" s="47">
        <f t="shared" si="28"/>
        <v>4.1587300000000002E-3</v>
      </c>
      <c r="U131" s="48">
        <v>0</v>
      </c>
      <c r="V131" s="91"/>
    </row>
    <row r="132" spans="1:22" ht="30" x14ac:dyDescent="0.25">
      <c r="A132" s="27" t="s">
        <v>93</v>
      </c>
      <c r="B132" s="22" t="s">
        <v>354</v>
      </c>
      <c r="C132" s="52" t="s">
        <v>355</v>
      </c>
      <c r="D132" s="47">
        <v>0</v>
      </c>
      <c r="E132" s="47">
        <v>0</v>
      </c>
      <c r="F132" s="45" t="s">
        <v>50</v>
      </c>
      <c r="G132" s="47">
        <f t="shared" si="15"/>
        <v>0</v>
      </c>
      <c r="H132" s="47">
        <f t="shared" si="16"/>
        <v>0</v>
      </c>
      <c r="I132" s="47">
        <f t="shared" si="29"/>
        <v>5.57896E-3</v>
      </c>
      <c r="J132" s="47">
        <v>0</v>
      </c>
      <c r="K132" s="47">
        <v>5.57896E-3</v>
      </c>
      <c r="L132" s="47">
        <v>0</v>
      </c>
      <c r="M132" s="45">
        <v>0</v>
      </c>
      <c r="N132" s="47">
        <v>0</v>
      </c>
      <c r="O132" s="45" t="s">
        <v>50</v>
      </c>
      <c r="P132" s="47">
        <v>0</v>
      </c>
      <c r="Q132" s="45" t="s">
        <v>50</v>
      </c>
      <c r="R132" s="45" t="s">
        <v>50</v>
      </c>
      <c r="S132" s="47">
        <f t="shared" si="27"/>
        <v>-5.57896E-3</v>
      </c>
      <c r="T132" s="47">
        <f t="shared" si="28"/>
        <v>5.57896E-3</v>
      </c>
      <c r="U132" s="48">
        <v>0</v>
      </c>
      <c r="V132" s="91"/>
    </row>
    <row r="133" spans="1:22" ht="30" x14ac:dyDescent="0.25">
      <c r="A133" s="27" t="s">
        <v>93</v>
      </c>
      <c r="B133" s="22" t="s">
        <v>356</v>
      </c>
      <c r="C133" s="52" t="s">
        <v>357</v>
      </c>
      <c r="D133" s="47">
        <v>0</v>
      </c>
      <c r="E133" s="47">
        <v>0</v>
      </c>
      <c r="F133" s="45" t="s">
        <v>50</v>
      </c>
      <c r="G133" s="47">
        <f t="shared" si="15"/>
        <v>0</v>
      </c>
      <c r="H133" s="47">
        <f t="shared" si="16"/>
        <v>0</v>
      </c>
      <c r="I133" s="47">
        <f t="shared" si="29"/>
        <v>1.21409E-2</v>
      </c>
      <c r="J133" s="47">
        <v>0</v>
      </c>
      <c r="K133" s="47">
        <v>1.21409E-2</v>
      </c>
      <c r="L133" s="47">
        <v>0</v>
      </c>
      <c r="M133" s="45">
        <v>0</v>
      </c>
      <c r="N133" s="47">
        <v>0</v>
      </c>
      <c r="O133" s="45" t="s">
        <v>50</v>
      </c>
      <c r="P133" s="47">
        <v>0</v>
      </c>
      <c r="Q133" s="45" t="s">
        <v>50</v>
      </c>
      <c r="R133" s="45" t="s">
        <v>50</v>
      </c>
      <c r="S133" s="47">
        <f t="shared" si="27"/>
        <v>-1.21409E-2</v>
      </c>
      <c r="T133" s="47">
        <f t="shared" si="28"/>
        <v>1.21409E-2</v>
      </c>
      <c r="U133" s="48">
        <v>0</v>
      </c>
      <c r="V133" s="91"/>
    </row>
    <row r="134" spans="1:22" ht="30" x14ac:dyDescent="0.25">
      <c r="A134" s="27" t="s">
        <v>93</v>
      </c>
      <c r="B134" s="22" t="s">
        <v>358</v>
      </c>
      <c r="C134" s="52" t="s">
        <v>359</v>
      </c>
      <c r="D134" s="47">
        <v>0</v>
      </c>
      <c r="E134" s="47">
        <v>0</v>
      </c>
      <c r="F134" s="45" t="s">
        <v>50</v>
      </c>
      <c r="G134" s="47">
        <f t="shared" si="15"/>
        <v>0</v>
      </c>
      <c r="H134" s="47">
        <f t="shared" si="16"/>
        <v>0</v>
      </c>
      <c r="I134" s="47">
        <f t="shared" si="29"/>
        <v>4.3957800000000002E-3</v>
      </c>
      <c r="J134" s="47">
        <v>0</v>
      </c>
      <c r="K134" s="47">
        <v>4.3957800000000002E-3</v>
      </c>
      <c r="L134" s="47">
        <v>0</v>
      </c>
      <c r="M134" s="45">
        <v>0</v>
      </c>
      <c r="N134" s="47">
        <v>0</v>
      </c>
      <c r="O134" s="45" t="s">
        <v>50</v>
      </c>
      <c r="P134" s="47">
        <v>0</v>
      </c>
      <c r="Q134" s="45" t="s">
        <v>50</v>
      </c>
      <c r="R134" s="45" t="s">
        <v>50</v>
      </c>
      <c r="S134" s="47">
        <f t="shared" si="27"/>
        <v>-4.3957800000000002E-3</v>
      </c>
      <c r="T134" s="47">
        <f t="shared" si="28"/>
        <v>4.3957800000000002E-3</v>
      </c>
      <c r="U134" s="48">
        <v>0</v>
      </c>
      <c r="V134" s="91"/>
    </row>
    <row r="135" spans="1:22" ht="30" x14ac:dyDescent="0.25">
      <c r="A135" s="27" t="s">
        <v>93</v>
      </c>
      <c r="B135" s="22" t="s">
        <v>360</v>
      </c>
      <c r="C135" s="52" t="s">
        <v>361</v>
      </c>
      <c r="D135" s="47">
        <v>0</v>
      </c>
      <c r="E135" s="47">
        <v>0</v>
      </c>
      <c r="F135" s="45" t="s">
        <v>50</v>
      </c>
      <c r="G135" s="47">
        <f t="shared" si="15"/>
        <v>0</v>
      </c>
      <c r="H135" s="47">
        <f t="shared" si="16"/>
        <v>0</v>
      </c>
      <c r="I135" s="47">
        <f t="shared" si="29"/>
        <v>6.2564600000000001E-3</v>
      </c>
      <c r="J135" s="47">
        <v>0</v>
      </c>
      <c r="K135" s="47">
        <v>6.2564600000000001E-3</v>
      </c>
      <c r="L135" s="47">
        <v>0</v>
      </c>
      <c r="M135" s="45">
        <v>0</v>
      </c>
      <c r="N135" s="47">
        <v>0</v>
      </c>
      <c r="O135" s="45" t="s">
        <v>50</v>
      </c>
      <c r="P135" s="47">
        <v>0</v>
      </c>
      <c r="Q135" s="45" t="s">
        <v>50</v>
      </c>
      <c r="R135" s="45" t="s">
        <v>50</v>
      </c>
      <c r="S135" s="47">
        <f t="shared" si="27"/>
        <v>-6.2564600000000001E-3</v>
      </c>
      <c r="T135" s="47">
        <f t="shared" si="28"/>
        <v>6.2564600000000001E-3</v>
      </c>
      <c r="U135" s="48">
        <v>0</v>
      </c>
      <c r="V135" s="91"/>
    </row>
    <row r="136" spans="1:22" ht="30" x14ac:dyDescent="0.25">
      <c r="A136" s="27" t="s">
        <v>93</v>
      </c>
      <c r="B136" s="22" t="s">
        <v>362</v>
      </c>
      <c r="C136" s="52" t="s">
        <v>363</v>
      </c>
      <c r="D136" s="47">
        <v>0</v>
      </c>
      <c r="E136" s="47">
        <v>0</v>
      </c>
      <c r="F136" s="45" t="s">
        <v>50</v>
      </c>
      <c r="G136" s="47">
        <f t="shared" si="15"/>
        <v>0</v>
      </c>
      <c r="H136" s="47">
        <f t="shared" si="16"/>
        <v>0</v>
      </c>
      <c r="I136" s="47">
        <f t="shared" si="29"/>
        <v>5.4178300000000002E-3</v>
      </c>
      <c r="J136" s="47">
        <v>0</v>
      </c>
      <c r="K136" s="47">
        <v>5.4178300000000002E-3</v>
      </c>
      <c r="L136" s="47">
        <v>0</v>
      </c>
      <c r="M136" s="45">
        <v>0</v>
      </c>
      <c r="N136" s="47">
        <v>0</v>
      </c>
      <c r="O136" s="45" t="s">
        <v>50</v>
      </c>
      <c r="P136" s="47">
        <v>0</v>
      </c>
      <c r="Q136" s="45" t="s">
        <v>50</v>
      </c>
      <c r="R136" s="45" t="s">
        <v>50</v>
      </c>
      <c r="S136" s="47">
        <f t="shared" si="27"/>
        <v>-5.4178300000000002E-3</v>
      </c>
      <c r="T136" s="47">
        <f t="shared" si="28"/>
        <v>5.4178300000000002E-3</v>
      </c>
      <c r="U136" s="48">
        <v>0</v>
      </c>
      <c r="V136" s="91"/>
    </row>
    <row r="137" spans="1:22" ht="30" x14ac:dyDescent="0.25">
      <c r="A137" s="27" t="s">
        <v>93</v>
      </c>
      <c r="B137" s="22" t="s">
        <v>364</v>
      </c>
      <c r="C137" s="52" t="s">
        <v>365</v>
      </c>
      <c r="D137" s="47">
        <v>0</v>
      </c>
      <c r="E137" s="47">
        <v>0</v>
      </c>
      <c r="F137" s="45" t="s">
        <v>50</v>
      </c>
      <c r="G137" s="47">
        <f t="shared" ref="G137:G213" si="32">H137</f>
        <v>0</v>
      </c>
      <c r="H137" s="47">
        <f t="shared" ref="H137:H213" si="33">J137+L137+N137+P137</f>
        <v>0</v>
      </c>
      <c r="I137" s="47">
        <f t="shared" si="29"/>
        <v>0.14344787000000001</v>
      </c>
      <c r="J137" s="47">
        <v>0</v>
      </c>
      <c r="K137" s="47">
        <v>0.14344787000000001</v>
      </c>
      <c r="L137" s="47">
        <v>0</v>
      </c>
      <c r="M137" s="45">
        <v>0</v>
      </c>
      <c r="N137" s="47">
        <v>0</v>
      </c>
      <c r="O137" s="45" t="s">
        <v>50</v>
      </c>
      <c r="P137" s="47">
        <v>0</v>
      </c>
      <c r="Q137" s="45" t="s">
        <v>50</v>
      </c>
      <c r="R137" s="45" t="s">
        <v>50</v>
      </c>
      <c r="S137" s="47">
        <f t="shared" si="27"/>
        <v>-0.14344787000000001</v>
      </c>
      <c r="T137" s="47">
        <f t="shared" si="28"/>
        <v>0.14344787000000001</v>
      </c>
      <c r="U137" s="48">
        <v>0</v>
      </c>
      <c r="V137" s="91"/>
    </row>
    <row r="138" spans="1:22" ht="30" x14ac:dyDescent="0.25">
      <c r="A138" s="27" t="s">
        <v>93</v>
      </c>
      <c r="B138" s="22" t="s">
        <v>366</v>
      </c>
      <c r="C138" s="52" t="s">
        <v>367</v>
      </c>
      <c r="D138" s="47">
        <v>0</v>
      </c>
      <c r="E138" s="47">
        <v>0</v>
      </c>
      <c r="F138" s="45" t="s">
        <v>50</v>
      </c>
      <c r="G138" s="47">
        <f t="shared" si="32"/>
        <v>0</v>
      </c>
      <c r="H138" s="47">
        <f t="shared" si="33"/>
        <v>0</v>
      </c>
      <c r="I138" s="47">
        <f t="shared" si="29"/>
        <v>6.1046699999999995E-3</v>
      </c>
      <c r="J138" s="47">
        <v>0</v>
      </c>
      <c r="K138" s="47">
        <v>6.1046699999999995E-3</v>
      </c>
      <c r="L138" s="47">
        <v>0</v>
      </c>
      <c r="M138" s="45">
        <v>0</v>
      </c>
      <c r="N138" s="47">
        <v>0</v>
      </c>
      <c r="O138" s="45" t="s">
        <v>50</v>
      </c>
      <c r="P138" s="47">
        <v>0</v>
      </c>
      <c r="Q138" s="45" t="s">
        <v>50</v>
      </c>
      <c r="R138" s="45" t="s">
        <v>50</v>
      </c>
      <c r="S138" s="47">
        <f t="shared" si="27"/>
        <v>-6.1046699999999995E-3</v>
      </c>
      <c r="T138" s="47">
        <f t="shared" si="28"/>
        <v>6.1046699999999995E-3</v>
      </c>
      <c r="U138" s="48">
        <v>0</v>
      </c>
      <c r="V138" s="91"/>
    </row>
    <row r="139" spans="1:22" ht="30" x14ac:dyDescent="0.25">
      <c r="A139" s="27" t="s">
        <v>93</v>
      </c>
      <c r="B139" s="22" t="s">
        <v>368</v>
      </c>
      <c r="C139" s="52" t="s">
        <v>369</v>
      </c>
      <c r="D139" s="47">
        <v>0</v>
      </c>
      <c r="E139" s="47">
        <v>0</v>
      </c>
      <c r="F139" s="45" t="s">
        <v>50</v>
      </c>
      <c r="G139" s="47">
        <v>0</v>
      </c>
      <c r="H139" s="47">
        <v>0</v>
      </c>
      <c r="I139" s="47">
        <f t="shared" si="29"/>
        <v>5.4622500000000001E-3</v>
      </c>
      <c r="J139" s="47">
        <v>0</v>
      </c>
      <c r="K139" s="47">
        <v>5.4622500000000001E-3</v>
      </c>
      <c r="L139" s="47">
        <v>0</v>
      </c>
      <c r="M139" s="45">
        <v>0</v>
      </c>
      <c r="N139" s="47">
        <v>0</v>
      </c>
      <c r="O139" s="45" t="s">
        <v>50</v>
      </c>
      <c r="P139" s="47">
        <v>0</v>
      </c>
      <c r="Q139" s="45" t="s">
        <v>50</v>
      </c>
      <c r="R139" s="45" t="s">
        <v>50</v>
      </c>
      <c r="S139" s="47">
        <f t="shared" si="27"/>
        <v>-5.4622500000000001E-3</v>
      </c>
      <c r="T139" s="47">
        <f t="shared" si="28"/>
        <v>5.4622500000000001E-3</v>
      </c>
      <c r="U139" s="48">
        <v>0</v>
      </c>
      <c r="V139" s="91"/>
    </row>
    <row r="140" spans="1:22" s="42" customFormat="1" ht="30" x14ac:dyDescent="0.25">
      <c r="A140" s="27" t="s">
        <v>93</v>
      </c>
      <c r="B140" s="22" t="s">
        <v>581</v>
      </c>
      <c r="C140" s="52" t="s">
        <v>582</v>
      </c>
      <c r="D140" s="47">
        <v>0</v>
      </c>
      <c r="E140" s="47">
        <v>0</v>
      </c>
      <c r="F140" s="45" t="s">
        <v>50</v>
      </c>
      <c r="G140" s="47">
        <v>0</v>
      </c>
      <c r="H140" s="47">
        <v>0</v>
      </c>
      <c r="I140" s="47">
        <f t="shared" si="29"/>
        <v>1.8189759999999999E-2</v>
      </c>
      <c r="J140" s="47">
        <v>0</v>
      </c>
      <c r="K140" s="47">
        <v>0</v>
      </c>
      <c r="L140" s="47">
        <v>0</v>
      </c>
      <c r="M140" s="45">
        <f>18.18976/1000</f>
        <v>1.8189759999999999E-2</v>
      </c>
      <c r="N140" s="47">
        <v>0</v>
      </c>
      <c r="O140" s="45" t="s">
        <v>50</v>
      </c>
      <c r="P140" s="47">
        <v>0</v>
      </c>
      <c r="Q140" s="45" t="s">
        <v>50</v>
      </c>
      <c r="R140" s="45" t="s">
        <v>50</v>
      </c>
      <c r="S140" s="47">
        <f t="shared" si="27"/>
        <v>-1.8189759999999999E-2</v>
      </c>
      <c r="T140" s="47">
        <f t="shared" si="28"/>
        <v>1.8189759999999999E-2</v>
      </c>
      <c r="U140" s="48">
        <v>0</v>
      </c>
      <c r="V140" s="91"/>
    </row>
    <row r="141" spans="1:22" s="42" customFormat="1" ht="30" x14ac:dyDescent="0.25">
      <c r="A141" s="27" t="s">
        <v>93</v>
      </c>
      <c r="B141" s="22" t="s">
        <v>583</v>
      </c>
      <c r="C141" s="52" t="s">
        <v>584</v>
      </c>
      <c r="D141" s="47">
        <v>0</v>
      </c>
      <c r="E141" s="47">
        <v>0</v>
      </c>
      <c r="F141" s="45" t="s">
        <v>50</v>
      </c>
      <c r="G141" s="47">
        <v>0</v>
      </c>
      <c r="H141" s="47">
        <v>0</v>
      </c>
      <c r="I141" s="47">
        <f t="shared" si="29"/>
        <v>6.1305800000000001E-3</v>
      </c>
      <c r="J141" s="47">
        <v>0</v>
      </c>
      <c r="K141" s="47">
        <v>0</v>
      </c>
      <c r="L141" s="47">
        <v>0</v>
      </c>
      <c r="M141" s="45">
        <f>6.13058/1000</f>
        <v>6.1305800000000001E-3</v>
      </c>
      <c r="N141" s="47">
        <v>0</v>
      </c>
      <c r="O141" s="45" t="s">
        <v>50</v>
      </c>
      <c r="P141" s="47">
        <v>0</v>
      </c>
      <c r="Q141" s="45" t="s">
        <v>50</v>
      </c>
      <c r="R141" s="45" t="s">
        <v>50</v>
      </c>
      <c r="S141" s="47">
        <f t="shared" si="27"/>
        <v>-6.1305800000000001E-3</v>
      </c>
      <c r="T141" s="47">
        <f t="shared" si="28"/>
        <v>6.1305800000000001E-3</v>
      </c>
      <c r="U141" s="48">
        <v>0</v>
      </c>
      <c r="V141" s="91"/>
    </row>
    <row r="142" spans="1:22" s="42" customFormat="1" ht="30" x14ac:dyDescent="0.25">
      <c r="A142" s="27" t="s">
        <v>93</v>
      </c>
      <c r="B142" s="22" t="s">
        <v>585</v>
      </c>
      <c r="C142" s="52" t="s">
        <v>586</v>
      </c>
      <c r="D142" s="47">
        <v>0</v>
      </c>
      <c r="E142" s="47">
        <v>0</v>
      </c>
      <c r="F142" s="45" t="s">
        <v>50</v>
      </c>
      <c r="G142" s="47">
        <v>0</v>
      </c>
      <c r="H142" s="47">
        <v>0</v>
      </c>
      <c r="I142" s="47">
        <f t="shared" si="29"/>
        <v>2.75728E-3</v>
      </c>
      <c r="J142" s="47">
        <v>0</v>
      </c>
      <c r="K142" s="47">
        <v>0</v>
      </c>
      <c r="L142" s="47">
        <v>0</v>
      </c>
      <c r="M142" s="45">
        <f>2.75728/1000</f>
        <v>2.75728E-3</v>
      </c>
      <c r="N142" s="47">
        <v>0</v>
      </c>
      <c r="O142" s="45" t="s">
        <v>50</v>
      </c>
      <c r="P142" s="47">
        <v>0</v>
      </c>
      <c r="Q142" s="45" t="s">
        <v>50</v>
      </c>
      <c r="R142" s="45" t="s">
        <v>50</v>
      </c>
      <c r="S142" s="47">
        <f t="shared" si="27"/>
        <v>-2.75728E-3</v>
      </c>
      <c r="T142" s="47">
        <f t="shared" si="28"/>
        <v>2.75728E-3</v>
      </c>
      <c r="U142" s="48">
        <v>0</v>
      </c>
      <c r="V142" s="91"/>
    </row>
    <row r="143" spans="1:22" s="42" customFormat="1" ht="30" x14ac:dyDescent="0.25">
      <c r="A143" s="27" t="s">
        <v>93</v>
      </c>
      <c r="B143" s="22" t="s">
        <v>587</v>
      </c>
      <c r="C143" s="52" t="s">
        <v>588</v>
      </c>
      <c r="D143" s="47">
        <v>0</v>
      </c>
      <c r="E143" s="47">
        <v>0</v>
      </c>
      <c r="F143" s="45" t="s">
        <v>50</v>
      </c>
      <c r="G143" s="47">
        <v>0</v>
      </c>
      <c r="H143" s="47">
        <v>0</v>
      </c>
      <c r="I143" s="47">
        <f t="shared" si="29"/>
        <v>5.3924400000000001E-3</v>
      </c>
      <c r="J143" s="47">
        <v>0</v>
      </c>
      <c r="K143" s="47">
        <v>0</v>
      </c>
      <c r="L143" s="47">
        <v>0</v>
      </c>
      <c r="M143" s="45">
        <f>5.39244/1000</f>
        <v>5.3924400000000001E-3</v>
      </c>
      <c r="N143" s="47">
        <v>0</v>
      </c>
      <c r="O143" s="45" t="s">
        <v>50</v>
      </c>
      <c r="P143" s="47">
        <v>0</v>
      </c>
      <c r="Q143" s="45" t="s">
        <v>50</v>
      </c>
      <c r="R143" s="45" t="s">
        <v>50</v>
      </c>
      <c r="S143" s="47">
        <f t="shared" si="27"/>
        <v>-5.3924400000000001E-3</v>
      </c>
      <c r="T143" s="47">
        <f t="shared" si="28"/>
        <v>5.3924400000000001E-3</v>
      </c>
      <c r="U143" s="48">
        <v>0</v>
      </c>
      <c r="V143" s="91"/>
    </row>
    <row r="144" spans="1:22" s="42" customFormat="1" ht="30" x14ac:dyDescent="0.25">
      <c r="A144" s="27" t="s">
        <v>93</v>
      </c>
      <c r="B144" s="22" t="s">
        <v>589</v>
      </c>
      <c r="C144" s="52" t="s">
        <v>590</v>
      </c>
      <c r="D144" s="47">
        <v>0</v>
      </c>
      <c r="E144" s="47">
        <v>0</v>
      </c>
      <c r="F144" s="45" t="s">
        <v>50</v>
      </c>
      <c r="G144" s="47">
        <v>0</v>
      </c>
      <c r="H144" s="47">
        <v>0</v>
      </c>
      <c r="I144" s="47">
        <f t="shared" si="29"/>
        <v>6.2366900000000005E-3</v>
      </c>
      <c r="J144" s="47">
        <v>0</v>
      </c>
      <c r="K144" s="47">
        <v>0</v>
      </c>
      <c r="L144" s="47">
        <v>0</v>
      </c>
      <c r="M144" s="45">
        <f>6.23669/1000</f>
        <v>6.2366900000000005E-3</v>
      </c>
      <c r="N144" s="47">
        <v>0</v>
      </c>
      <c r="O144" s="45" t="s">
        <v>50</v>
      </c>
      <c r="P144" s="47">
        <v>0</v>
      </c>
      <c r="Q144" s="45" t="s">
        <v>50</v>
      </c>
      <c r="R144" s="45" t="s">
        <v>50</v>
      </c>
      <c r="S144" s="47">
        <f t="shared" si="27"/>
        <v>-6.2366900000000005E-3</v>
      </c>
      <c r="T144" s="47">
        <f t="shared" si="28"/>
        <v>6.2366900000000005E-3</v>
      </c>
      <c r="U144" s="48">
        <v>0</v>
      </c>
      <c r="V144" s="92"/>
    </row>
    <row r="145" spans="1:22" ht="60" x14ac:dyDescent="0.25">
      <c r="A145" s="27" t="s">
        <v>93</v>
      </c>
      <c r="B145" s="22" t="s">
        <v>185</v>
      </c>
      <c r="C145" s="52" t="s">
        <v>186</v>
      </c>
      <c r="D145" s="47">
        <v>0.33736208354755792</v>
      </c>
      <c r="E145" s="47">
        <v>0</v>
      </c>
      <c r="F145" s="45" t="s">
        <v>50</v>
      </c>
      <c r="G145" s="47">
        <f t="shared" si="32"/>
        <v>2.6246770100000005</v>
      </c>
      <c r="H145" s="47">
        <f t="shared" si="33"/>
        <v>2.6246770100000005</v>
      </c>
      <c r="I145" s="47">
        <f t="shared" si="29"/>
        <v>0</v>
      </c>
      <c r="J145" s="47">
        <v>0</v>
      </c>
      <c r="K145" s="47">
        <v>0</v>
      </c>
      <c r="L145" s="47">
        <v>0</v>
      </c>
      <c r="M145" s="45">
        <v>0</v>
      </c>
      <c r="N145" s="47">
        <v>0</v>
      </c>
      <c r="O145" s="45" t="s">
        <v>50</v>
      </c>
      <c r="P145" s="47">
        <v>2.6246770100000005</v>
      </c>
      <c r="Q145" s="45" t="s">
        <v>50</v>
      </c>
      <c r="R145" s="45" t="s">
        <v>50</v>
      </c>
      <c r="S145" s="47">
        <f t="shared" ref="S145:S208" si="34">G145-I145</f>
        <v>2.6246770100000005</v>
      </c>
      <c r="T145" s="47">
        <f t="shared" si="28"/>
        <v>0</v>
      </c>
      <c r="U145" s="48">
        <v>0</v>
      </c>
      <c r="V145" s="78" t="s">
        <v>717</v>
      </c>
    </row>
    <row r="146" spans="1:22" ht="30" x14ac:dyDescent="0.25">
      <c r="A146" s="27" t="s">
        <v>93</v>
      </c>
      <c r="B146" s="22" t="s">
        <v>370</v>
      </c>
      <c r="C146" s="52" t="s">
        <v>371</v>
      </c>
      <c r="D146" s="47">
        <v>0</v>
      </c>
      <c r="E146" s="47">
        <v>0</v>
      </c>
      <c r="F146" s="45" t="s">
        <v>50</v>
      </c>
      <c r="G146" s="47">
        <f t="shared" si="32"/>
        <v>0</v>
      </c>
      <c r="H146" s="47">
        <f t="shared" si="33"/>
        <v>0</v>
      </c>
      <c r="I146" s="47">
        <f t="shared" si="29"/>
        <v>4.9009950000000004E-2</v>
      </c>
      <c r="J146" s="47">
        <v>0</v>
      </c>
      <c r="K146" s="47">
        <v>4.9009950000000004E-2</v>
      </c>
      <c r="L146" s="47">
        <v>0</v>
      </c>
      <c r="M146" s="45">
        <v>0</v>
      </c>
      <c r="N146" s="47">
        <v>0</v>
      </c>
      <c r="O146" s="45" t="s">
        <v>50</v>
      </c>
      <c r="P146" s="47">
        <v>0</v>
      </c>
      <c r="Q146" s="45" t="s">
        <v>50</v>
      </c>
      <c r="R146" s="45" t="s">
        <v>50</v>
      </c>
      <c r="S146" s="47">
        <f t="shared" si="34"/>
        <v>-4.9009950000000004E-2</v>
      </c>
      <c r="T146" s="47">
        <f t="shared" ref="T146:T209" si="35">(K146+M146)-(J146+L146)</f>
        <v>4.9009950000000004E-2</v>
      </c>
      <c r="U146" s="48">
        <v>0</v>
      </c>
      <c r="V146" s="79"/>
    </row>
    <row r="147" spans="1:22" ht="30" x14ac:dyDescent="0.25">
      <c r="A147" s="27" t="s">
        <v>93</v>
      </c>
      <c r="B147" s="22" t="s">
        <v>372</v>
      </c>
      <c r="C147" s="52" t="s">
        <v>373</v>
      </c>
      <c r="D147" s="47">
        <v>0</v>
      </c>
      <c r="E147" s="47">
        <v>0</v>
      </c>
      <c r="F147" s="45" t="s">
        <v>50</v>
      </c>
      <c r="G147" s="47">
        <f t="shared" si="32"/>
        <v>0</v>
      </c>
      <c r="H147" s="47">
        <f t="shared" si="33"/>
        <v>0</v>
      </c>
      <c r="I147" s="47">
        <f t="shared" si="29"/>
        <v>4.1994010000000005E-2</v>
      </c>
      <c r="J147" s="47">
        <v>0</v>
      </c>
      <c r="K147" s="47">
        <v>4.1994010000000005E-2</v>
      </c>
      <c r="L147" s="47">
        <v>0</v>
      </c>
      <c r="M147" s="45">
        <v>0</v>
      </c>
      <c r="N147" s="47">
        <v>0</v>
      </c>
      <c r="O147" s="45" t="s">
        <v>50</v>
      </c>
      <c r="P147" s="47">
        <v>0</v>
      </c>
      <c r="Q147" s="45" t="s">
        <v>50</v>
      </c>
      <c r="R147" s="45" t="s">
        <v>50</v>
      </c>
      <c r="S147" s="47">
        <f t="shared" si="34"/>
        <v>-4.1994010000000005E-2</v>
      </c>
      <c r="T147" s="47">
        <f t="shared" si="35"/>
        <v>4.1994010000000005E-2</v>
      </c>
      <c r="U147" s="48">
        <v>0</v>
      </c>
      <c r="V147" s="79"/>
    </row>
    <row r="148" spans="1:22" s="42" customFormat="1" ht="30" x14ac:dyDescent="0.25">
      <c r="A148" s="27" t="s">
        <v>93</v>
      </c>
      <c r="B148" s="22" t="s">
        <v>591</v>
      </c>
      <c r="C148" s="52" t="s">
        <v>592</v>
      </c>
      <c r="D148" s="47">
        <v>0</v>
      </c>
      <c r="E148" s="47">
        <v>0</v>
      </c>
      <c r="F148" s="45" t="s">
        <v>50</v>
      </c>
      <c r="G148" s="47">
        <v>0</v>
      </c>
      <c r="H148" s="47">
        <v>0</v>
      </c>
      <c r="I148" s="47">
        <f t="shared" si="29"/>
        <v>0</v>
      </c>
      <c r="J148" s="47">
        <v>0</v>
      </c>
      <c r="K148" s="47">
        <v>0</v>
      </c>
      <c r="L148" s="47">
        <v>0</v>
      </c>
      <c r="M148" s="45">
        <v>0</v>
      </c>
      <c r="N148" s="47">
        <v>0</v>
      </c>
      <c r="O148" s="45" t="s">
        <v>50</v>
      </c>
      <c r="P148" s="47">
        <v>0</v>
      </c>
      <c r="Q148" s="45" t="s">
        <v>50</v>
      </c>
      <c r="R148" s="45" t="s">
        <v>50</v>
      </c>
      <c r="S148" s="47">
        <f t="shared" si="34"/>
        <v>0</v>
      </c>
      <c r="T148" s="47">
        <f t="shared" si="35"/>
        <v>0</v>
      </c>
      <c r="U148" s="48">
        <v>0</v>
      </c>
      <c r="V148" s="80"/>
    </row>
    <row r="149" spans="1:22" ht="42.75" x14ac:dyDescent="0.25">
      <c r="A149" s="10" t="s">
        <v>25</v>
      </c>
      <c r="B149" s="13" t="s">
        <v>95</v>
      </c>
      <c r="C149" s="14" t="s">
        <v>52</v>
      </c>
      <c r="D149" s="49">
        <v>16.520314779488359</v>
      </c>
      <c r="E149" s="49">
        <f>E150+E228</f>
        <v>6.7060424879999996</v>
      </c>
      <c r="F149" s="44" t="s">
        <v>50</v>
      </c>
      <c r="G149" s="49">
        <f t="shared" si="32"/>
        <v>144.67234544213562</v>
      </c>
      <c r="H149" s="49">
        <f t="shared" si="33"/>
        <v>144.67234544213562</v>
      </c>
      <c r="I149" s="49">
        <f t="shared" si="29"/>
        <v>31.618125219999996</v>
      </c>
      <c r="J149" s="49">
        <v>7.0209631613559322</v>
      </c>
      <c r="K149" s="49">
        <f>K150+K228</f>
        <v>21.489658899999998</v>
      </c>
      <c r="L149" s="49">
        <v>76.049340292203397</v>
      </c>
      <c r="M149" s="44">
        <f>M150+M228</f>
        <v>10.128466319999998</v>
      </c>
      <c r="N149" s="49">
        <v>38.919446434508487</v>
      </c>
      <c r="O149" s="44" t="s">
        <v>50</v>
      </c>
      <c r="P149" s="49">
        <f>P150++P228</f>
        <v>22.682595554067799</v>
      </c>
      <c r="Q149" s="44" t="s">
        <v>50</v>
      </c>
      <c r="R149" s="44" t="s">
        <v>50</v>
      </c>
      <c r="S149" s="49">
        <f t="shared" si="34"/>
        <v>113.05422022213563</v>
      </c>
      <c r="T149" s="49">
        <f t="shared" si="35"/>
        <v>-51.452178233559337</v>
      </c>
      <c r="U149" s="37">
        <f t="shared" ref="U149:U209" si="36">(K149+M149)/(J149+L149)*100-100</f>
        <v>-61.938112772543093</v>
      </c>
      <c r="V149" s="38" t="s">
        <v>50</v>
      </c>
    </row>
    <row r="150" spans="1:22" ht="71.25" x14ac:dyDescent="0.25">
      <c r="A150" s="10" t="s">
        <v>26</v>
      </c>
      <c r="B150" s="13" t="s">
        <v>96</v>
      </c>
      <c r="C150" s="14" t="s">
        <v>52</v>
      </c>
      <c r="D150" s="49">
        <v>3.7433373702742676</v>
      </c>
      <c r="E150" s="49">
        <f>E151++E163</f>
        <v>0.15397043999999999</v>
      </c>
      <c r="F150" s="44" t="s">
        <v>50</v>
      </c>
      <c r="G150" s="49">
        <f t="shared" si="32"/>
        <v>29.951511602135611</v>
      </c>
      <c r="H150" s="49">
        <f t="shared" si="33"/>
        <v>29.951511602135611</v>
      </c>
      <c r="I150" s="49">
        <f t="shared" si="29"/>
        <v>17.088730029999997</v>
      </c>
      <c r="J150" s="49">
        <v>0.68016982135593196</v>
      </c>
      <c r="K150" s="49">
        <f>K151++K163</f>
        <v>15.302625209999999</v>
      </c>
      <c r="L150" s="49">
        <v>7.1268809322033961</v>
      </c>
      <c r="M150" s="44">
        <f>M151++M163</f>
        <v>1.78610482</v>
      </c>
      <c r="N150" s="49">
        <v>19.488708204508487</v>
      </c>
      <c r="O150" s="44" t="s">
        <v>50</v>
      </c>
      <c r="P150" s="49">
        <f>P151+P163</f>
        <v>2.6557526440677957</v>
      </c>
      <c r="Q150" s="44" t="s">
        <v>50</v>
      </c>
      <c r="R150" s="44" t="s">
        <v>50</v>
      </c>
      <c r="S150" s="49">
        <f t="shared" si="34"/>
        <v>12.862781572135614</v>
      </c>
      <c r="T150" s="49">
        <f t="shared" si="35"/>
        <v>9.2816792764406699</v>
      </c>
      <c r="U150" s="37">
        <f t="shared" si="36"/>
        <v>118.88841983266269</v>
      </c>
      <c r="V150" s="38" t="s">
        <v>50</v>
      </c>
    </row>
    <row r="151" spans="1:22" ht="42.75" x14ac:dyDescent="0.25">
      <c r="A151" s="10" t="s">
        <v>27</v>
      </c>
      <c r="B151" s="13" t="s">
        <v>97</v>
      </c>
      <c r="C151" s="14" t="s">
        <v>52</v>
      </c>
      <c r="D151" s="49">
        <v>5.2311728260497001E-2</v>
      </c>
      <c r="E151" s="49">
        <f>SUM(E152:E162)</f>
        <v>0</v>
      </c>
      <c r="F151" s="44" t="s">
        <v>50</v>
      </c>
      <c r="G151" s="49">
        <f t="shared" si="32"/>
        <v>0.34664822399999995</v>
      </c>
      <c r="H151" s="49">
        <f t="shared" si="33"/>
        <v>0.34664822399999995</v>
      </c>
      <c r="I151" s="49">
        <f t="shared" si="29"/>
        <v>0.12693545000000001</v>
      </c>
      <c r="J151" s="49">
        <v>0</v>
      </c>
      <c r="K151" s="49">
        <f>SUM(K152:K162)</f>
        <v>6.2472109999999997E-2</v>
      </c>
      <c r="L151" s="49">
        <v>0</v>
      </c>
      <c r="M151" s="44">
        <f>SUM(M152:M162)</f>
        <v>6.4463339999999994E-2</v>
      </c>
      <c r="N151" s="49">
        <v>0.34664822399999995</v>
      </c>
      <c r="O151" s="44" t="s">
        <v>50</v>
      </c>
      <c r="P151" s="49">
        <v>0</v>
      </c>
      <c r="Q151" s="44" t="s">
        <v>50</v>
      </c>
      <c r="R151" s="44" t="s">
        <v>50</v>
      </c>
      <c r="S151" s="49">
        <f t="shared" si="34"/>
        <v>0.21971277399999994</v>
      </c>
      <c r="T151" s="49">
        <f t="shared" si="35"/>
        <v>0.12693545000000001</v>
      </c>
      <c r="U151" s="37">
        <v>0</v>
      </c>
      <c r="V151" s="38" t="s">
        <v>50</v>
      </c>
    </row>
    <row r="152" spans="1:22" ht="45" x14ac:dyDescent="0.25">
      <c r="A152" s="21" t="s">
        <v>27</v>
      </c>
      <c r="B152" s="22" t="s">
        <v>98</v>
      </c>
      <c r="C152" s="23" t="s">
        <v>99</v>
      </c>
      <c r="D152" s="47">
        <v>8.3333333333333332E-3</v>
      </c>
      <c r="E152" s="47">
        <v>0</v>
      </c>
      <c r="F152" s="45" t="s">
        <v>50</v>
      </c>
      <c r="G152" s="47">
        <f t="shared" si="32"/>
        <v>3.4664822400000003E-2</v>
      </c>
      <c r="H152" s="47">
        <f t="shared" si="33"/>
        <v>3.4664822400000003E-2</v>
      </c>
      <c r="I152" s="47">
        <f t="shared" si="29"/>
        <v>3.2859439999999997E-2</v>
      </c>
      <c r="J152" s="47">
        <v>0</v>
      </c>
      <c r="K152" s="47">
        <v>0</v>
      </c>
      <c r="L152" s="47">
        <v>0</v>
      </c>
      <c r="M152" s="45">
        <f>32.85944/1000</f>
        <v>3.2859439999999997E-2</v>
      </c>
      <c r="N152" s="47">
        <v>3.4664822400000003E-2</v>
      </c>
      <c r="O152" s="45" t="s">
        <v>50</v>
      </c>
      <c r="P152" s="47">
        <v>0</v>
      </c>
      <c r="Q152" s="45" t="s">
        <v>50</v>
      </c>
      <c r="R152" s="45" t="s">
        <v>50</v>
      </c>
      <c r="S152" s="47">
        <f t="shared" si="34"/>
        <v>1.8053824000000065E-3</v>
      </c>
      <c r="T152" s="47">
        <f t="shared" si="35"/>
        <v>3.2859439999999997E-2</v>
      </c>
      <c r="U152" s="48">
        <v>0</v>
      </c>
      <c r="V152" s="46" t="s">
        <v>50</v>
      </c>
    </row>
    <row r="153" spans="1:22" ht="45" x14ac:dyDescent="0.25">
      <c r="A153" s="21" t="s">
        <v>27</v>
      </c>
      <c r="B153" s="22" t="s">
        <v>100</v>
      </c>
      <c r="C153" s="23" t="s">
        <v>101</v>
      </c>
      <c r="D153" s="47">
        <v>8.3333333333333332E-3</v>
      </c>
      <c r="E153" s="47">
        <v>0</v>
      </c>
      <c r="F153" s="45" t="s">
        <v>50</v>
      </c>
      <c r="G153" s="47">
        <f t="shared" si="32"/>
        <v>3.4664822400000003E-2</v>
      </c>
      <c r="H153" s="47">
        <f t="shared" si="33"/>
        <v>3.4664822400000003E-2</v>
      </c>
      <c r="I153" s="47">
        <f t="shared" si="29"/>
        <v>3.1603899999999997E-2</v>
      </c>
      <c r="J153" s="47">
        <v>0</v>
      </c>
      <c r="K153" s="47">
        <v>0</v>
      </c>
      <c r="L153" s="47">
        <v>0</v>
      </c>
      <c r="M153" s="45">
        <f>31.6039/1000</f>
        <v>3.1603899999999997E-2</v>
      </c>
      <c r="N153" s="47">
        <v>3.4664822400000003E-2</v>
      </c>
      <c r="O153" s="45" t="s">
        <v>50</v>
      </c>
      <c r="P153" s="47">
        <v>0</v>
      </c>
      <c r="Q153" s="45" t="s">
        <v>50</v>
      </c>
      <c r="R153" s="45" t="s">
        <v>50</v>
      </c>
      <c r="S153" s="47">
        <f t="shared" si="34"/>
        <v>3.060922400000006E-3</v>
      </c>
      <c r="T153" s="47">
        <f t="shared" si="35"/>
        <v>3.1603899999999997E-2</v>
      </c>
      <c r="U153" s="48">
        <v>0</v>
      </c>
      <c r="V153" s="46" t="s">
        <v>50</v>
      </c>
    </row>
    <row r="154" spans="1:22" ht="45" x14ac:dyDescent="0.25">
      <c r="A154" s="21" t="s">
        <v>27</v>
      </c>
      <c r="B154" s="22" t="s">
        <v>102</v>
      </c>
      <c r="C154" s="23" t="s">
        <v>103</v>
      </c>
      <c r="D154" s="47">
        <v>4.4556326992287922E-3</v>
      </c>
      <c r="E154" s="47">
        <v>0</v>
      </c>
      <c r="F154" s="45" t="s">
        <v>50</v>
      </c>
      <c r="G154" s="47">
        <f t="shared" si="32"/>
        <v>3.4664822400000003E-2</v>
      </c>
      <c r="H154" s="47">
        <f t="shared" si="33"/>
        <v>3.4664822400000003E-2</v>
      </c>
      <c r="I154" s="47">
        <f t="shared" si="29"/>
        <v>0</v>
      </c>
      <c r="J154" s="47">
        <v>0</v>
      </c>
      <c r="K154" s="47">
        <v>0</v>
      </c>
      <c r="L154" s="47">
        <v>0</v>
      </c>
      <c r="M154" s="45">
        <v>0</v>
      </c>
      <c r="N154" s="47">
        <v>3.4664822400000003E-2</v>
      </c>
      <c r="O154" s="45" t="s">
        <v>50</v>
      </c>
      <c r="P154" s="47">
        <v>0</v>
      </c>
      <c r="Q154" s="45" t="s">
        <v>50</v>
      </c>
      <c r="R154" s="45" t="s">
        <v>50</v>
      </c>
      <c r="S154" s="47">
        <f t="shared" si="34"/>
        <v>3.4664822400000003E-2</v>
      </c>
      <c r="T154" s="47">
        <f t="shared" si="35"/>
        <v>0</v>
      </c>
      <c r="U154" s="48">
        <v>0</v>
      </c>
      <c r="V154" s="46" t="s">
        <v>50</v>
      </c>
    </row>
    <row r="155" spans="1:22" ht="45" x14ac:dyDescent="0.25">
      <c r="A155" s="21" t="s">
        <v>27</v>
      </c>
      <c r="B155" s="22" t="s">
        <v>104</v>
      </c>
      <c r="C155" s="23" t="s">
        <v>105</v>
      </c>
      <c r="D155" s="47">
        <v>4.4556326992287922E-3</v>
      </c>
      <c r="E155" s="47">
        <v>0</v>
      </c>
      <c r="F155" s="45" t="s">
        <v>50</v>
      </c>
      <c r="G155" s="47">
        <f t="shared" si="32"/>
        <v>3.4664822400000003E-2</v>
      </c>
      <c r="H155" s="47">
        <f t="shared" si="33"/>
        <v>3.4664822400000003E-2</v>
      </c>
      <c r="I155" s="47">
        <f t="shared" si="29"/>
        <v>0</v>
      </c>
      <c r="J155" s="47">
        <v>0</v>
      </c>
      <c r="K155" s="47">
        <v>0</v>
      </c>
      <c r="L155" s="47">
        <v>0</v>
      </c>
      <c r="M155" s="45">
        <v>0</v>
      </c>
      <c r="N155" s="47">
        <v>3.4664822400000003E-2</v>
      </c>
      <c r="O155" s="45" t="s">
        <v>50</v>
      </c>
      <c r="P155" s="47">
        <v>0</v>
      </c>
      <c r="Q155" s="45" t="s">
        <v>50</v>
      </c>
      <c r="R155" s="45" t="s">
        <v>50</v>
      </c>
      <c r="S155" s="47">
        <f t="shared" si="34"/>
        <v>3.4664822400000003E-2</v>
      </c>
      <c r="T155" s="47">
        <f t="shared" si="35"/>
        <v>0</v>
      </c>
      <c r="U155" s="48">
        <v>0</v>
      </c>
      <c r="V155" s="46" t="s">
        <v>50</v>
      </c>
    </row>
    <row r="156" spans="1:22" ht="45" x14ac:dyDescent="0.25">
      <c r="A156" s="21" t="s">
        <v>27</v>
      </c>
      <c r="B156" s="22" t="s">
        <v>106</v>
      </c>
      <c r="C156" s="23" t="s">
        <v>107</v>
      </c>
      <c r="D156" s="47">
        <v>4.4556326992287922E-3</v>
      </c>
      <c r="E156" s="47">
        <v>0</v>
      </c>
      <c r="F156" s="45" t="s">
        <v>50</v>
      </c>
      <c r="G156" s="47">
        <f t="shared" si="32"/>
        <v>3.4664822400000003E-2</v>
      </c>
      <c r="H156" s="47">
        <f t="shared" si="33"/>
        <v>3.4664822400000003E-2</v>
      </c>
      <c r="I156" s="47">
        <f t="shared" si="29"/>
        <v>0</v>
      </c>
      <c r="J156" s="47">
        <v>0</v>
      </c>
      <c r="K156" s="47">
        <v>0</v>
      </c>
      <c r="L156" s="47">
        <v>0</v>
      </c>
      <c r="M156" s="45">
        <v>0</v>
      </c>
      <c r="N156" s="47">
        <v>3.4664822400000003E-2</v>
      </c>
      <c r="O156" s="45" t="s">
        <v>50</v>
      </c>
      <c r="P156" s="47">
        <v>0</v>
      </c>
      <c r="Q156" s="45" t="s">
        <v>50</v>
      </c>
      <c r="R156" s="45" t="s">
        <v>50</v>
      </c>
      <c r="S156" s="47">
        <f t="shared" si="34"/>
        <v>3.4664822400000003E-2</v>
      </c>
      <c r="T156" s="47">
        <f t="shared" si="35"/>
        <v>0</v>
      </c>
      <c r="U156" s="48">
        <v>0</v>
      </c>
      <c r="V156" s="46" t="s">
        <v>50</v>
      </c>
    </row>
    <row r="157" spans="1:22" ht="45" x14ac:dyDescent="0.25">
      <c r="A157" s="21" t="s">
        <v>27</v>
      </c>
      <c r="B157" s="22" t="s">
        <v>108</v>
      </c>
      <c r="C157" s="23" t="s">
        <v>109</v>
      </c>
      <c r="D157" s="47">
        <v>4.4556326992287922E-3</v>
      </c>
      <c r="E157" s="47">
        <v>0</v>
      </c>
      <c r="F157" s="45" t="s">
        <v>50</v>
      </c>
      <c r="G157" s="47">
        <f t="shared" si="32"/>
        <v>3.4664822400000003E-2</v>
      </c>
      <c r="H157" s="47">
        <f t="shared" si="33"/>
        <v>3.4664822400000003E-2</v>
      </c>
      <c r="I157" s="47">
        <f t="shared" ref="I157:I220" si="37">K157+M157</f>
        <v>0</v>
      </c>
      <c r="J157" s="47">
        <v>0</v>
      </c>
      <c r="K157" s="47">
        <v>0</v>
      </c>
      <c r="L157" s="47">
        <v>0</v>
      </c>
      <c r="M157" s="45">
        <v>0</v>
      </c>
      <c r="N157" s="47">
        <v>3.4664822400000003E-2</v>
      </c>
      <c r="O157" s="45" t="s">
        <v>50</v>
      </c>
      <c r="P157" s="47">
        <v>0</v>
      </c>
      <c r="Q157" s="45" t="s">
        <v>50</v>
      </c>
      <c r="R157" s="45" t="s">
        <v>50</v>
      </c>
      <c r="S157" s="47">
        <f t="shared" si="34"/>
        <v>3.4664822400000003E-2</v>
      </c>
      <c r="T157" s="47">
        <f t="shared" si="35"/>
        <v>0</v>
      </c>
      <c r="U157" s="48">
        <v>0</v>
      </c>
      <c r="V157" s="46" t="s">
        <v>50</v>
      </c>
    </row>
    <row r="158" spans="1:22" ht="45" x14ac:dyDescent="0.25">
      <c r="A158" s="21" t="s">
        <v>27</v>
      </c>
      <c r="B158" s="22" t="s">
        <v>110</v>
      </c>
      <c r="C158" s="23" t="s">
        <v>111</v>
      </c>
      <c r="D158" s="47">
        <v>4.4556326992287922E-3</v>
      </c>
      <c r="E158" s="47">
        <v>0</v>
      </c>
      <c r="F158" s="45" t="s">
        <v>50</v>
      </c>
      <c r="G158" s="47">
        <f t="shared" si="32"/>
        <v>3.4664822400000003E-2</v>
      </c>
      <c r="H158" s="47">
        <f t="shared" si="33"/>
        <v>3.4664822400000003E-2</v>
      </c>
      <c r="I158" s="47">
        <f t="shared" si="37"/>
        <v>0</v>
      </c>
      <c r="J158" s="47">
        <v>0</v>
      </c>
      <c r="K158" s="47">
        <v>0</v>
      </c>
      <c r="L158" s="47">
        <v>0</v>
      </c>
      <c r="M158" s="45">
        <v>0</v>
      </c>
      <c r="N158" s="47">
        <v>3.4664822400000003E-2</v>
      </c>
      <c r="O158" s="45" t="s">
        <v>50</v>
      </c>
      <c r="P158" s="47">
        <v>0</v>
      </c>
      <c r="Q158" s="45" t="s">
        <v>50</v>
      </c>
      <c r="R158" s="45" t="s">
        <v>50</v>
      </c>
      <c r="S158" s="47">
        <f t="shared" si="34"/>
        <v>3.4664822400000003E-2</v>
      </c>
      <c r="T158" s="47">
        <f t="shared" si="35"/>
        <v>0</v>
      </c>
      <c r="U158" s="48">
        <v>0</v>
      </c>
      <c r="V158" s="46" t="s">
        <v>50</v>
      </c>
    </row>
    <row r="159" spans="1:22" ht="45" x14ac:dyDescent="0.25">
      <c r="A159" s="21" t="s">
        <v>27</v>
      </c>
      <c r="B159" s="22" t="s">
        <v>112</v>
      </c>
      <c r="C159" s="23" t="s">
        <v>113</v>
      </c>
      <c r="D159" s="47">
        <v>4.4556326992287922E-3</v>
      </c>
      <c r="E159" s="47">
        <v>0</v>
      </c>
      <c r="F159" s="45" t="s">
        <v>50</v>
      </c>
      <c r="G159" s="47">
        <f t="shared" si="32"/>
        <v>3.4664822400000003E-2</v>
      </c>
      <c r="H159" s="47">
        <f t="shared" si="33"/>
        <v>3.4664822400000003E-2</v>
      </c>
      <c r="I159" s="47">
        <f t="shared" si="37"/>
        <v>0</v>
      </c>
      <c r="J159" s="47">
        <v>0</v>
      </c>
      <c r="K159" s="47">
        <v>0</v>
      </c>
      <c r="L159" s="47">
        <v>0</v>
      </c>
      <c r="M159" s="45">
        <v>0</v>
      </c>
      <c r="N159" s="47">
        <v>3.4664822400000003E-2</v>
      </c>
      <c r="O159" s="45" t="s">
        <v>50</v>
      </c>
      <c r="P159" s="47">
        <v>0</v>
      </c>
      <c r="Q159" s="45" t="s">
        <v>50</v>
      </c>
      <c r="R159" s="45" t="s">
        <v>50</v>
      </c>
      <c r="S159" s="47">
        <f t="shared" si="34"/>
        <v>3.4664822400000003E-2</v>
      </c>
      <c r="T159" s="47">
        <f t="shared" si="35"/>
        <v>0</v>
      </c>
      <c r="U159" s="48">
        <v>0</v>
      </c>
      <c r="V159" s="46" t="s">
        <v>50</v>
      </c>
    </row>
    <row r="160" spans="1:22" ht="45" x14ac:dyDescent="0.25">
      <c r="A160" s="21" t="s">
        <v>27</v>
      </c>
      <c r="B160" s="22" t="s">
        <v>114</v>
      </c>
      <c r="C160" s="23" t="s">
        <v>115</v>
      </c>
      <c r="D160" s="47">
        <v>4.4556326992287922E-3</v>
      </c>
      <c r="E160" s="47">
        <v>0</v>
      </c>
      <c r="F160" s="45" t="s">
        <v>50</v>
      </c>
      <c r="G160" s="47">
        <f t="shared" si="32"/>
        <v>3.4664822400000003E-2</v>
      </c>
      <c r="H160" s="47">
        <f t="shared" si="33"/>
        <v>3.4664822400000003E-2</v>
      </c>
      <c r="I160" s="47">
        <f t="shared" si="37"/>
        <v>3.13009E-2</v>
      </c>
      <c r="J160" s="47">
        <v>0</v>
      </c>
      <c r="K160" s="47">
        <f>31.3009/1000</f>
        <v>3.13009E-2</v>
      </c>
      <c r="L160" s="47">
        <v>0</v>
      </c>
      <c r="M160" s="45">
        <v>0</v>
      </c>
      <c r="N160" s="47">
        <v>3.4664822400000003E-2</v>
      </c>
      <c r="O160" s="45" t="s">
        <v>50</v>
      </c>
      <c r="P160" s="47">
        <v>0</v>
      </c>
      <c r="Q160" s="45" t="s">
        <v>50</v>
      </c>
      <c r="R160" s="45" t="s">
        <v>50</v>
      </c>
      <c r="S160" s="47">
        <f t="shared" si="34"/>
        <v>3.3639224000000037E-3</v>
      </c>
      <c r="T160" s="47">
        <f t="shared" si="35"/>
        <v>3.13009E-2</v>
      </c>
      <c r="U160" s="48">
        <v>0</v>
      </c>
      <c r="V160" s="41" t="s">
        <v>50</v>
      </c>
    </row>
    <row r="161" spans="1:22" ht="45" x14ac:dyDescent="0.25">
      <c r="A161" s="21" t="s">
        <v>27</v>
      </c>
      <c r="B161" s="22" t="s">
        <v>116</v>
      </c>
      <c r="C161" s="23" t="s">
        <v>117</v>
      </c>
      <c r="D161" s="47">
        <v>4.4556326992287922E-3</v>
      </c>
      <c r="E161" s="47">
        <v>0</v>
      </c>
      <c r="F161" s="45" t="s">
        <v>50</v>
      </c>
      <c r="G161" s="47">
        <f t="shared" si="32"/>
        <v>3.4664822400000003E-2</v>
      </c>
      <c r="H161" s="47">
        <f t="shared" si="33"/>
        <v>3.4664822400000003E-2</v>
      </c>
      <c r="I161" s="47">
        <f t="shared" si="37"/>
        <v>0</v>
      </c>
      <c r="J161" s="47">
        <v>0</v>
      </c>
      <c r="K161" s="47">
        <v>0</v>
      </c>
      <c r="L161" s="47">
        <v>0</v>
      </c>
      <c r="M161" s="45">
        <v>0</v>
      </c>
      <c r="N161" s="47">
        <v>3.4664822400000003E-2</v>
      </c>
      <c r="O161" s="45" t="s">
        <v>50</v>
      </c>
      <c r="P161" s="47">
        <v>0</v>
      </c>
      <c r="Q161" s="45" t="s">
        <v>50</v>
      </c>
      <c r="R161" s="45" t="s">
        <v>50</v>
      </c>
      <c r="S161" s="47">
        <f t="shared" si="34"/>
        <v>3.4664822400000003E-2</v>
      </c>
      <c r="T161" s="47">
        <f t="shared" si="35"/>
        <v>0</v>
      </c>
      <c r="U161" s="48">
        <v>0</v>
      </c>
      <c r="V161" s="46" t="s">
        <v>50</v>
      </c>
    </row>
    <row r="162" spans="1:22" ht="30.75" customHeight="1" x14ac:dyDescent="0.25">
      <c r="A162" s="27" t="s">
        <v>27</v>
      </c>
      <c r="B162" s="22" t="s">
        <v>374</v>
      </c>
      <c r="C162" s="52" t="s">
        <v>375</v>
      </c>
      <c r="D162" s="47">
        <v>0</v>
      </c>
      <c r="E162" s="47">
        <v>0</v>
      </c>
      <c r="F162" s="45" t="s">
        <v>50</v>
      </c>
      <c r="G162" s="47">
        <f t="shared" si="32"/>
        <v>0</v>
      </c>
      <c r="H162" s="47">
        <f t="shared" si="33"/>
        <v>0</v>
      </c>
      <c r="I162" s="47">
        <f t="shared" si="37"/>
        <v>3.1171209999999998E-2</v>
      </c>
      <c r="J162" s="47">
        <v>0</v>
      </c>
      <c r="K162" s="47">
        <f>31.17121/1000</f>
        <v>3.1171209999999998E-2</v>
      </c>
      <c r="L162" s="47">
        <v>0</v>
      </c>
      <c r="M162" s="45">
        <v>0</v>
      </c>
      <c r="N162" s="47">
        <v>0</v>
      </c>
      <c r="O162" s="45" t="s">
        <v>50</v>
      </c>
      <c r="P162" s="47">
        <v>0</v>
      </c>
      <c r="Q162" s="45" t="s">
        <v>50</v>
      </c>
      <c r="R162" s="45" t="s">
        <v>50</v>
      </c>
      <c r="S162" s="47">
        <f t="shared" si="34"/>
        <v>-3.1171209999999998E-2</v>
      </c>
      <c r="T162" s="47">
        <f t="shared" si="35"/>
        <v>3.1171209999999998E-2</v>
      </c>
      <c r="U162" s="48">
        <v>0</v>
      </c>
      <c r="V162" s="46" t="s">
        <v>441</v>
      </c>
    </row>
    <row r="163" spans="1:22" ht="71.25" x14ac:dyDescent="0.25">
      <c r="A163" s="24" t="s">
        <v>28</v>
      </c>
      <c r="B163" s="25" t="s">
        <v>118</v>
      </c>
      <c r="C163" s="26" t="s">
        <v>52</v>
      </c>
      <c r="D163" s="49">
        <v>3.6910256420137708</v>
      </c>
      <c r="E163" s="49">
        <f>SUM(E164:E225)</f>
        <v>0.15397043999999999</v>
      </c>
      <c r="F163" s="44" t="s">
        <v>50</v>
      </c>
      <c r="G163" s="49">
        <f t="shared" ref="G163:Q163" si="38">SUM(G164:G225)</f>
        <v>29.604863378135612</v>
      </c>
      <c r="H163" s="49">
        <f t="shared" si="38"/>
        <v>29.604863378135612</v>
      </c>
      <c r="I163" s="49">
        <f t="shared" si="37"/>
        <v>16.961794579999999</v>
      </c>
      <c r="J163" s="49">
        <f t="shared" si="38"/>
        <v>0.68016982135593196</v>
      </c>
      <c r="K163" s="49">
        <f t="shared" si="38"/>
        <v>15.240153099999999</v>
      </c>
      <c r="L163" s="49">
        <f t="shared" si="38"/>
        <v>7.126880932203397</v>
      </c>
      <c r="M163" s="49">
        <f>SUM(M164:M227)</f>
        <v>1.7216414799999999</v>
      </c>
      <c r="N163" s="49">
        <f t="shared" si="38"/>
        <v>19.142059980508492</v>
      </c>
      <c r="O163" s="44" t="s">
        <v>50</v>
      </c>
      <c r="P163" s="49">
        <f t="shared" si="38"/>
        <v>2.6557526440677957</v>
      </c>
      <c r="Q163" s="49">
        <f t="shared" si="38"/>
        <v>0</v>
      </c>
      <c r="R163" s="44" t="s">
        <v>50</v>
      </c>
      <c r="S163" s="49">
        <f t="shared" si="34"/>
        <v>12.643068798135612</v>
      </c>
      <c r="T163" s="49">
        <f t="shared" si="35"/>
        <v>9.1547438264406704</v>
      </c>
      <c r="U163" s="37">
        <f t="shared" si="36"/>
        <v>117.26251199618386</v>
      </c>
      <c r="V163" s="38" t="s">
        <v>50</v>
      </c>
    </row>
    <row r="164" spans="1:22" s="42" customFormat="1" ht="46.5" customHeight="1" x14ac:dyDescent="0.25">
      <c r="A164" s="58" t="s">
        <v>28</v>
      </c>
      <c r="B164" s="59" t="s">
        <v>538</v>
      </c>
      <c r="C164" s="57" t="s">
        <v>539</v>
      </c>
      <c r="D164" s="47">
        <v>0</v>
      </c>
      <c r="E164" s="47">
        <f>49132.43*1.2/1000000</f>
        <v>5.8958916E-2</v>
      </c>
      <c r="F164" s="45" t="s">
        <v>50</v>
      </c>
      <c r="G164" s="47">
        <v>0</v>
      </c>
      <c r="H164" s="47">
        <v>0</v>
      </c>
      <c r="I164" s="47">
        <f t="shared" si="37"/>
        <v>0</v>
      </c>
      <c r="J164" s="47">
        <v>0</v>
      </c>
      <c r="K164" s="47">
        <v>0</v>
      </c>
      <c r="L164" s="47">
        <v>0</v>
      </c>
      <c r="M164" s="47">
        <v>0</v>
      </c>
      <c r="N164" s="47">
        <v>0</v>
      </c>
      <c r="O164" s="45" t="s">
        <v>50</v>
      </c>
      <c r="P164" s="47">
        <v>0</v>
      </c>
      <c r="Q164" s="47">
        <v>0</v>
      </c>
      <c r="R164" s="45" t="s">
        <v>50</v>
      </c>
      <c r="S164" s="47">
        <f t="shared" si="34"/>
        <v>0</v>
      </c>
      <c r="T164" s="47">
        <f t="shared" si="35"/>
        <v>0</v>
      </c>
      <c r="U164" s="48">
        <v>0</v>
      </c>
      <c r="V164" s="40" t="s">
        <v>443</v>
      </c>
    </row>
    <row r="165" spans="1:22" ht="31.5" x14ac:dyDescent="0.25">
      <c r="A165" s="56" t="s">
        <v>28</v>
      </c>
      <c r="B165" s="53" t="s">
        <v>376</v>
      </c>
      <c r="C165" s="54" t="s">
        <v>377</v>
      </c>
      <c r="D165" s="47">
        <v>0</v>
      </c>
      <c r="E165" s="47">
        <f>79176.27*1.2/1000000</f>
        <v>9.5011524E-2</v>
      </c>
      <c r="F165" s="45" t="s">
        <v>50</v>
      </c>
      <c r="G165" s="47">
        <f t="shared" si="32"/>
        <v>0</v>
      </c>
      <c r="H165" s="47">
        <f t="shared" si="33"/>
        <v>0</v>
      </c>
      <c r="I165" s="47">
        <f t="shared" si="37"/>
        <v>2.1573411999999998</v>
      </c>
      <c r="J165" s="47">
        <v>0</v>
      </c>
      <c r="K165" s="47">
        <f>2157.3412/1000</f>
        <v>2.1573411999999998</v>
      </c>
      <c r="L165" s="47">
        <v>0</v>
      </c>
      <c r="M165" s="45">
        <v>0</v>
      </c>
      <c r="N165" s="47">
        <v>0</v>
      </c>
      <c r="O165" s="45" t="s">
        <v>50</v>
      </c>
      <c r="P165" s="47">
        <v>0</v>
      </c>
      <c r="Q165" s="45" t="s">
        <v>50</v>
      </c>
      <c r="R165" s="45" t="s">
        <v>50</v>
      </c>
      <c r="S165" s="47">
        <f t="shared" si="34"/>
        <v>-2.1573411999999998</v>
      </c>
      <c r="T165" s="47">
        <f t="shared" si="35"/>
        <v>2.1573411999999998</v>
      </c>
      <c r="U165" s="48">
        <v>0</v>
      </c>
      <c r="V165" s="40" t="s">
        <v>437</v>
      </c>
    </row>
    <row r="166" spans="1:22" ht="30" x14ac:dyDescent="0.25">
      <c r="A166" s="27" t="s">
        <v>28</v>
      </c>
      <c r="B166" s="22" t="s">
        <v>119</v>
      </c>
      <c r="C166" s="28" t="s">
        <v>120</v>
      </c>
      <c r="D166" s="47">
        <v>0.56711595330739295</v>
      </c>
      <c r="E166" s="47">
        <v>0</v>
      </c>
      <c r="F166" s="45" t="s">
        <v>50</v>
      </c>
      <c r="G166" s="47">
        <f t="shared" si="32"/>
        <v>4.3724639999999999</v>
      </c>
      <c r="H166" s="47">
        <f t="shared" si="33"/>
        <v>4.3724639999999999</v>
      </c>
      <c r="I166" s="47">
        <f t="shared" si="37"/>
        <v>0</v>
      </c>
      <c r="J166" s="47">
        <v>3.771294E-2</v>
      </c>
      <c r="K166" s="47">
        <v>0</v>
      </c>
      <c r="L166" s="47">
        <v>0</v>
      </c>
      <c r="M166" s="45">
        <v>0</v>
      </c>
      <c r="N166" s="47">
        <v>4.3347510600000003</v>
      </c>
      <c r="O166" s="45" t="s">
        <v>50</v>
      </c>
      <c r="P166" s="47">
        <v>0</v>
      </c>
      <c r="Q166" s="45" t="s">
        <v>50</v>
      </c>
      <c r="R166" s="45" t="s">
        <v>50</v>
      </c>
      <c r="S166" s="47">
        <f t="shared" si="34"/>
        <v>4.3724639999999999</v>
      </c>
      <c r="T166" s="47">
        <f t="shared" si="35"/>
        <v>-3.771294E-2</v>
      </c>
      <c r="U166" s="48">
        <f t="shared" si="36"/>
        <v>-100</v>
      </c>
      <c r="V166" s="41" t="s">
        <v>442</v>
      </c>
    </row>
    <row r="167" spans="1:22" ht="30" x14ac:dyDescent="0.25">
      <c r="A167" s="27" t="s">
        <v>28</v>
      </c>
      <c r="B167" s="22" t="s">
        <v>121</v>
      </c>
      <c r="C167" s="28" t="s">
        <v>122</v>
      </c>
      <c r="D167" s="47">
        <v>0</v>
      </c>
      <c r="E167" s="47">
        <v>0</v>
      </c>
      <c r="F167" s="45" t="s">
        <v>50</v>
      </c>
      <c r="G167" s="47">
        <f t="shared" si="32"/>
        <v>0.92838200000000004</v>
      </c>
      <c r="H167" s="47">
        <f t="shared" si="33"/>
        <v>0.92838200000000004</v>
      </c>
      <c r="I167" s="47">
        <f t="shared" si="37"/>
        <v>0</v>
      </c>
      <c r="J167" s="47">
        <v>0.05</v>
      </c>
      <c r="K167" s="47">
        <v>0</v>
      </c>
      <c r="L167" s="47">
        <v>0</v>
      </c>
      <c r="M167" s="45">
        <v>0</v>
      </c>
      <c r="N167" s="47">
        <v>0</v>
      </c>
      <c r="O167" s="45" t="s">
        <v>50</v>
      </c>
      <c r="P167" s="47">
        <v>0.878382</v>
      </c>
      <c r="Q167" s="45" t="s">
        <v>50</v>
      </c>
      <c r="R167" s="45" t="s">
        <v>50</v>
      </c>
      <c r="S167" s="47">
        <f t="shared" si="34"/>
        <v>0.92838200000000004</v>
      </c>
      <c r="T167" s="47">
        <f t="shared" si="35"/>
        <v>-0.05</v>
      </c>
      <c r="U167" s="48">
        <f t="shared" si="36"/>
        <v>-100</v>
      </c>
      <c r="V167" s="41" t="s">
        <v>442</v>
      </c>
    </row>
    <row r="168" spans="1:22" ht="30" x14ac:dyDescent="0.25">
      <c r="A168" s="29" t="s">
        <v>28</v>
      </c>
      <c r="B168" s="22" t="s">
        <v>378</v>
      </c>
      <c r="C168" s="55" t="s">
        <v>379</v>
      </c>
      <c r="D168" s="47">
        <v>0</v>
      </c>
      <c r="E168" s="47">
        <v>0</v>
      </c>
      <c r="F168" s="45" t="s">
        <v>50</v>
      </c>
      <c r="G168" s="47">
        <f t="shared" si="32"/>
        <v>0</v>
      </c>
      <c r="H168" s="47">
        <f t="shared" si="33"/>
        <v>0</v>
      </c>
      <c r="I168" s="47">
        <f t="shared" si="37"/>
        <v>4.3547729999999993E-2</v>
      </c>
      <c r="J168" s="47">
        <v>0</v>
      </c>
      <c r="K168" s="47">
        <v>4.3547729999999993E-2</v>
      </c>
      <c r="L168" s="47">
        <v>0</v>
      </c>
      <c r="M168" s="45">
        <v>0</v>
      </c>
      <c r="N168" s="47">
        <v>0</v>
      </c>
      <c r="O168" s="45" t="s">
        <v>50</v>
      </c>
      <c r="P168" s="47">
        <v>0</v>
      </c>
      <c r="Q168" s="45" t="s">
        <v>50</v>
      </c>
      <c r="R168" s="45" t="s">
        <v>50</v>
      </c>
      <c r="S168" s="47">
        <f t="shared" si="34"/>
        <v>-4.3547729999999993E-2</v>
      </c>
      <c r="T168" s="47">
        <f t="shared" si="35"/>
        <v>4.3547729999999993E-2</v>
      </c>
      <c r="U168" s="48">
        <v>0</v>
      </c>
      <c r="V168" s="40" t="s">
        <v>438</v>
      </c>
    </row>
    <row r="169" spans="1:22" ht="30" x14ac:dyDescent="0.25">
      <c r="A169" s="29" t="s">
        <v>28</v>
      </c>
      <c r="B169" s="22" t="s">
        <v>380</v>
      </c>
      <c r="C169" s="55" t="s">
        <v>381</v>
      </c>
      <c r="D169" s="47">
        <v>0</v>
      </c>
      <c r="E169" s="47">
        <v>0</v>
      </c>
      <c r="F169" s="45" t="s">
        <v>50</v>
      </c>
      <c r="G169" s="47">
        <f t="shared" si="32"/>
        <v>0</v>
      </c>
      <c r="H169" s="47">
        <f t="shared" si="33"/>
        <v>0</v>
      </c>
      <c r="I169" s="47">
        <f t="shared" si="37"/>
        <v>4.6098140000000003E-2</v>
      </c>
      <c r="J169" s="47">
        <v>0</v>
      </c>
      <c r="K169" s="47">
        <v>4.6098140000000003E-2</v>
      </c>
      <c r="L169" s="47">
        <v>0</v>
      </c>
      <c r="M169" s="45">
        <v>0</v>
      </c>
      <c r="N169" s="47">
        <v>0</v>
      </c>
      <c r="O169" s="45" t="s">
        <v>50</v>
      </c>
      <c r="P169" s="47">
        <v>0</v>
      </c>
      <c r="Q169" s="45" t="s">
        <v>50</v>
      </c>
      <c r="R169" s="45" t="s">
        <v>50</v>
      </c>
      <c r="S169" s="47">
        <f t="shared" si="34"/>
        <v>-4.6098140000000003E-2</v>
      </c>
      <c r="T169" s="47">
        <f t="shared" si="35"/>
        <v>4.6098140000000003E-2</v>
      </c>
      <c r="U169" s="48">
        <v>0</v>
      </c>
      <c r="V169" s="40" t="s">
        <v>438</v>
      </c>
    </row>
    <row r="170" spans="1:22" ht="30" x14ac:dyDescent="0.25">
      <c r="A170" s="29" t="s">
        <v>28</v>
      </c>
      <c r="B170" s="22" t="s">
        <v>382</v>
      </c>
      <c r="C170" s="55" t="s">
        <v>383</v>
      </c>
      <c r="D170" s="47">
        <v>0</v>
      </c>
      <c r="E170" s="47">
        <v>0</v>
      </c>
      <c r="F170" s="45" t="s">
        <v>50</v>
      </c>
      <c r="G170" s="47">
        <f t="shared" si="32"/>
        <v>0</v>
      </c>
      <c r="H170" s="47">
        <f t="shared" si="33"/>
        <v>0</v>
      </c>
      <c r="I170" s="47">
        <f t="shared" si="37"/>
        <v>5.8646719999999999E-2</v>
      </c>
      <c r="J170" s="47">
        <v>0</v>
      </c>
      <c r="K170" s="47">
        <v>5.8646719999999999E-2</v>
      </c>
      <c r="L170" s="47">
        <v>0</v>
      </c>
      <c r="M170" s="45">
        <v>0</v>
      </c>
      <c r="N170" s="47">
        <v>0</v>
      </c>
      <c r="O170" s="45" t="s">
        <v>50</v>
      </c>
      <c r="P170" s="47">
        <v>0</v>
      </c>
      <c r="Q170" s="45" t="s">
        <v>50</v>
      </c>
      <c r="R170" s="45" t="s">
        <v>50</v>
      </c>
      <c r="S170" s="47">
        <f t="shared" si="34"/>
        <v>-5.8646719999999999E-2</v>
      </c>
      <c r="T170" s="47">
        <f t="shared" si="35"/>
        <v>5.8646719999999999E-2</v>
      </c>
      <c r="U170" s="48">
        <v>0</v>
      </c>
      <c r="V170" s="40" t="s">
        <v>436</v>
      </c>
    </row>
    <row r="171" spans="1:22" ht="30" x14ac:dyDescent="0.25">
      <c r="A171" s="29" t="s">
        <v>28</v>
      </c>
      <c r="B171" s="22" t="s">
        <v>384</v>
      </c>
      <c r="C171" s="55" t="s">
        <v>385</v>
      </c>
      <c r="D171" s="47">
        <v>0</v>
      </c>
      <c r="E171" s="47">
        <v>0</v>
      </c>
      <c r="F171" s="45" t="s">
        <v>50</v>
      </c>
      <c r="G171" s="47">
        <f t="shared" si="32"/>
        <v>0</v>
      </c>
      <c r="H171" s="47">
        <f t="shared" si="33"/>
        <v>0</v>
      </c>
      <c r="I171" s="47">
        <f t="shared" si="37"/>
        <v>8.3016569999999998E-2</v>
      </c>
      <c r="J171" s="47">
        <v>0</v>
      </c>
      <c r="K171" s="47">
        <v>4.5851179999999998E-2</v>
      </c>
      <c r="L171" s="47">
        <v>0</v>
      </c>
      <c r="M171" s="45">
        <f>37.16539/1000</f>
        <v>3.716539E-2</v>
      </c>
      <c r="N171" s="47">
        <v>0</v>
      </c>
      <c r="O171" s="45" t="s">
        <v>50</v>
      </c>
      <c r="P171" s="47">
        <v>0</v>
      </c>
      <c r="Q171" s="45" t="s">
        <v>50</v>
      </c>
      <c r="R171" s="45" t="s">
        <v>50</v>
      </c>
      <c r="S171" s="47">
        <f t="shared" si="34"/>
        <v>-8.3016569999999998E-2</v>
      </c>
      <c r="T171" s="47">
        <f t="shared" si="35"/>
        <v>8.3016569999999998E-2</v>
      </c>
      <c r="U171" s="48">
        <v>0</v>
      </c>
      <c r="V171" s="40" t="s">
        <v>436</v>
      </c>
    </row>
    <row r="172" spans="1:22" ht="30" x14ac:dyDescent="0.25">
      <c r="A172" s="29" t="s">
        <v>28</v>
      </c>
      <c r="B172" s="22" t="s">
        <v>386</v>
      </c>
      <c r="C172" s="55" t="s">
        <v>387</v>
      </c>
      <c r="D172" s="47">
        <v>0</v>
      </c>
      <c r="E172" s="47">
        <v>0</v>
      </c>
      <c r="F172" s="45" t="s">
        <v>50</v>
      </c>
      <c r="G172" s="47">
        <f t="shared" si="32"/>
        <v>0</v>
      </c>
      <c r="H172" s="47">
        <f t="shared" si="33"/>
        <v>0</v>
      </c>
      <c r="I172" s="47">
        <f t="shared" si="37"/>
        <v>6.1632609999999997E-2</v>
      </c>
      <c r="J172" s="47">
        <v>0</v>
      </c>
      <c r="K172" s="47">
        <v>6.1632609999999997E-2</v>
      </c>
      <c r="L172" s="47">
        <v>0</v>
      </c>
      <c r="M172" s="45">
        <v>0</v>
      </c>
      <c r="N172" s="47">
        <v>0</v>
      </c>
      <c r="O172" s="45" t="s">
        <v>50</v>
      </c>
      <c r="P172" s="47">
        <v>0</v>
      </c>
      <c r="Q172" s="45" t="s">
        <v>50</v>
      </c>
      <c r="R172" s="45" t="s">
        <v>50</v>
      </c>
      <c r="S172" s="47">
        <f t="shared" si="34"/>
        <v>-6.1632609999999997E-2</v>
      </c>
      <c r="T172" s="47">
        <f t="shared" si="35"/>
        <v>6.1632609999999997E-2</v>
      </c>
      <c r="U172" s="48">
        <v>0</v>
      </c>
      <c r="V172" s="40" t="s">
        <v>436</v>
      </c>
    </row>
    <row r="173" spans="1:22" ht="30" x14ac:dyDescent="0.25">
      <c r="A173" s="29" t="s">
        <v>28</v>
      </c>
      <c r="B173" s="22" t="s">
        <v>388</v>
      </c>
      <c r="C173" s="55" t="s">
        <v>389</v>
      </c>
      <c r="D173" s="47">
        <v>0</v>
      </c>
      <c r="E173" s="47">
        <v>0</v>
      </c>
      <c r="F173" s="45" t="s">
        <v>50</v>
      </c>
      <c r="G173" s="47">
        <f t="shared" si="32"/>
        <v>0</v>
      </c>
      <c r="H173" s="47">
        <f t="shared" si="33"/>
        <v>0</v>
      </c>
      <c r="I173" s="47">
        <f t="shared" si="37"/>
        <v>0</v>
      </c>
      <c r="J173" s="47">
        <v>0</v>
      </c>
      <c r="K173" s="47">
        <v>0</v>
      </c>
      <c r="L173" s="47">
        <v>0</v>
      </c>
      <c r="M173" s="45">
        <v>0</v>
      </c>
      <c r="N173" s="47">
        <v>0</v>
      </c>
      <c r="O173" s="45" t="s">
        <v>50</v>
      </c>
      <c r="P173" s="47">
        <v>0</v>
      </c>
      <c r="Q173" s="45" t="s">
        <v>50</v>
      </c>
      <c r="R173" s="45" t="s">
        <v>50</v>
      </c>
      <c r="S173" s="47">
        <f t="shared" si="34"/>
        <v>0</v>
      </c>
      <c r="T173" s="47">
        <f t="shared" si="35"/>
        <v>0</v>
      </c>
      <c r="U173" s="48">
        <v>0</v>
      </c>
      <c r="V173" s="40" t="s">
        <v>436</v>
      </c>
    </row>
    <row r="174" spans="1:22" ht="30" x14ac:dyDescent="0.25">
      <c r="A174" s="29" t="s">
        <v>28</v>
      </c>
      <c r="B174" s="22" t="s">
        <v>390</v>
      </c>
      <c r="C174" s="55" t="s">
        <v>391</v>
      </c>
      <c r="D174" s="47">
        <v>0</v>
      </c>
      <c r="E174" s="47">
        <v>0</v>
      </c>
      <c r="F174" s="45" t="s">
        <v>50</v>
      </c>
      <c r="G174" s="47">
        <f t="shared" si="32"/>
        <v>0</v>
      </c>
      <c r="H174" s="47">
        <f t="shared" si="33"/>
        <v>0</v>
      </c>
      <c r="I174" s="47">
        <f t="shared" si="37"/>
        <v>5.8039760000000003E-2</v>
      </c>
      <c r="J174" s="47">
        <v>0</v>
      </c>
      <c r="K174" s="47">
        <v>5.8039760000000003E-2</v>
      </c>
      <c r="L174" s="47">
        <v>0</v>
      </c>
      <c r="M174" s="45">
        <v>0</v>
      </c>
      <c r="N174" s="47">
        <v>0</v>
      </c>
      <c r="O174" s="45" t="s">
        <v>50</v>
      </c>
      <c r="P174" s="47">
        <v>0</v>
      </c>
      <c r="Q174" s="45" t="s">
        <v>50</v>
      </c>
      <c r="R174" s="45" t="s">
        <v>50</v>
      </c>
      <c r="S174" s="47">
        <f t="shared" si="34"/>
        <v>-5.8039760000000003E-2</v>
      </c>
      <c r="T174" s="47">
        <f t="shared" si="35"/>
        <v>5.8039760000000003E-2</v>
      </c>
      <c r="U174" s="48">
        <v>0</v>
      </c>
      <c r="V174" s="40" t="s">
        <v>437</v>
      </c>
    </row>
    <row r="175" spans="1:22" ht="30" x14ac:dyDescent="0.25">
      <c r="A175" s="29" t="s">
        <v>28</v>
      </c>
      <c r="B175" s="22" t="s">
        <v>392</v>
      </c>
      <c r="C175" s="55" t="s">
        <v>393</v>
      </c>
      <c r="D175" s="47">
        <v>0</v>
      </c>
      <c r="E175" s="47">
        <v>0</v>
      </c>
      <c r="F175" s="45" t="s">
        <v>50</v>
      </c>
      <c r="G175" s="47">
        <f t="shared" si="32"/>
        <v>0</v>
      </c>
      <c r="H175" s="47">
        <f t="shared" si="33"/>
        <v>0</v>
      </c>
      <c r="I175" s="47">
        <f t="shared" si="37"/>
        <v>6.3006199999999998E-2</v>
      </c>
      <c r="J175" s="47">
        <v>0</v>
      </c>
      <c r="K175" s="47">
        <v>6.3006199999999998E-2</v>
      </c>
      <c r="L175" s="47">
        <v>0</v>
      </c>
      <c r="M175" s="45">
        <v>0</v>
      </c>
      <c r="N175" s="47">
        <v>0</v>
      </c>
      <c r="O175" s="45" t="s">
        <v>50</v>
      </c>
      <c r="P175" s="47">
        <v>0</v>
      </c>
      <c r="Q175" s="45" t="s">
        <v>50</v>
      </c>
      <c r="R175" s="45" t="s">
        <v>50</v>
      </c>
      <c r="S175" s="47">
        <f t="shared" si="34"/>
        <v>-6.3006199999999998E-2</v>
      </c>
      <c r="T175" s="47">
        <f t="shared" si="35"/>
        <v>6.3006199999999998E-2</v>
      </c>
      <c r="U175" s="48">
        <v>0</v>
      </c>
      <c r="V175" s="40" t="s">
        <v>437</v>
      </c>
    </row>
    <row r="176" spans="1:22" ht="30" x14ac:dyDescent="0.25">
      <c r="A176" s="29" t="s">
        <v>28</v>
      </c>
      <c r="B176" s="22" t="s">
        <v>394</v>
      </c>
      <c r="C176" s="55" t="s">
        <v>395</v>
      </c>
      <c r="D176" s="47">
        <v>0</v>
      </c>
      <c r="E176" s="47">
        <v>0</v>
      </c>
      <c r="F176" s="45" t="s">
        <v>50</v>
      </c>
      <c r="G176" s="47">
        <f t="shared" si="32"/>
        <v>0</v>
      </c>
      <c r="H176" s="47">
        <f t="shared" si="33"/>
        <v>0</v>
      </c>
      <c r="I176" s="47">
        <f t="shared" si="37"/>
        <v>2.8230139999999997E-2</v>
      </c>
      <c r="J176" s="47">
        <v>0</v>
      </c>
      <c r="K176" s="47">
        <v>2.8230139999999997E-2</v>
      </c>
      <c r="L176" s="47">
        <v>0</v>
      </c>
      <c r="M176" s="45">
        <v>0</v>
      </c>
      <c r="N176" s="47">
        <v>0</v>
      </c>
      <c r="O176" s="45" t="s">
        <v>50</v>
      </c>
      <c r="P176" s="47">
        <v>0</v>
      </c>
      <c r="Q176" s="45" t="s">
        <v>50</v>
      </c>
      <c r="R176" s="45" t="s">
        <v>50</v>
      </c>
      <c r="S176" s="47">
        <f t="shared" si="34"/>
        <v>-2.8230139999999997E-2</v>
      </c>
      <c r="T176" s="47">
        <f t="shared" si="35"/>
        <v>2.8230139999999997E-2</v>
      </c>
      <c r="U176" s="48">
        <v>0</v>
      </c>
      <c r="V176" s="40" t="s">
        <v>437</v>
      </c>
    </row>
    <row r="177" spans="1:22" ht="30" x14ac:dyDescent="0.25">
      <c r="A177" s="29" t="s">
        <v>28</v>
      </c>
      <c r="B177" s="22" t="s">
        <v>396</v>
      </c>
      <c r="C177" s="55" t="s">
        <v>397</v>
      </c>
      <c r="D177" s="47">
        <v>0</v>
      </c>
      <c r="E177" s="47">
        <v>0</v>
      </c>
      <c r="F177" s="45" t="s">
        <v>50</v>
      </c>
      <c r="G177" s="47">
        <f t="shared" si="32"/>
        <v>0</v>
      </c>
      <c r="H177" s="47">
        <f t="shared" si="33"/>
        <v>0</v>
      </c>
      <c r="I177" s="47">
        <f t="shared" si="37"/>
        <v>1.5737669999999999E-2</v>
      </c>
      <c r="J177" s="47">
        <v>0</v>
      </c>
      <c r="K177" s="47">
        <v>1.5737669999999999E-2</v>
      </c>
      <c r="L177" s="47">
        <v>0</v>
      </c>
      <c r="M177" s="45">
        <v>0</v>
      </c>
      <c r="N177" s="47">
        <v>0</v>
      </c>
      <c r="O177" s="45" t="s">
        <v>50</v>
      </c>
      <c r="P177" s="47">
        <v>0</v>
      </c>
      <c r="Q177" s="45" t="s">
        <v>50</v>
      </c>
      <c r="R177" s="45" t="s">
        <v>50</v>
      </c>
      <c r="S177" s="47">
        <f t="shared" si="34"/>
        <v>-1.5737669999999999E-2</v>
      </c>
      <c r="T177" s="47">
        <f t="shared" si="35"/>
        <v>1.5737669999999999E-2</v>
      </c>
      <c r="U177" s="48">
        <v>0</v>
      </c>
      <c r="V177" s="40" t="s">
        <v>437</v>
      </c>
    </row>
    <row r="178" spans="1:22" ht="30" x14ac:dyDescent="0.25">
      <c r="A178" s="29" t="s">
        <v>28</v>
      </c>
      <c r="B178" s="22" t="s">
        <v>398</v>
      </c>
      <c r="C178" s="55" t="s">
        <v>399</v>
      </c>
      <c r="D178" s="47">
        <v>0</v>
      </c>
      <c r="E178" s="47">
        <v>0</v>
      </c>
      <c r="F178" s="45" t="s">
        <v>50</v>
      </c>
      <c r="G178" s="47">
        <f t="shared" si="32"/>
        <v>0</v>
      </c>
      <c r="H178" s="47">
        <f t="shared" si="33"/>
        <v>0</v>
      </c>
      <c r="I178" s="47">
        <f t="shared" si="37"/>
        <v>8.7198059999999994E-2</v>
      </c>
      <c r="J178" s="47">
        <v>0</v>
      </c>
      <c r="K178" s="47">
        <v>1.426588E-2</v>
      </c>
      <c r="L178" s="47">
        <v>0</v>
      </c>
      <c r="M178" s="45">
        <f>72.93218/1000</f>
        <v>7.2932179999999999E-2</v>
      </c>
      <c r="N178" s="47">
        <v>0</v>
      </c>
      <c r="O178" s="45" t="s">
        <v>50</v>
      </c>
      <c r="P178" s="47">
        <v>0</v>
      </c>
      <c r="Q178" s="45" t="s">
        <v>50</v>
      </c>
      <c r="R178" s="45" t="s">
        <v>50</v>
      </c>
      <c r="S178" s="47">
        <f t="shared" si="34"/>
        <v>-8.7198059999999994E-2</v>
      </c>
      <c r="T178" s="47">
        <f t="shared" si="35"/>
        <v>8.7198059999999994E-2</v>
      </c>
      <c r="U178" s="48">
        <v>0</v>
      </c>
      <c r="V178" s="40" t="s">
        <v>437</v>
      </c>
    </row>
    <row r="179" spans="1:22" s="42" customFormat="1" ht="30" x14ac:dyDescent="0.25">
      <c r="A179" s="29" t="s">
        <v>28</v>
      </c>
      <c r="B179" s="22" t="s">
        <v>593</v>
      </c>
      <c r="C179" s="55" t="s">
        <v>594</v>
      </c>
      <c r="D179" s="47">
        <v>0</v>
      </c>
      <c r="E179" s="47">
        <v>0</v>
      </c>
      <c r="F179" s="45" t="s">
        <v>50</v>
      </c>
      <c r="G179" s="47">
        <v>0</v>
      </c>
      <c r="H179" s="47">
        <v>0</v>
      </c>
      <c r="I179" s="47">
        <f t="shared" si="37"/>
        <v>5.896245E-2</v>
      </c>
      <c r="J179" s="47">
        <v>0</v>
      </c>
      <c r="K179" s="47">
        <v>0</v>
      </c>
      <c r="L179" s="47">
        <v>0</v>
      </c>
      <c r="M179" s="45">
        <f>58.96245/1000</f>
        <v>5.896245E-2</v>
      </c>
      <c r="N179" s="47">
        <v>0</v>
      </c>
      <c r="O179" s="45" t="s">
        <v>50</v>
      </c>
      <c r="P179" s="47">
        <v>0</v>
      </c>
      <c r="Q179" s="45" t="s">
        <v>50</v>
      </c>
      <c r="R179" s="45" t="s">
        <v>50</v>
      </c>
      <c r="S179" s="47">
        <f t="shared" si="34"/>
        <v>-5.896245E-2</v>
      </c>
      <c r="T179" s="47">
        <f t="shared" si="35"/>
        <v>5.896245E-2</v>
      </c>
      <c r="U179" s="48">
        <v>0</v>
      </c>
      <c r="V179" s="40" t="s">
        <v>436</v>
      </c>
    </row>
    <row r="180" spans="1:22" s="42" customFormat="1" ht="30" x14ac:dyDescent="0.25">
      <c r="A180" s="29" t="s">
        <v>28</v>
      </c>
      <c r="B180" s="22" t="s">
        <v>595</v>
      </c>
      <c r="C180" s="55" t="s">
        <v>596</v>
      </c>
      <c r="D180" s="47">
        <v>0</v>
      </c>
      <c r="E180" s="47">
        <v>0</v>
      </c>
      <c r="F180" s="45" t="s">
        <v>50</v>
      </c>
      <c r="G180" s="47">
        <v>0</v>
      </c>
      <c r="H180" s="47">
        <v>0</v>
      </c>
      <c r="I180" s="47">
        <f t="shared" si="37"/>
        <v>4.1311219999999996E-2</v>
      </c>
      <c r="J180" s="47">
        <v>0</v>
      </c>
      <c r="K180" s="47">
        <v>0</v>
      </c>
      <c r="L180" s="47">
        <v>0</v>
      </c>
      <c r="M180" s="45">
        <f>41.31122/1000</f>
        <v>4.1311219999999996E-2</v>
      </c>
      <c r="N180" s="47">
        <v>0</v>
      </c>
      <c r="O180" s="45" t="s">
        <v>50</v>
      </c>
      <c r="P180" s="47">
        <v>0</v>
      </c>
      <c r="Q180" s="45" t="s">
        <v>50</v>
      </c>
      <c r="R180" s="45" t="s">
        <v>50</v>
      </c>
      <c r="S180" s="47">
        <f t="shared" si="34"/>
        <v>-4.1311219999999996E-2</v>
      </c>
      <c r="T180" s="47">
        <f t="shared" si="35"/>
        <v>4.1311219999999996E-2</v>
      </c>
      <c r="U180" s="48">
        <v>0</v>
      </c>
      <c r="V180" s="40" t="s">
        <v>437</v>
      </c>
    </row>
    <row r="181" spans="1:22" s="42" customFormat="1" ht="30" x14ac:dyDescent="0.25">
      <c r="A181" s="29" t="s">
        <v>28</v>
      </c>
      <c r="B181" s="22" t="s">
        <v>597</v>
      </c>
      <c r="C181" s="55" t="s">
        <v>598</v>
      </c>
      <c r="D181" s="47">
        <v>0</v>
      </c>
      <c r="E181" s="47">
        <v>0</v>
      </c>
      <c r="F181" s="45" t="s">
        <v>50</v>
      </c>
      <c r="G181" s="47">
        <v>0</v>
      </c>
      <c r="H181" s="47">
        <v>0</v>
      </c>
      <c r="I181" s="47">
        <f t="shared" si="37"/>
        <v>1.9120460000000002E-2</v>
      </c>
      <c r="J181" s="47">
        <v>0</v>
      </c>
      <c r="K181" s="47">
        <v>0</v>
      </c>
      <c r="L181" s="47">
        <v>0</v>
      </c>
      <c r="M181" s="45">
        <f>19.12046/1000</f>
        <v>1.9120460000000002E-2</v>
      </c>
      <c r="N181" s="47">
        <v>0</v>
      </c>
      <c r="O181" s="45" t="s">
        <v>50</v>
      </c>
      <c r="P181" s="47">
        <v>0</v>
      </c>
      <c r="Q181" s="45" t="s">
        <v>50</v>
      </c>
      <c r="R181" s="45" t="s">
        <v>50</v>
      </c>
      <c r="S181" s="47">
        <f t="shared" si="34"/>
        <v>-1.9120460000000002E-2</v>
      </c>
      <c r="T181" s="47">
        <f t="shared" si="35"/>
        <v>1.9120460000000002E-2</v>
      </c>
      <c r="U181" s="48">
        <v>0</v>
      </c>
      <c r="V181" s="40" t="s">
        <v>437</v>
      </c>
    </row>
    <row r="182" spans="1:22" s="42" customFormat="1" x14ac:dyDescent="0.25">
      <c r="A182" s="29" t="s">
        <v>28</v>
      </c>
      <c r="B182" s="22" t="s">
        <v>599</v>
      </c>
      <c r="C182" s="55" t="s">
        <v>600</v>
      </c>
      <c r="D182" s="47">
        <v>0</v>
      </c>
      <c r="E182" s="47">
        <v>0</v>
      </c>
      <c r="F182" s="45" t="s">
        <v>50</v>
      </c>
      <c r="G182" s="47">
        <v>0</v>
      </c>
      <c r="H182" s="47">
        <v>0</v>
      </c>
      <c r="I182" s="47">
        <f t="shared" si="37"/>
        <v>2.584792E-2</v>
      </c>
      <c r="J182" s="47">
        <v>0</v>
      </c>
      <c r="K182" s="47">
        <v>0</v>
      </c>
      <c r="L182" s="47">
        <v>0</v>
      </c>
      <c r="M182" s="45">
        <f>25.84792/1000</f>
        <v>2.584792E-2</v>
      </c>
      <c r="N182" s="47">
        <v>0</v>
      </c>
      <c r="O182" s="45" t="s">
        <v>50</v>
      </c>
      <c r="P182" s="47">
        <v>0</v>
      </c>
      <c r="Q182" s="45" t="s">
        <v>50</v>
      </c>
      <c r="R182" s="45" t="s">
        <v>50</v>
      </c>
      <c r="S182" s="47">
        <f t="shared" si="34"/>
        <v>-2.584792E-2</v>
      </c>
      <c r="T182" s="47">
        <f t="shared" si="35"/>
        <v>2.584792E-2</v>
      </c>
      <c r="U182" s="48">
        <v>0</v>
      </c>
      <c r="V182" s="40" t="s">
        <v>441</v>
      </c>
    </row>
    <row r="183" spans="1:22" s="42" customFormat="1" ht="30" x14ac:dyDescent="0.25">
      <c r="A183" s="29" t="s">
        <v>28</v>
      </c>
      <c r="B183" s="22" t="s">
        <v>601</v>
      </c>
      <c r="C183" s="55" t="s">
        <v>602</v>
      </c>
      <c r="D183" s="47">
        <v>0</v>
      </c>
      <c r="E183" s="47">
        <v>0</v>
      </c>
      <c r="F183" s="45" t="s">
        <v>50</v>
      </c>
      <c r="G183" s="47">
        <v>0</v>
      </c>
      <c r="H183" s="47">
        <v>0</v>
      </c>
      <c r="I183" s="47">
        <f t="shared" si="37"/>
        <v>0.11474817</v>
      </c>
      <c r="J183" s="47">
        <v>0</v>
      </c>
      <c r="K183" s="47">
        <v>0</v>
      </c>
      <c r="L183" s="47">
        <v>0</v>
      </c>
      <c r="M183" s="45">
        <f>114.74817/1000</f>
        <v>0.11474817</v>
      </c>
      <c r="N183" s="47">
        <v>0</v>
      </c>
      <c r="O183" s="45" t="s">
        <v>50</v>
      </c>
      <c r="P183" s="47">
        <v>0</v>
      </c>
      <c r="Q183" s="45" t="s">
        <v>50</v>
      </c>
      <c r="R183" s="45" t="s">
        <v>50</v>
      </c>
      <c r="S183" s="47">
        <f t="shared" si="34"/>
        <v>-0.11474817</v>
      </c>
      <c r="T183" s="47">
        <f t="shared" si="35"/>
        <v>0.11474817</v>
      </c>
      <c r="U183" s="48">
        <v>0</v>
      </c>
      <c r="V183" s="40" t="s">
        <v>437</v>
      </c>
    </row>
    <row r="184" spans="1:22" ht="45" x14ac:dyDescent="0.25">
      <c r="A184" s="29" t="s">
        <v>28</v>
      </c>
      <c r="B184" s="22" t="s">
        <v>123</v>
      </c>
      <c r="C184" s="23" t="s">
        <v>124</v>
      </c>
      <c r="D184" s="47">
        <v>3.2713493965404565E-2</v>
      </c>
      <c r="E184" s="47">
        <v>0</v>
      </c>
      <c r="F184" s="45" t="s">
        <v>50</v>
      </c>
      <c r="G184" s="47">
        <f t="shared" si="32"/>
        <v>0.25451098305084757</v>
      </c>
      <c r="H184" s="47">
        <f t="shared" si="33"/>
        <v>0.25451098305084757</v>
      </c>
      <c r="I184" s="47">
        <f t="shared" si="37"/>
        <v>0</v>
      </c>
      <c r="J184" s="47">
        <v>0</v>
      </c>
      <c r="K184" s="47">
        <v>0</v>
      </c>
      <c r="L184" s="47">
        <v>0</v>
      </c>
      <c r="M184" s="45">
        <v>0</v>
      </c>
      <c r="N184" s="47">
        <v>0.25451098305084757</v>
      </c>
      <c r="O184" s="45" t="s">
        <v>50</v>
      </c>
      <c r="P184" s="47">
        <v>0</v>
      </c>
      <c r="Q184" s="45" t="s">
        <v>50</v>
      </c>
      <c r="R184" s="45" t="s">
        <v>50</v>
      </c>
      <c r="S184" s="47">
        <f t="shared" si="34"/>
        <v>0.25451098305084757</v>
      </c>
      <c r="T184" s="47">
        <f t="shared" si="35"/>
        <v>0</v>
      </c>
      <c r="U184" s="48">
        <v>0</v>
      </c>
      <c r="V184" s="46" t="s">
        <v>50</v>
      </c>
    </row>
    <row r="185" spans="1:22" ht="45" x14ac:dyDescent="0.25">
      <c r="A185" s="29" t="s">
        <v>28</v>
      </c>
      <c r="B185" s="22" t="s">
        <v>125</v>
      </c>
      <c r="C185" s="23" t="s">
        <v>126</v>
      </c>
      <c r="D185" s="47">
        <v>2.4535120474053429E-2</v>
      </c>
      <c r="E185" s="47">
        <v>0</v>
      </c>
      <c r="F185" s="45" t="s">
        <v>50</v>
      </c>
      <c r="G185" s="47">
        <f t="shared" si="32"/>
        <v>0.19088323728813569</v>
      </c>
      <c r="H185" s="47">
        <f t="shared" si="33"/>
        <v>0.19088323728813569</v>
      </c>
      <c r="I185" s="47">
        <f t="shared" si="37"/>
        <v>0</v>
      </c>
      <c r="J185" s="47">
        <v>0</v>
      </c>
      <c r="K185" s="47">
        <v>0</v>
      </c>
      <c r="L185" s="47">
        <v>0</v>
      </c>
      <c r="M185" s="45">
        <v>0</v>
      </c>
      <c r="N185" s="47">
        <v>0.19088323728813569</v>
      </c>
      <c r="O185" s="45" t="s">
        <v>50</v>
      </c>
      <c r="P185" s="47">
        <v>0</v>
      </c>
      <c r="Q185" s="45" t="s">
        <v>50</v>
      </c>
      <c r="R185" s="45" t="s">
        <v>50</v>
      </c>
      <c r="S185" s="47">
        <f t="shared" si="34"/>
        <v>0.19088323728813569</v>
      </c>
      <c r="T185" s="47">
        <f t="shared" si="35"/>
        <v>0</v>
      </c>
      <c r="U185" s="48">
        <v>0</v>
      </c>
      <c r="V185" s="46" t="s">
        <v>50</v>
      </c>
    </row>
    <row r="186" spans="1:22" ht="45" x14ac:dyDescent="0.25">
      <c r="A186" s="29" t="s">
        <v>28</v>
      </c>
      <c r="B186" s="22" t="s">
        <v>127</v>
      </c>
      <c r="C186" s="23" t="s">
        <v>128</v>
      </c>
      <c r="D186" s="47">
        <v>2.4535120474053429E-2</v>
      </c>
      <c r="E186" s="47">
        <v>0</v>
      </c>
      <c r="F186" s="45" t="s">
        <v>50</v>
      </c>
      <c r="G186" s="47">
        <f t="shared" si="32"/>
        <v>0.19088323728813569</v>
      </c>
      <c r="H186" s="47">
        <f t="shared" si="33"/>
        <v>0.19088323728813569</v>
      </c>
      <c r="I186" s="47">
        <f t="shared" si="37"/>
        <v>0</v>
      </c>
      <c r="J186" s="47">
        <v>0</v>
      </c>
      <c r="K186" s="47">
        <v>0</v>
      </c>
      <c r="L186" s="47">
        <v>0</v>
      </c>
      <c r="M186" s="45">
        <v>0</v>
      </c>
      <c r="N186" s="47">
        <v>0.19088323728813569</v>
      </c>
      <c r="O186" s="45" t="s">
        <v>50</v>
      </c>
      <c r="P186" s="47">
        <v>0</v>
      </c>
      <c r="Q186" s="45" t="s">
        <v>50</v>
      </c>
      <c r="R186" s="45" t="s">
        <v>50</v>
      </c>
      <c r="S186" s="47">
        <f t="shared" si="34"/>
        <v>0.19088323728813569</v>
      </c>
      <c r="T186" s="47">
        <f t="shared" si="35"/>
        <v>0</v>
      </c>
      <c r="U186" s="48">
        <v>0</v>
      </c>
      <c r="V186" s="46" t="s">
        <v>50</v>
      </c>
    </row>
    <row r="187" spans="1:22" ht="45" x14ac:dyDescent="0.25">
      <c r="A187" s="29" t="s">
        <v>28</v>
      </c>
      <c r="B187" s="22" t="s">
        <v>129</v>
      </c>
      <c r="C187" s="23" t="s">
        <v>130</v>
      </c>
      <c r="D187" s="47">
        <v>2.4535120474053429E-2</v>
      </c>
      <c r="E187" s="47">
        <v>0</v>
      </c>
      <c r="F187" s="45" t="s">
        <v>50</v>
      </c>
      <c r="G187" s="47">
        <f t="shared" si="32"/>
        <v>0.19088323728813569</v>
      </c>
      <c r="H187" s="47">
        <f t="shared" si="33"/>
        <v>0.19088323728813569</v>
      </c>
      <c r="I187" s="47">
        <f t="shared" si="37"/>
        <v>0</v>
      </c>
      <c r="J187" s="47">
        <v>0</v>
      </c>
      <c r="K187" s="47">
        <v>0</v>
      </c>
      <c r="L187" s="47">
        <v>0</v>
      </c>
      <c r="M187" s="45">
        <v>0</v>
      </c>
      <c r="N187" s="47">
        <v>0.19088323728813569</v>
      </c>
      <c r="O187" s="45" t="s">
        <v>50</v>
      </c>
      <c r="P187" s="47">
        <v>0</v>
      </c>
      <c r="Q187" s="45" t="s">
        <v>50</v>
      </c>
      <c r="R187" s="45" t="s">
        <v>50</v>
      </c>
      <c r="S187" s="47">
        <f t="shared" si="34"/>
        <v>0.19088323728813569</v>
      </c>
      <c r="T187" s="47">
        <f t="shared" si="35"/>
        <v>0</v>
      </c>
      <c r="U187" s="48">
        <v>0</v>
      </c>
      <c r="V187" s="46" t="s">
        <v>50</v>
      </c>
    </row>
    <row r="188" spans="1:22" ht="45" x14ac:dyDescent="0.25">
      <c r="A188" s="29" t="s">
        <v>28</v>
      </c>
      <c r="B188" s="22" t="s">
        <v>131</v>
      </c>
      <c r="C188" s="23" t="s">
        <v>132</v>
      </c>
      <c r="D188" s="47">
        <v>3.2713493965404565E-2</v>
      </c>
      <c r="E188" s="47">
        <v>0</v>
      </c>
      <c r="F188" s="45" t="s">
        <v>50</v>
      </c>
      <c r="G188" s="47">
        <f t="shared" si="32"/>
        <v>0.25451098305084757</v>
      </c>
      <c r="H188" s="47">
        <f t="shared" si="33"/>
        <v>0.25451098305084757</v>
      </c>
      <c r="I188" s="47">
        <f t="shared" si="37"/>
        <v>0</v>
      </c>
      <c r="J188" s="47">
        <v>0</v>
      </c>
      <c r="K188" s="47">
        <v>0</v>
      </c>
      <c r="L188" s="47">
        <v>0</v>
      </c>
      <c r="M188" s="45">
        <v>0</v>
      </c>
      <c r="N188" s="47">
        <v>0.25451098305084757</v>
      </c>
      <c r="O188" s="45" t="s">
        <v>50</v>
      </c>
      <c r="P188" s="47">
        <v>0</v>
      </c>
      <c r="Q188" s="45" t="s">
        <v>50</v>
      </c>
      <c r="R188" s="45" t="s">
        <v>50</v>
      </c>
      <c r="S188" s="47">
        <f t="shared" si="34"/>
        <v>0.25451098305084757</v>
      </c>
      <c r="T188" s="47">
        <f t="shared" si="35"/>
        <v>0</v>
      </c>
      <c r="U188" s="48">
        <v>0</v>
      </c>
      <c r="V188" s="46" t="s">
        <v>50</v>
      </c>
    </row>
    <row r="189" spans="1:22" ht="45" x14ac:dyDescent="0.25">
      <c r="A189" s="29" t="s">
        <v>28</v>
      </c>
      <c r="B189" s="22" t="s">
        <v>133</v>
      </c>
      <c r="C189" s="23" t="s">
        <v>134</v>
      </c>
      <c r="D189" s="47">
        <v>2.4535120474053429E-2</v>
      </c>
      <c r="E189" s="47">
        <v>0</v>
      </c>
      <c r="F189" s="45" t="s">
        <v>50</v>
      </c>
      <c r="G189" s="47">
        <f t="shared" si="32"/>
        <v>0.19088323728813569</v>
      </c>
      <c r="H189" s="47">
        <f t="shared" si="33"/>
        <v>0.19088323728813569</v>
      </c>
      <c r="I189" s="47">
        <f t="shared" si="37"/>
        <v>0</v>
      </c>
      <c r="J189" s="47">
        <v>0</v>
      </c>
      <c r="K189" s="47">
        <v>0</v>
      </c>
      <c r="L189" s="47">
        <v>0</v>
      </c>
      <c r="M189" s="45">
        <v>0</v>
      </c>
      <c r="N189" s="47">
        <v>0.19088323728813569</v>
      </c>
      <c r="O189" s="45" t="s">
        <v>50</v>
      </c>
      <c r="P189" s="47">
        <v>0</v>
      </c>
      <c r="Q189" s="45" t="s">
        <v>50</v>
      </c>
      <c r="R189" s="45" t="s">
        <v>50</v>
      </c>
      <c r="S189" s="47">
        <f t="shared" si="34"/>
        <v>0.19088323728813569</v>
      </c>
      <c r="T189" s="47">
        <f t="shared" si="35"/>
        <v>0</v>
      </c>
      <c r="U189" s="48">
        <v>0</v>
      </c>
      <c r="V189" s="46" t="s">
        <v>50</v>
      </c>
    </row>
    <row r="190" spans="1:22" ht="45" x14ac:dyDescent="0.25">
      <c r="A190" s="29" t="s">
        <v>28</v>
      </c>
      <c r="B190" s="30" t="s">
        <v>135</v>
      </c>
      <c r="C190" s="43" t="s">
        <v>136</v>
      </c>
      <c r="D190" s="47">
        <v>1.3384710905842865E-2</v>
      </c>
      <c r="E190" s="47">
        <v>0</v>
      </c>
      <c r="F190" s="45" t="s">
        <v>50</v>
      </c>
      <c r="G190" s="47">
        <f t="shared" si="32"/>
        <v>0.1041330508474575</v>
      </c>
      <c r="H190" s="47">
        <f t="shared" si="33"/>
        <v>0.1041330508474575</v>
      </c>
      <c r="I190" s="47">
        <f t="shared" si="37"/>
        <v>0</v>
      </c>
      <c r="J190" s="47">
        <v>0</v>
      </c>
      <c r="K190" s="47">
        <v>0</v>
      </c>
      <c r="L190" s="47">
        <v>0</v>
      </c>
      <c r="M190" s="45">
        <v>0</v>
      </c>
      <c r="N190" s="47">
        <v>0.1041330508474575</v>
      </c>
      <c r="O190" s="45" t="s">
        <v>50</v>
      </c>
      <c r="P190" s="47">
        <v>0</v>
      </c>
      <c r="Q190" s="45" t="s">
        <v>50</v>
      </c>
      <c r="R190" s="45" t="s">
        <v>50</v>
      </c>
      <c r="S190" s="47">
        <f t="shared" si="34"/>
        <v>0.1041330508474575</v>
      </c>
      <c r="T190" s="47">
        <f t="shared" si="35"/>
        <v>0</v>
      </c>
      <c r="U190" s="48">
        <v>0</v>
      </c>
      <c r="V190" s="46" t="s">
        <v>50</v>
      </c>
    </row>
    <row r="191" spans="1:22" ht="45" x14ac:dyDescent="0.25">
      <c r="A191" s="29" t="s">
        <v>28</v>
      </c>
      <c r="B191" s="22" t="s">
        <v>137</v>
      </c>
      <c r="C191" s="23" t="s">
        <v>138</v>
      </c>
      <c r="D191" s="47">
        <v>4.049431205611953E-2</v>
      </c>
      <c r="E191" s="47">
        <v>0</v>
      </c>
      <c r="F191" s="45" t="s">
        <v>50</v>
      </c>
      <c r="G191" s="47">
        <f t="shared" si="32"/>
        <v>0.31504574779660999</v>
      </c>
      <c r="H191" s="47">
        <f t="shared" si="33"/>
        <v>0.31504574779660999</v>
      </c>
      <c r="I191" s="47">
        <f t="shared" si="37"/>
        <v>0</v>
      </c>
      <c r="J191" s="47">
        <v>0</v>
      </c>
      <c r="K191" s="47">
        <v>0</v>
      </c>
      <c r="L191" s="47">
        <v>0</v>
      </c>
      <c r="M191" s="45">
        <v>0</v>
      </c>
      <c r="N191" s="47">
        <v>0.31504574779660999</v>
      </c>
      <c r="O191" s="45" t="s">
        <v>50</v>
      </c>
      <c r="P191" s="47">
        <v>0</v>
      </c>
      <c r="Q191" s="45" t="s">
        <v>50</v>
      </c>
      <c r="R191" s="45" t="s">
        <v>50</v>
      </c>
      <c r="S191" s="47">
        <f t="shared" si="34"/>
        <v>0.31504574779660999</v>
      </c>
      <c r="T191" s="47">
        <f t="shared" si="35"/>
        <v>0</v>
      </c>
      <c r="U191" s="48">
        <v>0</v>
      </c>
      <c r="V191" s="46" t="s">
        <v>50</v>
      </c>
    </row>
    <row r="192" spans="1:22" ht="45" x14ac:dyDescent="0.25">
      <c r="A192" s="29" t="s">
        <v>28</v>
      </c>
      <c r="B192" s="22" t="s">
        <v>139</v>
      </c>
      <c r="C192" s="23" t="s">
        <v>140</v>
      </c>
      <c r="D192" s="47">
        <v>1.4800770423946664E-2</v>
      </c>
      <c r="E192" s="47">
        <v>0</v>
      </c>
      <c r="F192" s="45" t="s">
        <v>50</v>
      </c>
      <c r="G192" s="47">
        <f t="shared" si="32"/>
        <v>0.11514999389830502</v>
      </c>
      <c r="H192" s="47">
        <f t="shared" si="33"/>
        <v>0.11514999389830502</v>
      </c>
      <c r="I192" s="47">
        <f t="shared" si="37"/>
        <v>0</v>
      </c>
      <c r="J192" s="47">
        <v>0</v>
      </c>
      <c r="K192" s="47">
        <v>0</v>
      </c>
      <c r="L192" s="47">
        <v>0</v>
      </c>
      <c r="M192" s="45">
        <v>0</v>
      </c>
      <c r="N192" s="47">
        <v>0.11514999389830502</v>
      </c>
      <c r="O192" s="45" t="s">
        <v>50</v>
      </c>
      <c r="P192" s="47">
        <v>0</v>
      </c>
      <c r="Q192" s="45" t="s">
        <v>50</v>
      </c>
      <c r="R192" s="45" t="s">
        <v>50</v>
      </c>
      <c r="S192" s="47">
        <f t="shared" si="34"/>
        <v>0.11514999389830502</v>
      </c>
      <c r="T192" s="47">
        <f t="shared" si="35"/>
        <v>0</v>
      </c>
      <c r="U192" s="48">
        <v>0</v>
      </c>
      <c r="V192" s="46" t="s">
        <v>50</v>
      </c>
    </row>
    <row r="193" spans="1:22" ht="45" x14ac:dyDescent="0.25">
      <c r="A193" s="29" t="s">
        <v>28</v>
      </c>
      <c r="B193" s="22" t="s">
        <v>141</v>
      </c>
      <c r="C193" s="23" t="s">
        <v>142</v>
      </c>
      <c r="D193" s="47">
        <v>1.5563265282558485E-2</v>
      </c>
      <c r="E193" s="47">
        <v>0</v>
      </c>
      <c r="F193" s="45" t="s">
        <v>50</v>
      </c>
      <c r="G193" s="47">
        <f t="shared" si="32"/>
        <v>0.12108220389830503</v>
      </c>
      <c r="H193" s="47">
        <f t="shared" si="33"/>
        <v>0.12108220389830503</v>
      </c>
      <c r="I193" s="47">
        <f t="shared" si="37"/>
        <v>0</v>
      </c>
      <c r="J193" s="47">
        <v>0</v>
      </c>
      <c r="K193" s="47">
        <v>0</v>
      </c>
      <c r="L193" s="47">
        <v>0</v>
      </c>
      <c r="M193" s="45">
        <v>0</v>
      </c>
      <c r="N193" s="47">
        <v>0.12108220389830503</v>
      </c>
      <c r="O193" s="45" t="s">
        <v>50</v>
      </c>
      <c r="P193" s="47">
        <v>0</v>
      </c>
      <c r="Q193" s="45" t="s">
        <v>50</v>
      </c>
      <c r="R193" s="45" t="s">
        <v>50</v>
      </c>
      <c r="S193" s="47">
        <f t="shared" si="34"/>
        <v>0.12108220389830503</v>
      </c>
      <c r="T193" s="47">
        <f t="shared" si="35"/>
        <v>0</v>
      </c>
      <c r="U193" s="48">
        <v>0</v>
      </c>
      <c r="V193" s="46" t="s">
        <v>50</v>
      </c>
    </row>
    <row r="194" spans="1:22" ht="45" x14ac:dyDescent="0.25">
      <c r="A194" s="29" t="s">
        <v>28</v>
      </c>
      <c r="B194" s="22" t="s">
        <v>143</v>
      </c>
      <c r="C194" s="23" t="s">
        <v>144</v>
      </c>
      <c r="D194" s="47">
        <v>3.7167551522809442E-2</v>
      </c>
      <c r="E194" s="47">
        <v>0</v>
      </c>
      <c r="F194" s="45" t="s">
        <v>50</v>
      </c>
      <c r="G194" s="47">
        <f t="shared" si="32"/>
        <v>0.28916355084745748</v>
      </c>
      <c r="H194" s="47">
        <f t="shared" si="33"/>
        <v>0.28916355084745748</v>
      </c>
      <c r="I194" s="47">
        <f t="shared" si="37"/>
        <v>0</v>
      </c>
      <c r="J194" s="47">
        <v>0</v>
      </c>
      <c r="K194" s="47">
        <v>0</v>
      </c>
      <c r="L194" s="47">
        <v>0</v>
      </c>
      <c r="M194" s="45">
        <v>0</v>
      </c>
      <c r="N194" s="47">
        <v>0.28916355084745748</v>
      </c>
      <c r="O194" s="45" t="s">
        <v>50</v>
      </c>
      <c r="P194" s="47">
        <v>0</v>
      </c>
      <c r="Q194" s="45" t="s">
        <v>50</v>
      </c>
      <c r="R194" s="45" t="s">
        <v>50</v>
      </c>
      <c r="S194" s="47">
        <f t="shared" si="34"/>
        <v>0.28916355084745748</v>
      </c>
      <c r="T194" s="47">
        <f t="shared" si="35"/>
        <v>0</v>
      </c>
      <c r="U194" s="48">
        <v>0</v>
      </c>
      <c r="V194" s="46" t="s">
        <v>50</v>
      </c>
    </row>
    <row r="195" spans="1:22" ht="45" x14ac:dyDescent="0.25">
      <c r="A195" s="29" t="s">
        <v>28</v>
      </c>
      <c r="B195" s="22" t="s">
        <v>145</v>
      </c>
      <c r="C195" s="23" t="s">
        <v>146</v>
      </c>
      <c r="D195" s="47">
        <v>5.8776298200514136E-3</v>
      </c>
      <c r="E195" s="47">
        <v>0</v>
      </c>
      <c r="F195" s="45" t="s">
        <v>50</v>
      </c>
      <c r="G195" s="47">
        <f t="shared" si="32"/>
        <v>4.5727959999999998E-2</v>
      </c>
      <c r="H195" s="47">
        <f t="shared" si="33"/>
        <v>4.5727959999999998E-2</v>
      </c>
      <c r="I195" s="47">
        <f t="shared" si="37"/>
        <v>0</v>
      </c>
      <c r="J195" s="47">
        <v>0</v>
      </c>
      <c r="K195" s="47">
        <v>0</v>
      </c>
      <c r="L195" s="47">
        <v>0</v>
      </c>
      <c r="M195" s="45">
        <v>0</v>
      </c>
      <c r="N195" s="47">
        <v>4.5727959999999998E-2</v>
      </c>
      <c r="O195" s="45" t="s">
        <v>50</v>
      </c>
      <c r="P195" s="47">
        <v>0</v>
      </c>
      <c r="Q195" s="45" t="s">
        <v>50</v>
      </c>
      <c r="R195" s="45" t="s">
        <v>50</v>
      </c>
      <c r="S195" s="47">
        <f t="shared" si="34"/>
        <v>4.5727959999999998E-2</v>
      </c>
      <c r="T195" s="47">
        <f t="shared" si="35"/>
        <v>0</v>
      </c>
      <c r="U195" s="48">
        <v>0</v>
      </c>
      <c r="V195" s="46" t="s">
        <v>50</v>
      </c>
    </row>
    <row r="196" spans="1:22" ht="45" x14ac:dyDescent="0.25">
      <c r="A196" s="29" t="s">
        <v>28</v>
      </c>
      <c r="B196" s="22" t="s">
        <v>147</v>
      </c>
      <c r="C196" s="23" t="s">
        <v>148</v>
      </c>
      <c r="D196" s="47">
        <v>1.4909698444512207E-2</v>
      </c>
      <c r="E196" s="47">
        <v>0</v>
      </c>
      <c r="F196" s="45" t="s">
        <v>50</v>
      </c>
      <c r="G196" s="47">
        <f t="shared" si="32"/>
        <v>0.11599745389830501</v>
      </c>
      <c r="H196" s="47">
        <f t="shared" si="33"/>
        <v>0.11599745389830501</v>
      </c>
      <c r="I196" s="47">
        <f t="shared" si="37"/>
        <v>0</v>
      </c>
      <c r="J196" s="47">
        <v>0</v>
      </c>
      <c r="K196" s="47">
        <v>0</v>
      </c>
      <c r="L196" s="47">
        <v>0</v>
      </c>
      <c r="M196" s="45">
        <v>0</v>
      </c>
      <c r="N196" s="47">
        <v>0.11599745389830501</v>
      </c>
      <c r="O196" s="45" t="s">
        <v>50</v>
      </c>
      <c r="P196" s="47">
        <v>0</v>
      </c>
      <c r="Q196" s="45" t="s">
        <v>50</v>
      </c>
      <c r="R196" s="45" t="s">
        <v>50</v>
      </c>
      <c r="S196" s="47">
        <f t="shared" si="34"/>
        <v>0.11599745389830501</v>
      </c>
      <c r="T196" s="47">
        <f t="shared" si="35"/>
        <v>0</v>
      </c>
      <c r="U196" s="48">
        <v>0</v>
      </c>
      <c r="V196" s="46" t="s">
        <v>50</v>
      </c>
    </row>
    <row r="197" spans="1:22" ht="45" x14ac:dyDescent="0.25">
      <c r="A197" s="29" t="s">
        <v>28</v>
      </c>
      <c r="B197" s="22" t="s">
        <v>149</v>
      </c>
      <c r="C197" s="23" t="s">
        <v>150</v>
      </c>
      <c r="D197" s="47">
        <v>2.0787328656703404E-2</v>
      </c>
      <c r="E197" s="47">
        <v>0</v>
      </c>
      <c r="F197" s="45" t="s">
        <v>50</v>
      </c>
      <c r="G197" s="47">
        <f t="shared" si="32"/>
        <v>0.16172541694915246</v>
      </c>
      <c r="H197" s="47">
        <f t="shared" si="33"/>
        <v>0.16172541694915246</v>
      </c>
      <c r="I197" s="47">
        <f t="shared" si="37"/>
        <v>0</v>
      </c>
      <c r="J197" s="47">
        <v>0</v>
      </c>
      <c r="K197" s="47">
        <v>0</v>
      </c>
      <c r="L197" s="47">
        <v>0</v>
      </c>
      <c r="M197" s="45">
        <v>0</v>
      </c>
      <c r="N197" s="47">
        <v>0.16172541694915246</v>
      </c>
      <c r="O197" s="45" t="s">
        <v>50</v>
      </c>
      <c r="P197" s="47">
        <v>0</v>
      </c>
      <c r="Q197" s="45" t="s">
        <v>50</v>
      </c>
      <c r="R197" s="45" t="s">
        <v>50</v>
      </c>
      <c r="S197" s="47">
        <f t="shared" si="34"/>
        <v>0.16172541694915246</v>
      </c>
      <c r="T197" s="47">
        <f t="shared" si="35"/>
        <v>0</v>
      </c>
      <c r="U197" s="48">
        <v>0</v>
      </c>
      <c r="V197" s="46" t="s">
        <v>50</v>
      </c>
    </row>
    <row r="198" spans="1:22" ht="30" x14ac:dyDescent="0.25">
      <c r="A198" s="29" t="s">
        <v>28</v>
      </c>
      <c r="B198" s="22" t="s">
        <v>151</v>
      </c>
      <c r="C198" s="23" t="s">
        <v>152</v>
      </c>
      <c r="D198" s="47">
        <v>0.12200776218901153</v>
      </c>
      <c r="E198" s="47">
        <v>0</v>
      </c>
      <c r="F198" s="45" t="s">
        <v>50</v>
      </c>
      <c r="G198" s="47">
        <f t="shared" si="32"/>
        <v>0.94922038983051005</v>
      </c>
      <c r="H198" s="47">
        <f t="shared" si="33"/>
        <v>0.94922038983051005</v>
      </c>
      <c r="I198" s="47">
        <f t="shared" si="37"/>
        <v>0</v>
      </c>
      <c r="J198" s="47">
        <v>0</v>
      </c>
      <c r="K198" s="47">
        <v>0</v>
      </c>
      <c r="L198" s="47">
        <v>0.94922038983051005</v>
      </c>
      <c r="M198" s="45">
        <v>0</v>
      </c>
      <c r="N198" s="47">
        <v>0</v>
      </c>
      <c r="O198" s="45" t="s">
        <v>50</v>
      </c>
      <c r="P198" s="47">
        <v>0</v>
      </c>
      <c r="Q198" s="45" t="s">
        <v>50</v>
      </c>
      <c r="R198" s="45" t="s">
        <v>50</v>
      </c>
      <c r="S198" s="47">
        <f t="shared" si="34"/>
        <v>0.94922038983051005</v>
      </c>
      <c r="T198" s="47">
        <f t="shared" si="35"/>
        <v>-0.94922038983051005</v>
      </c>
      <c r="U198" s="48">
        <f t="shared" si="36"/>
        <v>-100</v>
      </c>
      <c r="V198" s="46" t="s">
        <v>50</v>
      </c>
    </row>
    <row r="199" spans="1:22" ht="30" x14ac:dyDescent="0.25">
      <c r="A199" s="29" t="s">
        <v>28</v>
      </c>
      <c r="B199" s="22" t="s">
        <v>153</v>
      </c>
      <c r="C199" s="23" t="s">
        <v>154</v>
      </c>
      <c r="D199" s="47">
        <v>0.48803104875604614</v>
      </c>
      <c r="E199" s="47">
        <v>0</v>
      </c>
      <c r="F199" s="45" t="s">
        <v>50</v>
      </c>
      <c r="G199" s="47">
        <f t="shared" si="32"/>
        <v>3.7968815593220402</v>
      </c>
      <c r="H199" s="47">
        <f t="shared" si="33"/>
        <v>3.7968815593220402</v>
      </c>
      <c r="I199" s="47">
        <f t="shared" si="37"/>
        <v>0</v>
      </c>
      <c r="J199" s="47">
        <v>0</v>
      </c>
      <c r="K199" s="47">
        <v>0</v>
      </c>
      <c r="L199" s="47">
        <v>3.7968815593220402</v>
      </c>
      <c r="M199" s="45">
        <v>0</v>
      </c>
      <c r="N199" s="47">
        <v>0</v>
      </c>
      <c r="O199" s="45" t="s">
        <v>50</v>
      </c>
      <c r="P199" s="47">
        <v>0</v>
      </c>
      <c r="Q199" s="45" t="s">
        <v>50</v>
      </c>
      <c r="R199" s="45" t="s">
        <v>50</v>
      </c>
      <c r="S199" s="47">
        <f t="shared" si="34"/>
        <v>3.7968815593220402</v>
      </c>
      <c r="T199" s="47">
        <f t="shared" si="35"/>
        <v>-3.7968815593220402</v>
      </c>
      <c r="U199" s="48">
        <f t="shared" si="36"/>
        <v>-100</v>
      </c>
      <c r="V199" s="46" t="s">
        <v>50</v>
      </c>
    </row>
    <row r="200" spans="1:22" ht="45" x14ac:dyDescent="0.25">
      <c r="A200" s="29" t="s">
        <v>28</v>
      </c>
      <c r="B200" s="22" t="s">
        <v>155</v>
      </c>
      <c r="C200" s="23" t="s">
        <v>156</v>
      </c>
      <c r="D200" s="47">
        <v>0.40669254063003851</v>
      </c>
      <c r="E200" s="47">
        <v>0</v>
      </c>
      <c r="F200" s="45" t="s">
        <v>50</v>
      </c>
      <c r="G200" s="47">
        <f t="shared" si="32"/>
        <v>3.1640679661016997</v>
      </c>
      <c r="H200" s="47">
        <f t="shared" si="33"/>
        <v>3.1640679661016997</v>
      </c>
      <c r="I200" s="47">
        <f t="shared" si="37"/>
        <v>0</v>
      </c>
      <c r="J200" s="47">
        <v>0</v>
      </c>
      <c r="K200" s="47">
        <v>0</v>
      </c>
      <c r="L200" s="47">
        <v>0</v>
      </c>
      <c r="M200" s="45">
        <v>0</v>
      </c>
      <c r="N200" s="47">
        <v>3.1640679661016997</v>
      </c>
      <c r="O200" s="45" t="s">
        <v>50</v>
      </c>
      <c r="P200" s="47">
        <v>0</v>
      </c>
      <c r="Q200" s="45" t="s">
        <v>50</v>
      </c>
      <c r="R200" s="45" t="s">
        <v>50</v>
      </c>
      <c r="S200" s="47">
        <f t="shared" si="34"/>
        <v>3.1640679661016997</v>
      </c>
      <c r="T200" s="47">
        <f t="shared" si="35"/>
        <v>0</v>
      </c>
      <c r="U200" s="48">
        <v>0</v>
      </c>
      <c r="V200" s="46" t="s">
        <v>50</v>
      </c>
    </row>
    <row r="201" spans="1:22" ht="45" x14ac:dyDescent="0.25">
      <c r="A201" s="29" t="s">
        <v>28</v>
      </c>
      <c r="B201" s="22" t="s">
        <v>157</v>
      </c>
      <c r="C201" s="23" t="s">
        <v>158</v>
      </c>
      <c r="D201" s="47">
        <v>0.40669254063003851</v>
      </c>
      <c r="E201" s="47">
        <v>0</v>
      </c>
      <c r="F201" s="45" t="s">
        <v>50</v>
      </c>
      <c r="G201" s="47">
        <f t="shared" si="32"/>
        <v>3.1640679661016997</v>
      </c>
      <c r="H201" s="47">
        <f t="shared" si="33"/>
        <v>3.1640679661016997</v>
      </c>
      <c r="I201" s="47">
        <f t="shared" si="37"/>
        <v>0</v>
      </c>
      <c r="J201" s="47">
        <v>0</v>
      </c>
      <c r="K201" s="47">
        <v>0</v>
      </c>
      <c r="L201" s="47">
        <v>0</v>
      </c>
      <c r="M201" s="45">
        <v>0</v>
      </c>
      <c r="N201" s="47">
        <v>3.1640679661016997</v>
      </c>
      <c r="O201" s="45" t="s">
        <v>50</v>
      </c>
      <c r="P201" s="47">
        <v>0</v>
      </c>
      <c r="Q201" s="45" t="s">
        <v>50</v>
      </c>
      <c r="R201" s="45" t="s">
        <v>50</v>
      </c>
      <c r="S201" s="47">
        <f t="shared" si="34"/>
        <v>3.1640679661016997</v>
      </c>
      <c r="T201" s="47">
        <f t="shared" si="35"/>
        <v>0</v>
      </c>
      <c r="U201" s="48">
        <v>0</v>
      </c>
      <c r="V201" s="46" t="s">
        <v>50</v>
      </c>
    </row>
    <row r="202" spans="1:22" ht="30" x14ac:dyDescent="0.25">
      <c r="A202" s="29" t="s">
        <v>28</v>
      </c>
      <c r="B202" s="22" t="s">
        <v>159</v>
      </c>
      <c r="C202" s="23" t="s">
        <v>160</v>
      </c>
      <c r="D202" s="47">
        <v>0.20334627031501926</v>
      </c>
      <c r="E202" s="47">
        <v>0</v>
      </c>
      <c r="F202" s="45" t="s">
        <v>50</v>
      </c>
      <c r="G202" s="47">
        <f t="shared" si="32"/>
        <v>1.5820339830508499</v>
      </c>
      <c r="H202" s="47">
        <f t="shared" si="33"/>
        <v>1.5820339830508499</v>
      </c>
      <c r="I202" s="47">
        <f t="shared" si="37"/>
        <v>0</v>
      </c>
      <c r="J202" s="47">
        <v>0</v>
      </c>
      <c r="K202" s="47">
        <v>0</v>
      </c>
      <c r="L202" s="47">
        <v>0</v>
      </c>
      <c r="M202" s="45">
        <v>0</v>
      </c>
      <c r="N202" s="47">
        <v>1.5820339830508499</v>
      </c>
      <c r="O202" s="45" t="s">
        <v>50</v>
      </c>
      <c r="P202" s="47">
        <v>0</v>
      </c>
      <c r="Q202" s="45" t="s">
        <v>50</v>
      </c>
      <c r="R202" s="45" t="s">
        <v>50</v>
      </c>
      <c r="S202" s="47">
        <f t="shared" si="34"/>
        <v>1.5820339830508499</v>
      </c>
      <c r="T202" s="47">
        <f t="shared" si="35"/>
        <v>0</v>
      </c>
      <c r="U202" s="48">
        <v>0</v>
      </c>
      <c r="V202" s="46" t="s">
        <v>50</v>
      </c>
    </row>
    <row r="203" spans="1:22" ht="30" x14ac:dyDescent="0.25">
      <c r="A203" s="29" t="s">
        <v>28</v>
      </c>
      <c r="B203" s="22" t="s">
        <v>161</v>
      </c>
      <c r="C203" s="23" t="s">
        <v>162</v>
      </c>
      <c r="D203" s="47">
        <v>4.0669254063003847E-2</v>
      </c>
      <c r="E203" s="47">
        <v>0</v>
      </c>
      <c r="F203" s="45" t="s">
        <v>50</v>
      </c>
      <c r="G203" s="47">
        <f t="shared" si="32"/>
        <v>0.31640679661016996</v>
      </c>
      <c r="H203" s="47">
        <f t="shared" si="33"/>
        <v>0.31640679661016996</v>
      </c>
      <c r="I203" s="47">
        <f t="shared" si="37"/>
        <v>0</v>
      </c>
      <c r="J203" s="47">
        <v>0</v>
      </c>
      <c r="K203" s="47">
        <v>0</v>
      </c>
      <c r="L203" s="47">
        <v>0</v>
      </c>
      <c r="M203" s="45">
        <v>0</v>
      </c>
      <c r="N203" s="47">
        <v>0.31640679661016996</v>
      </c>
      <c r="O203" s="45" t="s">
        <v>50</v>
      </c>
      <c r="P203" s="47">
        <v>0</v>
      </c>
      <c r="Q203" s="45" t="s">
        <v>50</v>
      </c>
      <c r="R203" s="45" t="s">
        <v>50</v>
      </c>
      <c r="S203" s="47">
        <f t="shared" si="34"/>
        <v>0.31640679661016996</v>
      </c>
      <c r="T203" s="47">
        <f t="shared" si="35"/>
        <v>0</v>
      </c>
      <c r="U203" s="48">
        <v>0</v>
      </c>
      <c r="V203" s="46" t="s">
        <v>50</v>
      </c>
    </row>
    <row r="204" spans="1:22" ht="45" x14ac:dyDescent="0.25">
      <c r="A204" s="29" t="s">
        <v>28</v>
      </c>
      <c r="B204" s="22" t="s">
        <v>400</v>
      </c>
      <c r="C204" s="55" t="s">
        <v>401</v>
      </c>
      <c r="D204" s="47">
        <v>0</v>
      </c>
      <c r="E204" s="47">
        <v>0</v>
      </c>
      <c r="F204" s="45" t="s">
        <v>50</v>
      </c>
      <c r="G204" s="47">
        <f t="shared" si="32"/>
        <v>0</v>
      </c>
      <c r="H204" s="47">
        <f t="shared" si="33"/>
        <v>0</v>
      </c>
      <c r="I204" s="47">
        <f t="shared" si="37"/>
        <v>3.49842846</v>
      </c>
      <c r="J204" s="47">
        <v>0</v>
      </c>
      <c r="K204" s="47">
        <v>3.49842846</v>
      </c>
      <c r="L204" s="47">
        <v>0</v>
      </c>
      <c r="M204" s="45">
        <v>0</v>
      </c>
      <c r="N204" s="47">
        <v>0</v>
      </c>
      <c r="O204" s="45" t="s">
        <v>50</v>
      </c>
      <c r="P204" s="47">
        <v>0</v>
      </c>
      <c r="Q204" s="45" t="s">
        <v>50</v>
      </c>
      <c r="R204" s="45" t="s">
        <v>50</v>
      </c>
      <c r="S204" s="47">
        <f t="shared" si="34"/>
        <v>-3.49842846</v>
      </c>
      <c r="T204" s="47">
        <f t="shared" si="35"/>
        <v>3.49842846</v>
      </c>
      <c r="U204" s="48">
        <v>0</v>
      </c>
      <c r="V204" s="40" t="s">
        <v>437</v>
      </c>
    </row>
    <row r="205" spans="1:22" ht="30" x14ac:dyDescent="0.25">
      <c r="A205" s="29" t="s">
        <v>28</v>
      </c>
      <c r="B205" s="22" t="s">
        <v>402</v>
      </c>
      <c r="C205" s="55" t="s">
        <v>403</v>
      </c>
      <c r="D205" s="47">
        <v>0</v>
      </c>
      <c r="E205" s="47">
        <v>0</v>
      </c>
      <c r="F205" s="45" t="s">
        <v>50</v>
      </c>
      <c r="G205" s="47">
        <f t="shared" si="32"/>
        <v>0</v>
      </c>
      <c r="H205" s="47">
        <f t="shared" si="33"/>
        <v>0</v>
      </c>
      <c r="I205" s="47">
        <f t="shared" si="37"/>
        <v>2.7902363599999997</v>
      </c>
      <c r="J205" s="47">
        <v>0</v>
      </c>
      <c r="K205" s="47">
        <v>2.7902363599999997</v>
      </c>
      <c r="L205" s="47">
        <v>0</v>
      </c>
      <c r="M205" s="45">
        <v>0</v>
      </c>
      <c r="N205" s="47">
        <v>0</v>
      </c>
      <c r="O205" s="45" t="s">
        <v>50</v>
      </c>
      <c r="P205" s="47">
        <v>0</v>
      </c>
      <c r="Q205" s="45" t="s">
        <v>50</v>
      </c>
      <c r="R205" s="45" t="s">
        <v>50</v>
      </c>
      <c r="S205" s="47">
        <f t="shared" si="34"/>
        <v>-2.7902363599999997</v>
      </c>
      <c r="T205" s="47">
        <f t="shared" si="35"/>
        <v>2.7902363599999997</v>
      </c>
      <c r="U205" s="48">
        <v>0</v>
      </c>
      <c r="V205" s="40" t="s">
        <v>437</v>
      </c>
    </row>
    <row r="206" spans="1:22" ht="45" x14ac:dyDescent="0.25">
      <c r="A206" s="29" t="s">
        <v>28</v>
      </c>
      <c r="B206" s="22" t="s">
        <v>404</v>
      </c>
      <c r="C206" s="55" t="s">
        <v>405</v>
      </c>
      <c r="D206" s="47">
        <v>0</v>
      </c>
      <c r="E206" s="47">
        <v>0</v>
      </c>
      <c r="F206" s="45" t="s">
        <v>50</v>
      </c>
      <c r="G206" s="47">
        <f t="shared" si="32"/>
        <v>0</v>
      </c>
      <c r="H206" s="47">
        <f t="shared" si="33"/>
        <v>0</v>
      </c>
      <c r="I206" s="47">
        <f t="shared" si="37"/>
        <v>3.3363009500000005</v>
      </c>
      <c r="J206" s="47">
        <v>0</v>
      </c>
      <c r="K206" s="47">
        <v>3.3363009500000005</v>
      </c>
      <c r="L206" s="47">
        <v>0</v>
      </c>
      <c r="M206" s="45">
        <v>0</v>
      </c>
      <c r="N206" s="47">
        <v>0</v>
      </c>
      <c r="O206" s="45" t="s">
        <v>50</v>
      </c>
      <c r="P206" s="47">
        <v>0</v>
      </c>
      <c r="Q206" s="45" t="s">
        <v>50</v>
      </c>
      <c r="R206" s="45" t="s">
        <v>50</v>
      </c>
      <c r="S206" s="47">
        <f t="shared" si="34"/>
        <v>-3.3363009500000005</v>
      </c>
      <c r="T206" s="47">
        <f t="shared" si="35"/>
        <v>3.3363009500000005</v>
      </c>
      <c r="U206" s="48">
        <v>0</v>
      </c>
      <c r="V206" s="40" t="s">
        <v>437</v>
      </c>
    </row>
    <row r="207" spans="1:22" ht="30" x14ac:dyDescent="0.25">
      <c r="A207" s="29" t="s">
        <v>28</v>
      </c>
      <c r="B207" s="22" t="s">
        <v>406</v>
      </c>
      <c r="C207" s="55" t="s">
        <v>407</v>
      </c>
      <c r="D207" s="47">
        <v>0</v>
      </c>
      <c r="E207" s="47">
        <v>0</v>
      </c>
      <c r="F207" s="45" t="s">
        <v>50</v>
      </c>
      <c r="G207" s="47">
        <f t="shared" si="32"/>
        <v>0</v>
      </c>
      <c r="H207" s="47">
        <f t="shared" si="33"/>
        <v>0</v>
      </c>
      <c r="I207" s="47">
        <f t="shared" si="37"/>
        <v>2.7961439599999998</v>
      </c>
      <c r="J207" s="47">
        <v>0</v>
      </c>
      <c r="K207" s="47">
        <v>2.7961439599999998</v>
      </c>
      <c r="L207" s="47">
        <v>0</v>
      </c>
      <c r="M207" s="45">
        <v>0</v>
      </c>
      <c r="N207" s="47">
        <v>0</v>
      </c>
      <c r="O207" s="45" t="s">
        <v>50</v>
      </c>
      <c r="P207" s="47">
        <v>0</v>
      </c>
      <c r="Q207" s="45" t="s">
        <v>50</v>
      </c>
      <c r="R207" s="45" t="s">
        <v>50</v>
      </c>
      <c r="S207" s="47">
        <f t="shared" si="34"/>
        <v>-2.7961439599999998</v>
      </c>
      <c r="T207" s="47">
        <f t="shared" si="35"/>
        <v>2.7961439599999998</v>
      </c>
      <c r="U207" s="48">
        <v>0</v>
      </c>
      <c r="V207" s="40" t="s">
        <v>437</v>
      </c>
    </row>
    <row r="208" spans="1:22" s="42" customFormat="1" ht="45" x14ac:dyDescent="0.25">
      <c r="A208" s="29" t="s">
        <v>28</v>
      </c>
      <c r="B208" s="22" t="s">
        <v>603</v>
      </c>
      <c r="C208" s="55" t="s">
        <v>604</v>
      </c>
      <c r="D208" s="47">
        <v>0</v>
      </c>
      <c r="E208" s="47">
        <v>0</v>
      </c>
      <c r="F208" s="45" t="s">
        <v>50</v>
      </c>
      <c r="G208" s="47">
        <v>0</v>
      </c>
      <c r="H208" s="47">
        <v>0</v>
      </c>
      <c r="I208" s="47">
        <f t="shared" si="37"/>
        <v>4.983514E-2</v>
      </c>
      <c r="J208" s="47">
        <v>0</v>
      </c>
      <c r="K208" s="47">
        <v>0</v>
      </c>
      <c r="L208" s="47">
        <v>0</v>
      </c>
      <c r="M208" s="45">
        <f>49.83514/1000</f>
        <v>4.983514E-2</v>
      </c>
      <c r="N208" s="47">
        <v>0</v>
      </c>
      <c r="O208" s="45" t="s">
        <v>50</v>
      </c>
      <c r="P208" s="47">
        <v>0</v>
      </c>
      <c r="Q208" s="45" t="s">
        <v>50</v>
      </c>
      <c r="R208" s="45" t="s">
        <v>50</v>
      </c>
      <c r="S208" s="47">
        <f t="shared" si="34"/>
        <v>-4.983514E-2</v>
      </c>
      <c r="T208" s="47">
        <f t="shared" si="35"/>
        <v>4.983514E-2</v>
      </c>
      <c r="U208" s="48">
        <v>0</v>
      </c>
      <c r="V208" s="40" t="s">
        <v>718</v>
      </c>
    </row>
    <row r="209" spans="1:22" ht="30" x14ac:dyDescent="0.25">
      <c r="A209" s="29" t="s">
        <v>28</v>
      </c>
      <c r="B209" s="30" t="s">
        <v>163</v>
      </c>
      <c r="C209" s="43" t="s">
        <v>164</v>
      </c>
      <c r="D209" s="47">
        <v>3.8779456232843963E-2</v>
      </c>
      <c r="E209" s="47">
        <v>0</v>
      </c>
      <c r="F209" s="45" t="s">
        <v>50</v>
      </c>
      <c r="G209" s="47">
        <f t="shared" si="32"/>
        <v>0.30170416949152606</v>
      </c>
      <c r="H209" s="47">
        <f t="shared" si="33"/>
        <v>0.30170416949152606</v>
      </c>
      <c r="I209" s="47">
        <f t="shared" si="37"/>
        <v>0</v>
      </c>
      <c r="J209" s="47">
        <v>0</v>
      </c>
      <c r="K209" s="47">
        <v>0</v>
      </c>
      <c r="L209" s="47">
        <v>0.30170416949152606</v>
      </c>
      <c r="M209" s="45">
        <v>0</v>
      </c>
      <c r="N209" s="47">
        <v>0</v>
      </c>
      <c r="O209" s="45" t="s">
        <v>50</v>
      </c>
      <c r="P209" s="47">
        <v>0</v>
      </c>
      <c r="Q209" s="45" t="s">
        <v>50</v>
      </c>
      <c r="R209" s="45" t="s">
        <v>50</v>
      </c>
      <c r="S209" s="47">
        <f t="shared" ref="S209:S272" si="39">G209-I209</f>
        <v>0.30170416949152606</v>
      </c>
      <c r="T209" s="47">
        <f t="shared" si="35"/>
        <v>-0.30170416949152606</v>
      </c>
      <c r="U209" s="48">
        <f t="shared" si="36"/>
        <v>-100</v>
      </c>
      <c r="V209" s="41" t="s">
        <v>442</v>
      </c>
    </row>
    <row r="210" spans="1:22" ht="30" x14ac:dyDescent="0.25">
      <c r="A210" s="29" t="s">
        <v>28</v>
      </c>
      <c r="B210" s="30" t="s">
        <v>165</v>
      </c>
      <c r="C210" s="43" t="s">
        <v>166</v>
      </c>
      <c r="D210" s="47">
        <v>3.8779456232843963E-2</v>
      </c>
      <c r="E210" s="47">
        <v>0</v>
      </c>
      <c r="F210" s="45" t="s">
        <v>50</v>
      </c>
      <c r="G210" s="47">
        <f t="shared" si="32"/>
        <v>0.30170416949152606</v>
      </c>
      <c r="H210" s="47">
        <f t="shared" si="33"/>
        <v>0.30170416949152606</v>
      </c>
      <c r="I210" s="47">
        <f t="shared" si="37"/>
        <v>0</v>
      </c>
      <c r="J210" s="47">
        <v>0</v>
      </c>
      <c r="K210" s="47">
        <v>0</v>
      </c>
      <c r="L210" s="47">
        <v>0.30170416949152606</v>
      </c>
      <c r="M210" s="45">
        <v>0</v>
      </c>
      <c r="N210" s="47">
        <v>0</v>
      </c>
      <c r="O210" s="45" t="s">
        <v>50</v>
      </c>
      <c r="P210" s="47">
        <v>0</v>
      </c>
      <c r="Q210" s="45" t="s">
        <v>50</v>
      </c>
      <c r="R210" s="45" t="s">
        <v>50</v>
      </c>
      <c r="S210" s="47">
        <f t="shared" si="39"/>
        <v>0.30170416949152606</v>
      </c>
      <c r="T210" s="47">
        <f t="shared" ref="T210:T273" si="40">(K210+M210)-(J210+L210)</f>
        <v>-0.30170416949152606</v>
      </c>
      <c r="U210" s="48">
        <f t="shared" ref="U210:U254" si="41">(K210+M210)/(J210+L210)*100-100</f>
        <v>-100</v>
      </c>
      <c r="V210" s="41" t="s">
        <v>442</v>
      </c>
    </row>
    <row r="211" spans="1:22" ht="30" x14ac:dyDescent="0.25">
      <c r="A211" s="29" t="s">
        <v>28</v>
      </c>
      <c r="B211" s="30" t="s">
        <v>167</v>
      </c>
      <c r="C211" s="43" t="s">
        <v>168</v>
      </c>
      <c r="D211" s="47">
        <v>3.8779456232843963E-2</v>
      </c>
      <c r="E211" s="47">
        <v>0</v>
      </c>
      <c r="F211" s="45" t="s">
        <v>50</v>
      </c>
      <c r="G211" s="47">
        <f t="shared" si="32"/>
        <v>0.30170416949152606</v>
      </c>
      <c r="H211" s="47">
        <f t="shared" si="33"/>
        <v>0.30170416949152606</v>
      </c>
      <c r="I211" s="47">
        <f t="shared" si="37"/>
        <v>0</v>
      </c>
      <c r="J211" s="47">
        <v>0</v>
      </c>
      <c r="K211" s="47">
        <v>0</v>
      </c>
      <c r="L211" s="47">
        <v>0</v>
      </c>
      <c r="M211" s="45">
        <v>0</v>
      </c>
      <c r="N211" s="47">
        <v>0.30170416949152606</v>
      </c>
      <c r="O211" s="45" t="s">
        <v>50</v>
      </c>
      <c r="P211" s="47">
        <v>0</v>
      </c>
      <c r="Q211" s="45" t="s">
        <v>50</v>
      </c>
      <c r="R211" s="45" t="s">
        <v>50</v>
      </c>
      <c r="S211" s="47">
        <f t="shared" si="39"/>
        <v>0.30170416949152606</v>
      </c>
      <c r="T211" s="47">
        <f t="shared" si="40"/>
        <v>0</v>
      </c>
      <c r="U211" s="48">
        <v>0</v>
      </c>
      <c r="V211" s="46" t="s">
        <v>50</v>
      </c>
    </row>
    <row r="212" spans="1:22" ht="30" x14ac:dyDescent="0.25">
      <c r="A212" s="29" t="s">
        <v>28</v>
      </c>
      <c r="B212" s="30" t="s">
        <v>169</v>
      </c>
      <c r="C212" s="43" t="s">
        <v>170</v>
      </c>
      <c r="D212" s="47">
        <v>3.8779456232843963E-2</v>
      </c>
      <c r="E212" s="47">
        <v>0</v>
      </c>
      <c r="F212" s="45" t="s">
        <v>50</v>
      </c>
      <c r="G212" s="47">
        <f t="shared" si="32"/>
        <v>0.30170416949152606</v>
      </c>
      <c r="H212" s="47">
        <f t="shared" si="33"/>
        <v>0.30170416949152606</v>
      </c>
      <c r="I212" s="47">
        <f t="shared" si="37"/>
        <v>0</v>
      </c>
      <c r="J212" s="47">
        <v>0</v>
      </c>
      <c r="K212" s="47">
        <v>0</v>
      </c>
      <c r="L212" s="47">
        <v>0</v>
      </c>
      <c r="M212" s="45">
        <v>0</v>
      </c>
      <c r="N212" s="47">
        <v>0.30170416949152606</v>
      </c>
      <c r="O212" s="45" t="s">
        <v>50</v>
      </c>
      <c r="P212" s="47">
        <v>0</v>
      </c>
      <c r="Q212" s="45" t="s">
        <v>50</v>
      </c>
      <c r="R212" s="45" t="s">
        <v>50</v>
      </c>
      <c r="S212" s="47">
        <f t="shared" si="39"/>
        <v>0.30170416949152606</v>
      </c>
      <c r="T212" s="47">
        <f t="shared" si="40"/>
        <v>0</v>
      </c>
      <c r="U212" s="48">
        <v>0</v>
      </c>
      <c r="V212" s="46" t="s">
        <v>50</v>
      </c>
    </row>
    <row r="213" spans="1:22" ht="30" x14ac:dyDescent="0.25">
      <c r="A213" s="29" t="s">
        <v>28</v>
      </c>
      <c r="B213" s="30" t="s">
        <v>171</v>
      </c>
      <c r="C213" s="43" t="s">
        <v>172</v>
      </c>
      <c r="D213" s="47">
        <v>3.8779456232843963E-2</v>
      </c>
      <c r="E213" s="47">
        <v>0</v>
      </c>
      <c r="F213" s="45" t="s">
        <v>50</v>
      </c>
      <c r="G213" s="47">
        <f t="shared" si="32"/>
        <v>0.30170416949152606</v>
      </c>
      <c r="H213" s="47">
        <f t="shared" si="33"/>
        <v>0.30170416949152606</v>
      </c>
      <c r="I213" s="47">
        <f t="shared" si="37"/>
        <v>0</v>
      </c>
      <c r="J213" s="47">
        <v>0</v>
      </c>
      <c r="K213" s="47">
        <v>0</v>
      </c>
      <c r="L213" s="47">
        <v>0</v>
      </c>
      <c r="M213" s="45">
        <v>0</v>
      </c>
      <c r="N213" s="47">
        <v>0.30170416949152606</v>
      </c>
      <c r="O213" s="45" t="s">
        <v>50</v>
      </c>
      <c r="P213" s="47">
        <v>0</v>
      </c>
      <c r="Q213" s="45" t="s">
        <v>50</v>
      </c>
      <c r="R213" s="45" t="s">
        <v>50</v>
      </c>
      <c r="S213" s="47">
        <f t="shared" si="39"/>
        <v>0.30170416949152606</v>
      </c>
      <c r="T213" s="47">
        <f t="shared" si="40"/>
        <v>0</v>
      </c>
      <c r="U213" s="48">
        <v>0</v>
      </c>
      <c r="V213" s="46" t="s">
        <v>50</v>
      </c>
    </row>
    <row r="214" spans="1:22" ht="30" x14ac:dyDescent="0.25">
      <c r="A214" s="29" t="s">
        <v>28</v>
      </c>
      <c r="B214" s="30" t="s">
        <v>173</v>
      </c>
      <c r="C214" s="43" t="s">
        <v>174</v>
      </c>
      <c r="D214" s="47">
        <v>3.8779456232843963E-2</v>
      </c>
      <c r="E214" s="47">
        <v>0</v>
      </c>
      <c r="F214" s="45" t="s">
        <v>50</v>
      </c>
      <c r="G214" s="47">
        <f t="shared" ref="G214:G324" si="42">H214</f>
        <v>0.30170416949152606</v>
      </c>
      <c r="H214" s="47">
        <f t="shared" ref="H214:H324" si="43">J214+L214+N214+P214</f>
        <v>0.30170416949152606</v>
      </c>
      <c r="I214" s="47">
        <f t="shared" si="37"/>
        <v>0</v>
      </c>
      <c r="J214" s="47">
        <v>0</v>
      </c>
      <c r="K214" s="47">
        <v>0</v>
      </c>
      <c r="L214" s="47">
        <v>0</v>
      </c>
      <c r="M214" s="45">
        <v>0</v>
      </c>
      <c r="N214" s="47">
        <v>0.30170416949152606</v>
      </c>
      <c r="O214" s="45" t="s">
        <v>50</v>
      </c>
      <c r="P214" s="47">
        <v>0</v>
      </c>
      <c r="Q214" s="45" t="s">
        <v>50</v>
      </c>
      <c r="R214" s="45" t="s">
        <v>50</v>
      </c>
      <c r="S214" s="47">
        <f t="shared" si="39"/>
        <v>0.30170416949152606</v>
      </c>
      <c r="T214" s="47">
        <f t="shared" si="40"/>
        <v>0</v>
      </c>
      <c r="U214" s="48">
        <v>0</v>
      </c>
      <c r="V214" s="46" t="s">
        <v>50</v>
      </c>
    </row>
    <row r="215" spans="1:22" ht="30" x14ac:dyDescent="0.25">
      <c r="A215" s="29" t="s">
        <v>28</v>
      </c>
      <c r="B215" s="30" t="s">
        <v>175</v>
      </c>
      <c r="C215" s="43" t="s">
        <v>176</v>
      </c>
      <c r="D215" s="47">
        <v>9.6948640582109891E-2</v>
      </c>
      <c r="E215" s="47">
        <v>0</v>
      </c>
      <c r="F215" s="45" t="s">
        <v>50</v>
      </c>
      <c r="G215" s="47">
        <f t="shared" si="42"/>
        <v>0.75426042372881497</v>
      </c>
      <c r="H215" s="47">
        <f t="shared" si="43"/>
        <v>0.75426042372881497</v>
      </c>
      <c r="I215" s="47">
        <f t="shared" si="37"/>
        <v>0</v>
      </c>
      <c r="J215" s="47">
        <v>0</v>
      </c>
      <c r="K215" s="47">
        <v>0</v>
      </c>
      <c r="L215" s="47">
        <v>0</v>
      </c>
      <c r="M215" s="45">
        <v>0</v>
      </c>
      <c r="N215" s="47">
        <v>0.75426042372881497</v>
      </c>
      <c r="O215" s="45" t="s">
        <v>50</v>
      </c>
      <c r="P215" s="47">
        <v>0</v>
      </c>
      <c r="Q215" s="45" t="s">
        <v>50</v>
      </c>
      <c r="R215" s="45" t="s">
        <v>50</v>
      </c>
      <c r="S215" s="47">
        <f t="shared" si="39"/>
        <v>0.75426042372881497</v>
      </c>
      <c r="T215" s="47">
        <f t="shared" si="40"/>
        <v>0</v>
      </c>
      <c r="U215" s="48">
        <v>0</v>
      </c>
      <c r="V215" s="46" t="s">
        <v>50</v>
      </c>
    </row>
    <row r="216" spans="1:22" ht="30" x14ac:dyDescent="0.25">
      <c r="A216" s="29" t="s">
        <v>28</v>
      </c>
      <c r="B216" s="30" t="s">
        <v>177</v>
      </c>
      <c r="C216" s="43" t="s">
        <v>178</v>
      </c>
      <c r="D216" s="47">
        <v>3.8779456232843963E-2</v>
      </c>
      <c r="E216" s="47">
        <v>0</v>
      </c>
      <c r="F216" s="45" t="s">
        <v>50</v>
      </c>
      <c r="G216" s="47">
        <f t="shared" si="42"/>
        <v>0.30170416949152606</v>
      </c>
      <c r="H216" s="47">
        <f t="shared" si="43"/>
        <v>0.30170416949152606</v>
      </c>
      <c r="I216" s="47">
        <f t="shared" si="37"/>
        <v>0</v>
      </c>
      <c r="J216" s="47">
        <v>0</v>
      </c>
      <c r="K216" s="47">
        <v>0</v>
      </c>
      <c r="L216" s="47">
        <v>0</v>
      </c>
      <c r="M216" s="45">
        <v>0</v>
      </c>
      <c r="N216" s="47">
        <v>0.30170416949152606</v>
      </c>
      <c r="O216" s="45" t="s">
        <v>50</v>
      </c>
      <c r="P216" s="47">
        <v>0</v>
      </c>
      <c r="Q216" s="45" t="s">
        <v>50</v>
      </c>
      <c r="R216" s="45" t="s">
        <v>50</v>
      </c>
      <c r="S216" s="47">
        <f t="shared" si="39"/>
        <v>0.30170416949152606</v>
      </c>
      <c r="T216" s="47">
        <f t="shared" si="40"/>
        <v>0</v>
      </c>
      <c r="U216" s="48">
        <v>0</v>
      </c>
      <c r="V216" s="46" t="s">
        <v>50</v>
      </c>
    </row>
    <row r="217" spans="1:22" ht="45" x14ac:dyDescent="0.25">
      <c r="A217" s="29" t="s">
        <v>28</v>
      </c>
      <c r="B217" s="30" t="s">
        <v>179</v>
      </c>
      <c r="C217" s="43" t="s">
        <v>180</v>
      </c>
      <c r="D217" s="47">
        <v>0.35352442159383035</v>
      </c>
      <c r="E217" s="47">
        <v>0</v>
      </c>
      <c r="F217" s="45" t="s">
        <v>50</v>
      </c>
      <c r="G217" s="47">
        <f t="shared" si="42"/>
        <v>2.7504200000000001</v>
      </c>
      <c r="H217" s="47">
        <f t="shared" si="43"/>
        <v>2.7504200000000001</v>
      </c>
      <c r="I217" s="47">
        <f t="shared" si="37"/>
        <v>0</v>
      </c>
      <c r="J217" s="47">
        <v>0.27504200000000001</v>
      </c>
      <c r="K217" s="47">
        <v>0</v>
      </c>
      <c r="L217" s="47">
        <v>0.82512600000000003</v>
      </c>
      <c r="M217" s="45">
        <v>0</v>
      </c>
      <c r="N217" s="47">
        <v>0.82512600000000003</v>
      </c>
      <c r="O217" s="45" t="s">
        <v>50</v>
      </c>
      <c r="P217" s="47">
        <v>0.82512600000000003</v>
      </c>
      <c r="Q217" s="45" t="s">
        <v>50</v>
      </c>
      <c r="R217" s="45" t="s">
        <v>50</v>
      </c>
      <c r="S217" s="47">
        <f t="shared" si="39"/>
        <v>2.7504200000000001</v>
      </c>
      <c r="T217" s="47">
        <f t="shared" si="40"/>
        <v>-1.100168</v>
      </c>
      <c r="U217" s="48">
        <f t="shared" si="41"/>
        <v>-100</v>
      </c>
      <c r="V217" s="41" t="s">
        <v>442</v>
      </c>
    </row>
    <row r="218" spans="1:22" ht="45" x14ac:dyDescent="0.25">
      <c r="A218" s="27" t="s">
        <v>28</v>
      </c>
      <c r="B218" s="22" t="s">
        <v>408</v>
      </c>
      <c r="C218" s="52" t="s">
        <v>182</v>
      </c>
      <c r="D218" s="47">
        <v>0</v>
      </c>
      <c r="E218" s="47">
        <v>0</v>
      </c>
      <c r="F218" s="45" t="s">
        <v>50</v>
      </c>
      <c r="G218" s="47">
        <f t="shared" si="42"/>
        <v>0</v>
      </c>
      <c r="H218" s="47">
        <f t="shared" si="43"/>
        <v>0</v>
      </c>
      <c r="I218" s="47">
        <f t="shared" si="37"/>
        <v>0.22664614</v>
      </c>
      <c r="J218" s="47">
        <v>0</v>
      </c>
      <c r="K218" s="47">
        <f>226.64614/1000</f>
        <v>0.22664614</v>
      </c>
      <c r="L218" s="47">
        <v>0</v>
      </c>
      <c r="M218" s="45">
        <v>0</v>
      </c>
      <c r="N218" s="47">
        <v>0</v>
      </c>
      <c r="O218" s="45" t="s">
        <v>50</v>
      </c>
      <c r="P218" s="47">
        <v>0</v>
      </c>
      <c r="Q218" s="45" t="s">
        <v>50</v>
      </c>
      <c r="R218" s="45" t="s">
        <v>50</v>
      </c>
      <c r="S218" s="47">
        <f t="shared" si="39"/>
        <v>-0.22664614</v>
      </c>
      <c r="T218" s="47">
        <f t="shared" si="40"/>
        <v>0.22664614</v>
      </c>
      <c r="U218" s="48">
        <v>0</v>
      </c>
      <c r="V218" s="97" t="s">
        <v>717</v>
      </c>
    </row>
    <row r="219" spans="1:22" s="42" customFormat="1" ht="45" x14ac:dyDescent="0.25">
      <c r="A219" s="27" t="s">
        <v>28</v>
      </c>
      <c r="B219" s="22" t="s">
        <v>605</v>
      </c>
      <c r="C219" s="52" t="s">
        <v>606</v>
      </c>
      <c r="D219" s="47">
        <v>0</v>
      </c>
      <c r="E219" s="47">
        <v>0</v>
      </c>
      <c r="F219" s="45" t="s">
        <v>50</v>
      </c>
      <c r="G219" s="47">
        <v>0</v>
      </c>
      <c r="H219" s="47">
        <v>0</v>
      </c>
      <c r="I219" s="47">
        <f t="shared" si="37"/>
        <v>0.21229489000000001</v>
      </c>
      <c r="J219" s="47">
        <v>0</v>
      </c>
      <c r="K219" s="47">
        <v>0</v>
      </c>
      <c r="L219" s="47">
        <v>0</v>
      </c>
      <c r="M219" s="45">
        <f>212.29489/1000</f>
        <v>0.21229489000000001</v>
      </c>
      <c r="N219" s="47">
        <v>0</v>
      </c>
      <c r="O219" s="45" t="s">
        <v>50</v>
      </c>
      <c r="P219" s="47">
        <v>0</v>
      </c>
      <c r="Q219" s="45" t="s">
        <v>50</v>
      </c>
      <c r="R219" s="45" t="s">
        <v>50</v>
      </c>
      <c r="S219" s="47">
        <f t="shared" si="39"/>
        <v>-0.21229489000000001</v>
      </c>
      <c r="T219" s="47">
        <f t="shared" si="40"/>
        <v>0.21229489000000001</v>
      </c>
      <c r="U219" s="48">
        <v>0</v>
      </c>
      <c r="V219" s="98"/>
    </row>
    <row r="220" spans="1:22" s="42" customFormat="1" ht="45" x14ac:dyDescent="0.25">
      <c r="A220" s="27" t="s">
        <v>28</v>
      </c>
      <c r="B220" s="22" t="s">
        <v>607</v>
      </c>
      <c r="C220" s="52" t="s">
        <v>608</v>
      </c>
      <c r="D220" s="47">
        <v>0</v>
      </c>
      <c r="E220" s="47">
        <v>0</v>
      </c>
      <c r="F220" s="45" t="s">
        <v>50</v>
      </c>
      <c r="G220" s="47">
        <v>0</v>
      </c>
      <c r="H220" s="47">
        <v>0</v>
      </c>
      <c r="I220" s="47">
        <f t="shared" si="37"/>
        <v>0.21394033999999998</v>
      </c>
      <c r="J220" s="47">
        <v>0</v>
      </c>
      <c r="K220" s="47">
        <v>0</v>
      </c>
      <c r="L220" s="47">
        <v>0</v>
      </c>
      <c r="M220" s="45">
        <f>213.94034/1000</f>
        <v>0.21394033999999998</v>
      </c>
      <c r="N220" s="47">
        <v>0</v>
      </c>
      <c r="O220" s="45" t="s">
        <v>50</v>
      </c>
      <c r="P220" s="47">
        <v>0</v>
      </c>
      <c r="Q220" s="45" t="s">
        <v>50</v>
      </c>
      <c r="R220" s="45" t="s">
        <v>50</v>
      </c>
      <c r="S220" s="47">
        <f t="shared" si="39"/>
        <v>-0.21394033999999998</v>
      </c>
      <c r="T220" s="47">
        <f t="shared" si="40"/>
        <v>0.21394033999999998</v>
      </c>
      <c r="U220" s="48">
        <v>0</v>
      </c>
      <c r="V220" s="98"/>
    </row>
    <row r="221" spans="1:22" s="42" customFormat="1" ht="45" x14ac:dyDescent="0.25">
      <c r="A221" s="27" t="s">
        <v>28</v>
      </c>
      <c r="B221" s="22" t="s">
        <v>609</v>
      </c>
      <c r="C221" s="52" t="s">
        <v>610</v>
      </c>
      <c r="D221" s="47">
        <v>0</v>
      </c>
      <c r="E221" s="47">
        <v>0</v>
      </c>
      <c r="F221" s="45" t="s">
        <v>50</v>
      </c>
      <c r="G221" s="47">
        <v>0</v>
      </c>
      <c r="H221" s="47">
        <v>0</v>
      </c>
      <c r="I221" s="47">
        <f t="shared" ref="I221:I284" si="44">K221+M221</f>
        <v>0.22107779999999999</v>
      </c>
      <c r="J221" s="47">
        <v>0</v>
      </c>
      <c r="K221" s="47">
        <v>0</v>
      </c>
      <c r="L221" s="47">
        <v>0</v>
      </c>
      <c r="M221" s="45">
        <f>221.0778/1000</f>
        <v>0.22107779999999999</v>
      </c>
      <c r="N221" s="47">
        <v>0</v>
      </c>
      <c r="O221" s="45" t="s">
        <v>50</v>
      </c>
      <c r="P221" s="47">
        <v>0</v>
      </c>
      <c r="Q221" s="45" t="s">
        <v>50</v>
      </c>
      <c r="R221" s="45" t="s">
        <v>50</v>
      </c>
      <c r="S221" s="47">
        <f t="shared" si="39"/>
        <v>-0.22107779999999999</v>
      </c>
      <c r="T221" s="47">
        <f t="shared" si="40"/>
        <v>0.22107779999999999</v>
      </c>
      <c r="U221" s="48">
        <v>0</v>
      </c>
      <c r="V221" s="98"/>
    </row>
    <row r="222" spans="1:22" s="42" customFormat="1" ht="45" x14ac:dyDescent="0.25">
      <c r="A222" s="27" t="s">
        <v>28</v>
      </c>
      <c r="B222" s="22" t="s">
        <v>611</v>
      </c>
      <c r="C222" s="52" t="s">
        <v>612</v>
      </c>
      <c r="D222" s="47">
        <v>0</v>
      </c>
      <c r="E222" s="47">
        <v>0</v>
      </c>
      <c r="F222" s="45" t="s">
        <v>50</v>
      </c>
      <c r="G222" s="47">
        <v>0</v>
      </c>
      <c r="H222" s="47">
        <v>0</v>
      </c>
      <c r="I222" s="47">
        <f t="shared" si="44"/>
        <v>1.233266E-2</v>
      </c>
      <c r="J222" s="47">
        <v>0</v>
      </c>
      <c r="K222" s="47">
        <v>0</v>
      </c>
      <c r="L222" s="47">
        <v>0</v>
      </c>
      <c r="M222" s="45">
        <f>12.33266/1000</f>
        <v>1.233266E-2</v>
      </c>
      <c r="N222" s="47">
        <v>0</v>
      </c>
      <c r="O222" s="45" t="s">
        <v>50</v>
      </c>
      <c r="P222" s="47">
        <v>0</v>
      </c>
      <c r="Q222" s="45" t="s">
        <v>50</v>
      </c>
      <c r="R222" s="45" t="s">
        <v>50</v>
      </c>
      <c r="S222" s="47">
        <f t="shared" si="39"/>
        <v>-1.233266E-2</v>
      </c>
      <c r="T222" s="47">
        <f t="shared" si="40"/>
        <v>1.233266E-2</v>
      </c>
      <c r="U222" s="48">
        <v>0</v>
      </c>
      <c r="V222" s="98"/>
    </row>
    <row r="223" spans="1:22" s="42" customFormat="1" ht="45" x14ac:dyDescent="0.25">
      <c r="A223" s="27" t="s">
        <v>28</v>
      </c>
      <c r="B223" s="22" t="s">
        <v>613</v>
      </c>
      <c r="C223" s="52" t="s">
        <v>614</v>
      </c>
      <c r="D223" s="47">
        <v>0</v>
      </c>
      <c r="E223" s="47">
        <v>0</v>
      </c>
      <c r="F223" s="45" t="s">
        <v>50</v>
      </c>
      <c r="G223" s="47">
        <v>0</v>
      </c>
      <c r="H223" s="47">
        <v>0</v>
      </c>
      <c r="I223" s="47">
        <f t="shared" si="44"/>
        <v>1.430677E-2</v>
      </c>
      <c r="J223" s="47">
        <v>0</v>
      </c>
      <c r="K223" s="47">
        <v>0</v>
      </c>
      <c r="L223" s="47">
        <v>0</v>
      </c>
      <c r="M223" s="45">
        <f>14.30677/1000</f>
        <v>1.430677E-2</v>
      </c>
      <c r="N223" s="47">
        <v>0</v>
      </c>
      <c r="O223" s="45" t="s">
        <v>50</v>
      </c>
      <c r="P223" s="47">
        <v>0</v>
      </c>
      <c r="Q223" s="45" t="s">
        <v>50</v>
      </c>
      <c r="R223" s="45" t="s">
        <v>50</v>
      </c>
      <c r="S223" s="47">
        <f t="shared" si="39"/>
        <v>-1.430677E-2</v>
      </c>
      <c r="T223" s="47">
        <f t="shared" si="40"/>
        <v>1.430677E-2</v>
      </c>
      <c r="U223" s="48">
        <v>0</v>
      </c>
      <c r="V223" s="98"/>
    </row>
    <row r="224" spans="1:22" s="42" customFormat="1" ht="45" x14ac:dyDescent="0.25">
      <c r="A224" s="27" t="s">
        <v>28</v>
      </c>
      <c r="B224" s="22" t="s">
        <v>615</v>
      </c>
      <c r="C224" s="52" t="s">
        <v>616</v>
      </c>
      <c r="D224" s="47">
        <v>0</v>
      </c>
      <c r="E224" s="47">
        <v>0</v>
      </c>
      <c r="F224" s="45" t="s">
        <v>50</v>
      </c>
      <c r="G224" s="47">
        <v>0</v>
      </c>
      <c r="H224" s="47">
        <v>0</v>
      </c>
      <c r="I224" s="47">
        <f t="shared" si="44"/>
        <v>1.264E-2</v>
      </c>
      <c r="J224" s="47">
        <v>0</v>
      </c>
      <c r="K224" s="47">
        <v>0</v>
      </c>
      <c r="L224" s="47">
        <v>0</v>
      </c>
      <c r="M224" s="45">
        <f>12.64/1000</f>
        <v>1.264E-2</v>
      </c>
      <c r="N224" s="47">
        <v>0</v>
      </c>
      <c r="O224" s="45" t="s">
        <v>50</v>
      </c>
      <c r="P224" s="47">
        <v>0</v>
      </c>
      <c r="Q224" s="45" t="s">
        <v>50</v>
      </c>
      <c r="R224" s="45" t="s">
        <v>50</v>
      </c>
      <c r="S224" s="47">
        <f t="shared" si="39"/>
        <v>-1.264E-2</v>
      </c>
      <c r="T224" s="47">
        <f t="shared" si="40"/>
        <v>1.264E-2</v>
      </c>
      <c r="U224" s="48">
        <v>0</v>
      </c>
      <c r="V224" s="99"/>
    </row>
    <row r="225" spans="1:22" ht="45" x14ac:dyDescent="0.25">
      <c r="A225" s="29" t="s">
        <v>28</v>
      </c>
      <c r="B225" s="30" t="s">
        <v>181</v>
      </c>
      <c r="C225" s="43" t="s">
        <v>182</v>
      </c>
      <c r="D225" s="47">
        <v>0.40798827937780463</v>
      </c>
      <c r="E225" s="47">
        <v>0</v>
      </c>
      <c r="F225" s="45" t="s">
        <v>50</v>
      </c>
      <c r="G225" s="47">
        <f t="shared" si="42"/>
        <v>3.1741488135593192</v>
      </c>
      <c r="H225" s="47">
        <f t="shared" si="43"/>
        <v>3.1741488135593192</v>
      </c>
      <c r="I225" s="47">
        <f t="shared" si="44"/>
        <v>0</v>
      </c>
      <c r="J225" s="47">
        <v>0.31741488135593193</v>
      </c>
      <c r="K225" s="47">
        <v>0</v>
      </c>
      <c r="L225" s="47">
        <v>0.95224464406779563</v>
      </c>
      <c r="M225" s="45">
        <v>0</v>
      </c>
      <c r="N225" s="47">
        <v>0.95224464406779563</v>
      </c>
      <c r="O225" s="45" t="s">
        <v>50</v>
      </c>
      <c r="P225" s="47">
        <v>0.95224464406779563</v>
      </c>
      <c r="Q225" s="45" t="s">
        <v>50</v>
      </c>
      <c r="R225" s="45" t="s">
        <v>50</v>
      </c>
      <c r="S225" s="47">
        <f t="shared" si="39"/>
        <v>3.1741488135593192</v>
      </c>
      <c r="T225" s="47">
        <f t="shared" si="40"/>
        <v>-1.2696595254237275</v>
      </c>
      <c r="U225" s="48">
        <f t="shared" si="41"/>
        <v>-100</v>
      </c>
      <c r="V225" s="97" t="s">
        <v>717</v>
      </c>
    </row>
    <row r="226" spans="1:22" s="42" customFormat="1" ht="45" x14ac:dyDescent="0.25">
      <c r="A226" s="27" t="s">
        <v>28</v>
      </c>
      <c r="B226" s="22" t="s">
        <v>617</v>
      </c>
      <c r="C226" s="52" t="s">
        <v>606</v>
      </c>
      <c r="D226" s="47">
        <v>0</v>
      </c>
      <c r="E226" s="47">
        <v>0</v>
      </c>
      <c r="F226" s="45" t="s">
        <v>50</v>
      </c>
      <c r="G226" s="47">
        <v>0</v>
      </c>
      <c r="H226" s="47">
        <v>0</v>
      </c>
      <c r="I226" s="47">
        <f t="shared" si="44"/>
        <v>0.28589958000000004</v>
      </c>
      <c r="J226" s="47">
        <v>0</v>
      </c>
      <c r="K226" s="47">
        <v>0</v>
      </c>
      <c r="L226" s="47">
        <v>0</v>
      </c>
      <c r="M226" s="45">
        <f>285.89958/1000</f>
        <v>0.28589958000000004</v>
      </c>
      <c r="N226" s="47">
        <v>0</v>
      </c>
      <c r="O226" s="45" t="s">
        <v>50</v>
      </c>
      <c r="P226" s="47">
        <v>0</v>
      </c>
      <c r="Q226" s="45" t="s">
        <v>50</v>
      </c>
      <c r="R226" s="45" t="s">
        <v>50</v>
      </c>
      <c r="S226" s="47">
        <f t="shared" si="39"/>
        <v>-0.28589958000000004</v>
      </c>
      <c r="T226" s="47">
        <f t="shared" si="40"/>
        <v>0.28589958000000004</v>
      </c>
      <c r="U226" s="48">
        <v>0</v>
      </c>
      <c r="V226" s="98"/>
    </row>
    <row r="227" spans="1:22" s="42" customFormat="1" ht="45" x14ac:dyDescent="0.25">
      <c r="A227" s="27" t="s">
        <v>28</v>
      </c>
      <c r="B227" s="22" t="s">
        <v>618</v>
      </c>
      <c r="C227" s="52" t="s">
        <v>612</v>
      </c>
      <c r="D227" s="47">
        <v>0</v>
      </c>
      <c r="E227" s="47">
        <v>0</v>
      </c>
      <c r="F227" s="45" t="s">
        <v>50</v>
      </c>
      <c r="G227" s="47">
        <v>0</v>
      </c>
      <c r="H227" s="47">
        <v>0</v>
      </c>
      <c r="I227" s="47">
        <f t="shared" si="44"/>
        <v>0.32922651000000003</v>
      </c>
      <c r="J227" s="47">
        <v>0</v>
      </c>
      <c r="K227" s="47">
        <v>0</v>
      </c>
      <c r="L227" s="47">
        <v>0</v>
      </c>
      <c r="M227" s="45">
        <f>329.22651/1000</f>
        <v>0.32922651000000003</v>
      </c>
      <c r="N227" s="47">
        <v>0</v>
      </c>
      <c r="O227" s="45" t="s">
        <v>50</v>
      </c>
      <c r="P227" s="47">
        <v>0</v>
      </c>
      <c r="Q227" s="45" t="s">
        <v>50</v>
      </c>
      <c r="R227" s="45" t="s">
        <v>50</v>
      </c>
      <c r="S227" s="47">
        <f t="shared" si="39"/>
        <v>-0.32922651000000003</v>
      </c>
      <c r="T227" s="47">
        <f t="shared" si="40"/>
        <v>0.32922651000000003</v>
      </c>
      <c r="U227" s="48">
        <v>0</v>
      </c>
      <c r="V227" s="99"/>
    </row>
    <row r="228" spans="1:22" ht="57" x14ac:dyDescent="0.25">
      <c r="A228" s="10" t="s">
        <v>29</v>
      </c>
      <c r="B228" s="13" t="s">
        <v>187</v>
      </c>
      <c r="C228" s="14" t="s">
        <v>52</v>
      </c>
      <c r="D228" s="49">
        <v>12.776977409214091</v>
      </c>
      <c r="E228" s="49">
        <f>E229</f>
        <v>6.5520720479999994</v>
      </c>
      <c r="F228" s="44" t="s">
        <v>50</v>
      </c>
      <c r="G228" s="49">
        <f t="shared" si="42"/>
        <v>97.9893091</v>
      </c>
      <c r="H228" s="49">
        <f t="shared" si="43"/>
        <v>97.9893091</v>
      </c>
      <c r="I228" s="49">
        <f t="shared" si="44"/>
        <v>14.529395189999999</v>
      </c>
      <c r="J228" s="49">
        <v>5.7581951699999996</v>
      </c>
      <c r="K228" s="49">
        <f>K229</f>
        <v>6.1870336900000007</v>
      </c>
      <c r="L228" s="49">
        <v>59.702632790000003</v>
      </c>
      <c r="M228" s="44">
        <f>M229</f>
        <v>8.3423614999999973</v>
      </c>
      <c r="N228" s="49">
        <v>12.501638230000001</v>
      </c>
      <c r="O228" s="44" t="s">
        <v>50</v>
      </c>
      <c r="P228" s="49">
        <v>20.026842910000003</v>
      </c>
      <c r="Q228" s="44" t="s">
        <v>50</v>
      </c>
      <c r="R228" s="44" t="s">
        <v>50</v>
      </c>
      <c r="S228" s="49">
        <f t="shared" si="39"/>
        <v>83.459913909999997</v>
      </c>
      <c r="T228" s="49">
        <f t="shared" si="40"/>
        <v>-50.931432770000001</v>
      </c>
      <c r="U228" s="37">
        <f t="shared" si="41"/>
        <v>-77.804443294120546</v>
      </c>
      <c r="V228" s="38" t="s">
        <v>50</v>
      </c>
    </row>
    <row r="229" spans="1:22" ht="42.75" x14ac:dyDescent="0.25">
      <c r="A229" s="10" t="s">
        <v>188</v>
      </c>
      <c r="B229" s="13" t="s">
        <v>189</v>
      </c>
      <c r="C229" s="14" t="s">
        <v>52</v>
      </c>
      <c r="D229" s="49">
        <v>12.776977409214091</v>
      </c>
      <c r="E229" s="49">
        <f>SUM(E230:E302)</f>
        <v>6.5520720479999994</v>
      </c>
      <c r="F229" s="44" t="s">
        <v>50</v>
      </c>
      <c r="G229" s="49">
        <f t="shared" ref="G229:Q229" si="45">SUM(G230:G302)</f>
        <v>97.989309100000014</v>
      </c>
      <c r="H229" s="49">
        <f t="shared" si="45"/>
        <v>97.989309100000014</v>
      </c>
      <c r="I229" s="49">
        <f t="shared" si="44"/>
        <v>14.529395189999999</v>
      </c>
      <c r="J229" s="49">
        <f t="shared" si="45"/>
        <v>5.7581951699999996</v>
      </c>
      <c r="K229" s="49">
        <f t="shared" si="45"/>
        <v>6.1870336900000007</v>
      </c>
      <c r="L229" s="49">
        <f t="shared" si="45"/>
        <v>59.702632789999988</v>
      </c>
      <c r="M229" s="49">
        <f>SUM(M230:M314)</f>
        <v>8.3423614999999973</v>
      </c>
      <c r="N229" s="49">
        <f t="shared" si="45"/>
        <v>12.501638229999999</v>
      </c>
      <c r="O229" s="44" t="s">
        <v>50</v>
      </c>
      <c r="P229" s="49">
        <f t="shared" si="45"/>
        <v>20.026842909999999</v>
      </c>
      <c r="Q229" s="49">
        <f t="shared" si="45"/>
        <v>0</v>
      </c>
      <c r="R229" s="44" t="s">
        <v>50</v>
      </c>
      <c r="S229" s="49">
        <f t="shared" si="39"/>
        <v>83.459913910000012</v>
      </c>
      <c r="T229" s="49">
        <f t="shared" si="40"/>
        <v>-50.931432769999986</v>
      </c>
      <c r="U229" s="37">
        <f t="shared" si="41"/>
        <v>-77.804443294120532</v>
      </c>
      <c r="V229" s="38" t="s">
        <v>50</v>
      </c>
    </row>
    <row r="230" spans="1:22" s="42" customFormat="1" ht="30" x14ac:dyDescent="0.25">
      <c r="A230" s="18" t="s">
        <v>188</v>
      </c>
      <c r="B230" s="19" t="s">
        <v>540</v>
      </c>
      <c r="C230" s="51" t="s">
        <v>541</v>
      </c>
      <c r="D230" s="47">
        <v>0</v>
      </c>
      <c r="E230" s="47">
        <f>19749.72*1.2/1000000</f>
        <v>2.3699664000000002E-2</v>
      </c>
      <c r="F230" s="45" t="s">
        <v>50</v>
      </c>
      <c r="G230" s="47">
        <v>0</v>
      </c>
      <c r="H230" s="47">
        <v>0</v>
      </c>
      <c r="I230" s="47">
        <f t="shared" si="44"/>
        <v>0</v>
      </c>
      <c r="J230" s="47">
        <v>0</v>
      </c>
      <c r="K230" s="47">
        <v>0</v>
      </c>
      <c r="L230" s="47">
        <v>0</v>
      </c>
      <c r="M230" s="47">
        <v>0</v>
      </c>
      <c r="N230" s="47">
        <v>0</v>
      </c>
      <c r="O230" s="45" t="s">
        <v>50</v>
      </c>
      <c r="P230" s="47">
        <v>0</v>
      </c>
      <c r="Q230" s="47">
        <v>0</v>
      </c>
      <c r="R230" s="45" t="s">
        <v>50</v>
      </c>
      <c r="S230" s="47">
        <f t="shared" si="39"/>
        <v>0</v>
      </c>
      <c r="T230" s="47">
        <f t="shared" si="40"/>
        <v>0</v>
      </c>
      <c r="U230" s="48">
        <v>0</v>
      </c>
      <c r="V230" s="46" t="s">
        <v>50</v>
      </c>
    </row>
    <row r="231" spans="1:22" s="42" customFormat="1" ht="30" x14ac:dyDescent="0.25">
      <c r="A231" s="18" t="s">
        <v>188</v>
      </c>
      <c r="B231" s="19" t="s">
        <v>542</v>
      </c>
      <c r="C231" s="51" t="s">
        <v>543</v>
      </c>
      <c r="D231" s="47">
        <v>0</v>
      </c>
      <c r="E231" s="47">
        <f>33654.68*1.2/1000000</f>
        <v>4.0385615999999999E-2</v>
      </c>
      <c r="F231" s="45" t="s">
        <v>50</v>
      </c>
      <c r="G231" s="47">
        <v>0</v>
      </c>
      <c r="H231" s="47">
        <v>0</v>
      </c>
      <c r="I231" s="47">
        <f t="shared" si="44"/>
        <v>0</v>
      </c>
      <c r="J231" s="47">
        <v>0</v>
      </c>
      <c r="K231" s="47">
        <v>0</v>
      </c>
      <c r="L231" s="47">
        <v>0</v>
      </c>
      <c r="M231" s="47">
        <v>0</v>
      </c>
      <c r="N231" s="47">
        <v>0</v>
      </c>
      <c r="O231" s="45" t="s">
        <v>50</v>
      </c>
      <c r="P231" s="47">
        <v>0</v>
      </c>
      <c r="Q231" s="47">
        <v>0</v>
      </c>
      <c r="R231" s="45" t="s">
        <v>50</v>
      </c>
      <c r="S231" s="47">
        <f t="shared" si="39"/>
        <v>0</v>
      </c>
      <c r="T231" s="47">
        <f t="shared" si="40"/>
        <v>0</v>
      </c>
      <c r="U231" s="48">
        <v>0</v>
      </c>
      <c r="V231" s="46" t="s">
        <v>50</v>
      </c>
    </row>
    <row r="232" spans="1:22" s="42" customFormat="1" ht="45" x14ac:dyDescent="0.25">
      <c r="A232" s="18" t="s">
        <v>188</v>
      </c>
      <c r="B232" s="19" t="s">
        <v>420</v>
      </c>
      <c r="C232" s="51" t="s">
        <v>544</v>
      </c>
      <c r="D232" s="47">
        <v>0</v>
      </c>
      <c r="E232" s="47">
        <f>13688.2*1.2/1000000</f>
        <v>1.6425840000000001E-2</v>
      </c>
      <c r="F232" s="45" t="s">
        <v>50</v>
      </c>
      <c r="G232" s="47">
        <v>0</v>
      </c>
      <c r="H232" s="47">
        <v>0</v>
      </c>
      <c r="I232" s="47">
        <f t="shared" si="44"/>
        <v>0</v>
      </c>
      <c r="J232" s="47">
        <v>0</v>
      </c>
      <c r="K232" s="47">
        <v>0</v>
      </c>
      <c r="L232" s="47">
        <v>0</v>
      </c>
      <c r="M232" s="47">
        <v>0</v>
      </c>
      <c r="N232" s="47">
        <v>0</v>
      </c>
      <c r="O232" s="45" t="s">
        <v>50</v>
      </c>
      <c r="P232" s="47">
        <v>0</v>
      </c>
      <c r="Q232" s="47">
        <v>0</v>
      </c>
      <c r="R232" s="45" t="s">
        <v>50</v>
      </c>
      <c r="S232" s="47">
        <f t="shared" si="39"/>
        <v>0</v>
      </c>
      <c r="T232" s="47">
        <f t="shared" si="40"/>
        <v>0</v>
      </c>
      <c r="U232" s="48">
        <v>0</v>
      </c>
      <c r="V232" s="46" t="s">
        <v>50</v>
      </c>
    </row>
    <row r="233" spans="1:22" s="42" customFormat="1" ht="45" x14ac:dyDescent="0.25">
      <c r="A233" s="18" t="s">
        <v>188</v>
      </c>
      <c r="B233" s="19" t="s">
        <v>545</v>
      </c>
      <c r="C233" s="51" t="s">
        <v>546</v>
      </c>
      <c r="D233" s="47">
        <v>0</v>
      </c>
      <c r="E233" s="47">
        <f>46606.37*1.2/1000000</f>
        <v>5.5927643999999999E-2</v>
      </c>
      <c r="F233" s="45" t="s">
        <v>50</v>
      </c>
      <c r="G233" s="47">
        <v>0</v>
      </c>
      <c r="H233" s="47">
        <v>0</v>
      </c>
      <c r="I233" s="47">
        <f t="shared" si="44"/>
        <v>0</v>
      </c>
      <c r="J233" s="47">
        <v>0</v>
      </c>
      <c r="K233" s="47">
        <v>0</v>
      </c>
      <c r="L233" s="47">
        <v>0</v>
      </c>
      <c r="M233" s="47">
        <v>0</v>
      </c>
      <c r="N233" s="47">
        <v>0</v>
      </c>
      <c r="O233" s="45" t="s">
        <v>50</v>
      </c>
      <c r="P233" s="47">
        <v>0</v>
      </c>
      <c r="Q233" s="47">
        <v>0</v>
      </c>
      <c r="R233" s="45" t="s">
        <v>50</v>
      </c>
      <c r="S233" s="47">
        <f t="shared" si="39"/>
        <v>0</v>
      </c>
      <c r="T233" s="47">
        <f t="shared" si="40"/>
        <v>0</v>
      </c>
      <c r="U233" s="48">
        <v>0</v>
      </c>
      <c r="V233" s="46" t="s">
        <v>50</v>
      </c>
    </row>
    <row r="234" spans="1:22" s="42" customFormat="1" ht="30" x14ac:dyDescent="0.25">
      <c r="A234" s="18" t="s">
        <v>188</v>
      </c>
      <c r="B234" s="33" t="s">
        <v>547</v>
      </c>
      <c r="C234" s="43" t="s">
        <v>548</v>
      </c>
      <c r="D234" s="47">
        <v>0</v>
      </c>
      <c r="E234" s="47">
        <f>14778.45*1.2/1000000</f>
        <v>1.7734139999999999E-2</v>
      </c>
      <c r="F234" s="45" t="s">
        <v>50</v>
      </c>
      <c r="G234" s="47">
        <v>0</v>
      </c>
      <c r="H234" s="47">
        <v>0</v>
      </c>
      <c r="I234" s="47">
        <f t="shared" si="44"/>
        <v>0</v>
      </c>
      <c r="J234" s="47">
        <v>0</v>
      </c>
      <c r="K234" s="47">
        <v>0</v>
      </c>
      <c r="L234" s="47">
        <v>0</v>
      </c>
      <c r="M234" s="47">
        <v>0</v>
      </c>
      <c r="N234" s="47">
        <v>0</v>
      </c>
      <c r="O234" s="45" t="s">
        <v>50</v>
      </c>
      <c r="P234" s="47">
        <v>0</v>
      </c>
      <c r="Q234" s="47">
        <v>0</v>
      </c>
      <c r="R234" s="45" t="s">
        <v>50</v>
      </c>
      <c r="S234" s="47">
        <f t="shared" si="39"/>
        <v>0</v>
      </c>
      <c r="T234" s="47">
        <f t="shared" si="40"/>
        <v>0</v>
      </c>
      <c r="U234" s="48">
        <v>0</v>
      </c>
      <c r="V234" s="46" t="s">
        <v>50</v>
      </c>
    </row>
    <row r="235" spans="1:22" s="42" customFormat="1" ht="30" x14ac:dyDescent="0.25">
      <c r="A235" s="18" t="s">
        <v>188</v>
      </c>
      <c r="B235" s="33" t="s">
        <v>549</v>
      </c>
      <c r="C235" s="43" t="s">
        <v>550</v>
      </c>
      <c r="D235" s="47">
        <v>0</v>
      </c>
      <c r="E235" s="47">
        <f>16276.32*1.2/1000000</f>
        <v>1.9531583999999998E-2</v>
      </c>
      <c r="F235" s="45" t="s">
        <v>50</v>
      </c>
      <c r="G235" s="47">
        <v>0</v>
      </c>
      <c r="H235" s="47">
        <v>0</v>
      </c>
      <c r="I235" s="47">
        <f t="shared" si="44"/>
        <v>0</v>
      </c>
      <c r="J235" s="47">
        <v>0</v>
      </c>
      <c r="K235" s="47">
        <v>0</v>
      </c>
      <c r="L235" s="47">
        <v>0</v>
      </c>
      <c r="M235" s="47">
        <v>0</v>
      </c>
      <c r="N235" s="47">
        <v>0</v>
      </c>
      <c r="O235" s="45" t="s">
        <v>50</v>
      </c>
      <c r="P235" s="47">
        <v>0</v>
      </c>
      <c r="Q235" s="47">
        <v>0</v>
      </c>
      <c r="R235" s="45" t="s">
        <v>50</v>
      </c>
      <c r="S235" s="47">
        <f t="shared" si="39"/>
        <v>0</v>
      </c>
      <c r="T235" s="47">
        <f t="shared" si="40"/>
        <v>0</v>
      </c>
      <c r="U235" s="48">
        <v>0</v>
      </c>
      <c r="V235" s="46" t="s">
        <v>50</v>
      </c>
    </row>
    <row r="236" spans="1:22" s="42" customFormat="1" x14ac:dyDescent="0.25">
      <c r="A236" s="18" t="s">
        <v>188</v>
      </c>
      <c r="B236" s="33" t="s">
        <v>551</v>
      </c>
      <c r="C236" s="43" t="s">
        <v>552</v>
      </c>
      <c r="D236" s="47">
        <v>0</v>
      </c>
      <c r="E236" s="47">
        <f>18116.35*1.2/1000000</f>
        <v>2.1739619999999998E-2</v>
      </c>
      <c r="F236" s="45" t="s">
        <v>50</v>
      </c>
      <c r="G236" s="47">
        <v>0</v>
      </c>
      <c r="H236" s="47">
        <v>0</v>
      </c>
      <c r="I236" s="47">
        <f t="shared" si="44"/>
        <v>0</v>
      </c>
      <c r="J236" s="47">
        <v>0</v>
      </c>
      <c r="K236" s="47">
        <v>0</v>
      </c>
      <c r="L236" s="47">
        <v>0</v>
      </c>
      <c r="M236" s="47">
        <v>0</v>
      </c>
      <c r="N236" s="47">
        <v>0</v>
      </c>
      <c r="O236" s="45" t="s">
        <v>50</v>
      </c>
      <c r="P236" s="47">
        <v>0</v>
      </c>
      <c r="Q236" s="47">
        <v>0</v>
      </c>
      <c r="R236" s="45" t="s">
        <v>50</v>
      </c>
      <c r="S236" s="47">
        <f t="shared" si="39"/>
        <v>0</v>
      </c>
      <c r="T236" s="47">
        <f t="shared" si="40"/>
        <v>0</v>
      </c>
      <c r="U236" s="48">
        <v>0</v>
      </c>
      <c r="V236" s="46" t="s">
        <v>50</v>
      </c>
    </row>
    <row r="237" spans="1:22" s="42" customFormat="1" x14ac:dyDescent="0.25">
      <c r="A237" s="18" t="s">
        <v>188</v>
      </c>
      <c r="B237" s="33" t="s">
        <v>553</v>
      </c>
      <c r="C237" s="51" t="s">
        <v>554</v>
      </c>
      <c r="D237" s="47">
        <v>0</v>
      </c>
      <c r="E237" s="47">
        <f>19037.35*1.2/1000000</f>
        <v>2.2844819999999995E-2</v>
      </c>
      <c r="F237" s="45" t="s">
        <v>50</v>
      </c>
      <c r="G237" s="47">
        <v>0</v>
      </c>
      <c r="H237" s="47">
        <v>0</v>
      </c>
      <c r="I237" s="47">
        <f t="shared" si="44"/>
        <v>0</v>
      </c>
      <c r="J237" s="47">
        <v>0</v>
      </c>
      <c r="K237" s="47">
        <v>0</v>
      </c>
      <c r="L237" s="47">
        <v>0</v>
      </c>
      <c r="M237" s="47">
        <v>0</v>
      </c>
      <c r="N237" s="47">
        <v>0</v>
      </c>
      <c r="O237" s="45" t="s">
        <v>50</v>
      </c>
      <c r="P237" s="47">
        <v>0</v>
      </c>
      <c r="Q237" s="47">
        <v>0</v>
      </c>
      <c r="R237" s="45" t="s">
        <v>50</v>
      </c>
      <c r="S237" s="47">
        <f t="shared" si="39"/>
        <v>0</v>
      </c>
      <c r="T237" s="47">
        <f t="shared" si="40"/>
        <v>0</v>
      </c>
      <c r="U237" s="48">
        <v>0</v>
      </c>
      <c r="V237" s="46" t="s">
        <v>50</v>
      </c>
    </row>
    <row r="238" spans="1:22" s="42" customFormat="1" x14ac:dyDescent="0.25">
      <c r="A238" s="18" t="s">
        <v>188</v>
      </c>
      <c r="B238" s="33" t="s">
        <v>555</v>
      </c>
      <c r="C238" s="51" t="s">
        <v>556</v>
      </c>
      <c r="D238" s="47">
        <v>0</v>
      </c>
      <c r="E238" s="47">
        <f>90852.24*1.2/1000000</f>
        <v>0.10902268800000001</v>
      </c>
      <c r="F238" s="45" t="s">
        <v>50</v>
      </c>
      <c r="G238" s="47">
        <v>0</v>
      </c>
      <c r="H238" s="47">
        <v>0</v>
      </c>
      <c r="I238" s="47">
        <f t="shared" si="44"/>
        <v>0</v>
      </c>
      <c r="J238" s="47">
        <v>0</v>
      </c>
      <c r="K238" s="47">
        <v>0</v>
      </c>
      <c r="L238" s="47">
        <v>0</v>
      </c>
      <c r="M238" s="47">
        <v>0</v>
      </c>
      <c r="N238" s="47">
        <v>0</v>
      </c>
      <c r="O238" s="45" t="s">
        <v>50</v>
      </c>
      <c r="P238" s="47">
        <v>0</v>
      </c>
      <c r="Q238" s="47">
        <v>0</v>
      </c>
      <c r="R238" s="45" t="s">
        <v>50</v>
      </c>
      <c r="S238" s="47">
        <f t="shared" si="39"/>
        <v>0</v>
      </c>
      <c r="T238" s="47">
        <f t="shared" si="40"/>
        <v>0</v>
      </c>
      <c r="U238" s="48">
        <v>0</v>
      </c>
      <c r="V238" s="46" t="s">
        <v>50</v>
      </c>
    </row>
    <row r="239" spans="1:22" ht="45" x14ac:dyDescent="0.25">
      <c r="A239" s="27" t="s">
        <v>188</v>
      </c>
      <c r="B239" s="22" t="s">
        <v>409</v>
      </c>
      <c r="C239" s="52" t="s">
        <v>410</v>
      </c>
      <c r="D239" s="47">
        <v>0</v>
      </c>
      <c r="E239" s="47">
        <v>0</v>
      </c>
      <c r="F239" s="45" t="s">
        <v>50</v>
      </c>
      <c r="G239" s="47">
        <f t="shared" si="42"/>
        <v>0</v>
      </c>
      <c r="H239" s="47">
        <f t="shared" si="43"/>
        <v>0</v>
      </c>
      <c r="I239" s="47">
        <f t="shared" si="44"/>
        <v>0.1476577</v>
      </c>
      <c r="J239" s="47">
        <v>0</v>
      </c>
      <c r="K239" s="47">
        <f>147.6577/1000</f>
        <v>0.1476577</v>
      </c>
      <c r="L239" s="47">
        <v>0</v>
      </c>
      <c r="M239" s="45">
        <v>0</v>
      </c>
      <c r="N239" s="47">
        <v>0</v>
      </c>
      <c r="O239" s="45" t="s">
        <v>50</v>
      </c>
      <c r="P239" s="47">
        <v>0</v>
      </c>
      <c r="Q239" s="45" t="s">
        <v>50</v>
      </c>
      <c r="R239" s="45" t="s">
        <v>50</v>
      </c>
      <c r="S239" s="47">
        <f t="shared" si="39"/>
        <v>-0.1476577</v>
      </c>
      <c r="T239" s="47">
        <f t="shared" si="40"/>
        <v>0.1476577</v>
      </c>
      <c r="U239" s="48">
        <v>0</v>
      </c>
      <c r="V239" s="40" t="s">
        <v>437</v>
      </c>
    </row>
    <row r="240" spans="1:22" ht="45" x14ac:dyDescent="0.25">
      <c r="A240" s="56" t="s">
        <v>188</v>
      </c>
      <c r="B240" s="22" t="s">
        <v>411</v>
      </c>
      <c r="C240" s="55" t="s">
        <v>412</v>
      </c>
      <c r="D240" s="47">
        <v>0</v>
      </c>
      <c r="E240" s="47">
        <v>0</v>
      </c>
      <c r="F240" s="45" t="s">
        <v>50</v>
      </c>
      <c r="G240" s="47">
        <f t="shared" si="42"/>
        <v>0</v>
      </c>
      <c r="H240" s="47">
        <f t="shared" si="43"/>
        <v>0</v>
      </c>
      <c r="I240" s="47">
        <f t="shared" si="44"/>
        <v>0.39427714999999997</v>
      </c>
      <c r="J240" s="47">
        <v>0</v>
      </c>
      <c r="K240" s="47">
        <f>375.18735/1000</f>
        <v>0.37518734999999998</v>
      </c>
      <c r="L240" s="47">
        <v>0</v>
      </c>
      <c r="M240" s="45">
        <f>19.0898/1000</f>
        <v>1.9089800000000001E-2</v>
      </c>
      <c r="N240" s="47">
        <v>0</v>
      </c>
      <c r="O240" s="45" t="s">
        <v>50</v>
      </c>
      <c r="P240" s="47">
        <v>0</v>
      </c>
      <c r="Q240" s="45" t="s">
        <v>50</v>
      </c>
      <c r="R240" s="45" t="s">
        <v>50</v>
      </c>
      <c r="S240" s="47">
        <f t="shared" si="39"/>
        <v>-0.39427714999999997</v>
      </c>
      <c r="T240" s="47">
        <f t="shared" si="40"/>
        <v>0.39427714999999997</v>
      </c>
      <c r="U240" s="48">
        <v>0</v>
      </c>
      <c r="V240" s="40" t="s">
        <v>437</v>
      </c>
    </row>
    <row r="241" spans="1:22" ht="63" x14ac:dyDescent="0.25">
      <c r="A241" s="56" t="s">
        <v>188</v>
      </c>
      <c r="B241" s="53" t="s">
        <v>413</v>
      </c>
      <c r="C241" s="54" t="s">
        <v>414</v>
      </c>
      <c r="D241" s="47">
        <v>0</v>
      </c>
      <c r="E241" s="47">
        <v>0</v>
      </c>
      <c r="F241" s="45" t="s">
        <v>50</v>
      </c>
      <c r="G241" s="47">
        <f t="shared" si="42"/>
        <v>0</v>
      </c>
      <c r="H241" s="47">
        <f t="shared" si="43"/>
        <v>0</v>
      </c>
      <c r="I241" s="47">
        <f t="shared" si="44"/>
        <v>2.2242229999999998E-2</v>
      </c>
      <c r="J241" s="47">
        <v>0</v>
      </c>
      <c r="K241" s="47">
        <f>22.24223/1000</f>
        <v>2.2242229999999998E-2</v>
      </c>
      <c r="L241" s="47">
        <v>0</v>
      </c>
      <c r="M241" s="45">
        <v>0</v>
      </c>
      <c r="N241" s="47">
        <v>0</v>
      </c>
      <c r="O241" s="45" t="s">
        <v>50</v>
      </c>
      <c r="P241" s="47">
        <v>0</v>
      </c>
      <c r="Q241" s="45" t="s">
        <v>50</v>
      </c>
      <c r="R241" s="45" t="s">
        <v>50</v>
      </c>
      <c r="S241" s="47">
        <f t="shared" si="39"/>
        <v>-2.2242229999999998E-2</v>
      </c>
      <c r="T241" s="47">
        <f t="shared" si="40"/>
        <v>2.2242229999999998E-2</v>
      </c>
      <c r="U241" s="48">
        <v>0</v>
      </c>
      <c r="V241" s="40" t="s">
        <v>437</v>
      </c>
    </row>
    <row r="242" spans="1:22" ht="45" x14ac:dyDescent="0.25">
      <c r="A242" s="29" t="s">
        <v>188</v>
      </c>
      <c r="B242" s="30" t="s">
        <v>190</v>
      </c>
      <c r="C242" s="43" t="s">
        <v>191</v>
      </c>
      <c r="D242" s="47">
        <v>9.1352279674796727E-2</v>
      </c>
      <c r="E242" s="47">
        <f>17761*1.2/1000000</f>
        <v>2.1313200000000001E-2</v>
      </c>
      <c r="F242" s="45" t="s">
        <v>50</v>
      </c>
      <c r="G242" s="47">
        <f t="shared" si="42"/>
        <v>0.56181652000000004</v>
      </c>
      <c r="H242" s="47">
        <f t="shared" si="43"/>
        <v>0.56181652000000004</v>
      </c>
      <c r="I242" s="47">
        <f t="shared" si="44"/>
        <v>0.15344245000000001</v>
      </c>
      <c r="J242" s="47">
        <v>9.4478179999999995E-2</v>
      </c>
      <c r="K242" s="47">
        <v>0</v>
      </c>
      <c r="L242" s="47">
        <v>0.46733834000000002</v>
      </c>
      <c r="M242" s="45">
        <f>153.44245/1000</f>
        <v>0.15344245000000001</v>
      </c>
      <c r="N242" s="47">
        <v>0</v>
      </c>
      <c r="O242" s="45" t="s">
        <v>50</v>
      </c>
      <c r="P242" s="47">
        <v>0</v>
      </c>
      <c r="Q242" s="45" t="s">
        <v>50</v>
      </c>
      <c r="R242" s="45" t="s">
        <v>50</v>
      </c>
      <c r="S242" s="47">
        <f t="shared" si="39"/>
        <v>0.40837407000000003</v>
      </c>
      <c r="T242" s="47">
        <f t="shared" si="40"/>
        <v>-0.40837407000000003</v>
      </c>
      <c r="U242" s="48">
        <f t="shared" si="41"/>
        <v>-72.688156268526953</v>
      </c>
      <c r="V242" s="41" t="s">
        <v>442</v>
      </c>
    </row>
    <row r="243" spans="1:22" ht="45" x14ac:dyDescent="0.25">
      <c r="A243" s="21" t="s">
        <v>188</v>
      </c>
      <c r="B243" s="22" t="s">
        <v>192</v>
      </c>
      <c r="C243" s="23" t="s">
        <v>193</v>
      </c>
      <c r="D243" s="47">
        <v>0.56213309430894298</v>
      </c>
      <c r="E243" s="47">
        <f>29215*1.2/1000000</f>
        <v>3.5057999999999999E-2</v>
      </c>
      <c r="F243" s="45" t="s">
        <v>50</v>
      </c>
      <c r="G243" s="47">
        <f t="shared" si="42"/>
        <v>3.4571185299999998</v>
      </c>
      <c r="H243" s="47">
        <f t="shared" si="43"/>
        <v>3.4571185299999998</v>
      </c>
      <c r="I243" s="47">
        <f t="shared" si="44"/>
        <v>0</v>
      </c>
      <c r="J243" s="47">
        <v>0.23491747000000004</v>
      </c>
      <c r="K243" s="47">
        <v>0</v>
      </c>
      <c r="L243" s="47">
        <v>0</v>
      </c>
      <c r="M243" s="45">
        <v>0</v>
      </c>
      <c r="N243" s="47">
        <v>0</v>
      </c>
      <c r="O243" s="45" t="s">
        <v>50</v>
      </c>
      <c r="P243" s="47">
        <v>3.2222010599999997</v>
      </c>
      <c r="Q243" s="45" t="s">
        <v>50</v>
      </c>
      <c r="R243" s="45" t="s">
        <v>50</v>
      </c>
      <c r="S243" s="47">
        <f t="shared" si="39"/>
        <v>3.4571185299999998</v>
      </c>
      <c r="T243" s="47">
        <f t="shared" si="40"/>
        <v>-0.23491747000000004</v>
      </c>
      <c r="U243" s="48">
        <f t="shared" si="41"/>
        <v>-100</v>
      </c>
      <c r="V243" s="41" t="s">
        <v>442</v>
      </c>
    </row>
    <row r="244" spans="1:22" ht="45" x14ac:dyDescent="0.25">
      <c r="A244" s="21" t="s">
        <v>188</v>
      </c>
      <c r="B244" s="22" t="s">
        <v>194</v>
      </c>
      <c r="C244" s="23" t="s">
        <v>195</v>
      </c>
      <c r="D244" s="47">
        <v>0.52758720000000003</v>
      </c>
      <c r="E244" s="47">
        <f>29640*1.2/1000000</f>
        <v>3.5568000000000002E-2</v>
      </c>
      <c r="F244" s="45" t="s">
        <v>50</v>
      </c>
      <c r="G244" s="47">
        <f t="shared" si="42"/>
        <v>3.2446612800000003</v>
      </c>
      <c r="H244" s="47">
        <f t="shared" si="43"/>
        <v>3.2446612800000003</v>
      </c>
      <c r="I244" s="47">
        <f t="shared" si="44"/>
        <v>1.5746915699999999</v>
      </c>
      <c r="J244" s="47">
        <v>0.24077880999999995</v>
      </c>
      <c r="K244" s="47">
        <v>0</v>
      </c>
      <c r="L244" s="47">
        <v>0</v>
      </c>
      <c r="M244" s="45">
        <f>1574.69157/1000</f>
        <v>1.5746915699999999</v>
      </c>
      <c r="N244" s="47">
        <v>0</v>
      </c>
      <c r="O244" s="45" t="s">
        <v>50</v>
      </c>
      <c r="P244" s="47">
        <v>3.0038824700000002</v>
      </c>
      <c r="Q244" s="45" t="s">
        <v>50</v>
      </c>
      <c r="R244" s="45" t="s">
        <v>50</v>
      </c>
      <c r="S244" s="47">
        <f t="shared" si="39"/>
        <v>1.6699697100000004</v>
      </c>
      <c r="T244" s="47">
        <f t="shared" si="40"/>
        <v>1.33391276</v>
      </c>
      <c r="U244" s="48">
        <f t="shared" si="41"/>
        <v>553.99923273979152</v>
      </c>
      <c r="V244" s="41" t="s">
        <v>442</v>
      </c>
    </row>
    <row r="245" spans="1:22" ht="45" x14ac:dyDescent="0.25">
      <c r="A245" s="21" t="s">
        <v>188</v>
      </c>
      <c r="B245" s="22" t="s">
        <v>196</v>
      </c>
      <c r="C245" s="23" t="s">
        <v>197</v>
      </c>
      <c r="D245" s="47">
        <v>0.4543862504065041</v>
      </c>
      <c r="E245" s="47">
        <f>19878*1.2/1000000</f>
        <v>2.3853599999999999E-2</v>
      </c>
      <c r="F245" s="45" t="s">
        <v>50</v>
      </c>
      <c r="G245" s="47">
        <f t="shared" si="42"/>
        <v>2.7944754399999998</v>
      </c>
      <c r="H245" s="47">
        <f t="shared" si="43"/>
        <v>2.7944754399999998</v>
      </c>
      <c r="I245" s="47">
        <f t="shared" si="44"/>
        <v>0</v>
      </c>
      <c r="J245" s="47">
        <v>0.16992020999999999</v>
      </c>
      <c r="K245" s="47">
        <v>0</v>
      </c>
      <c r="L245" s="47">
        <v>0</v>
      </c>
      <c r="M245" s="45">
        <v>0</v>
      </c>
      <c r="N245" s="47">
        <v>2.6245552299999999</v>
      </c>
      <c r="O245" s="45" t="s">
        <v>50</v>
      </c>
      <c r="P245" s="47">
        <v>0</v>
      </c>
      <c r="Q245" s="45" t="s">
        <v>50</v>
      </c>
      <c r="R245" s="45" t="s">
        <v>50</v>
      </c>
      <c r="S245" s="47">
        <f t="shared" si="39"/>
        <v>2.7944754399999998</v>
      </c>
      <c r="T245" s="47">
        <f t="shared" si="40"/>
        <v>-0.16992020999999999</v>
      </c>
      <c r="U245" s="48">
        <f t="shared" si="41"/>
        <v>-100</v>
      </c>
      <c r="V245" s="41" t="s">
        <v>442</v>
      </c>
    </row>
    <row r="246" spans="1:22" ht="45" x14ac:dyDescent="0.25">
      <c r="A246" s="21" t="s">
        <v>188</v>
      </c>
      <c r="B246" s="22" t="s">
        <v>198</v>
      </c>
      <c r="C246" s="23" t="s">
        <v>199</v>
      </c>
      <c r="D246" s="47">
        <v>0.66531512032520312</v>
      </c>
      <c r="E246" s="47">
        <f>25723*1.2/1000000</f>
        <v>3.0867599999999999E-2</v>
      </c>
      <c r="F246" s="45" t="s">
        <v>50</v>
      </c>
      <c r="G246" s="47">
        <f t="shared" si="42"/>
        <v>4.0916879899999996</v>
      </c>
      <c r="H246" s="47">
        <f t="shared" si="43"/>
        <v>4.0916879899999996</v>
      </c>
      <c r="I246" s="47">
        <f t="shared" si="44"/>
        <v>0</v>
      </c>
      <c r="J246" s="47">
        <v>0.22932653999999997</v>
      </c>
      <c r="K246" s="47">
        <v>0</v>
      </c>
      <c r="L246" s="47">
        <v>3.8623614499999999</v>
      </c>
      <c r="M246" s="45">
        <v>0</v>
      </c>
      <c r="N246" s="47">
        <v>0</v>
      </c>
      <c r="O246" s="45" t="s">
        <v>50</v>
      </c>
      <c r="P246" s="47">
        <v>0</v>
      </c>
      <c r="Q246" s="45" t="s">
        <v>50</v>
      </c>
      <c r="R246" s="45" t="s">
        <v>50</v>
      </c>
      <c r="S246" s="47">
        <f t="shared" si="39"/>
        <v>4.0916879899999996</v>
      </c>
      <c r="T246" s="47">
        <f t="shared" si="40"/>
        <v>-4.0916879899999996</v>
      </c>
      <c r="U246" s="48">
        <f t="shared" si="41"/>
        <v>-100</v>
      </c>
      <c r="V246" s="41" t="s">
        <v>442</v>
      </c>
    </row>
    <row r="247" spans="1:22" ht="45" x14ac:dyDescent="0.25">
      <c r="A247" s="21" t="s">
        <v>188</v>
      </c>
      <c r="B247" s="22" t="s">
        <v>200</v>
      </c>
      <c r="C247" s="23" t="s">
        <v>201</v>
      </c>
      <c r="D247" s="47">
        <v>0.5649012422764228</v>
      </c>
      <c r="E247" s="47">
        <f>27559*1.2/1000000</f>
        <v>3.3070799999999997E-2</v>
      </c>
      <c r="F247" s="45" t="s">
        <v>50</v>
      </c>
      <c r="G247" s="47">
        <f t="shared" si="42"/>
        <v>3.4741426399999997</v>
      </c>
      <c r="H247" s="47">
        <f t="shared" si="43"/>
        <v>3.4741426399999997</v>
      </c>
      <c r="I247" s="47">
        <f t="shared" si="44"/>
        <v>0.8242914899999999</v>
      </c>
      <c r="J247" s="47">
        <v>0.21383925999999998</v>
      </c>
      <c r="K247" s="47">
        <v>0</v>
      </c>
      <c r="L247" s="47">
        <v>0</v>
      </c>
      <c r="M247" s="45">
        <f>824.29149/1000</f>
        <v>0.8242914899999999</v>
      </c>
      <c r="N247" s="47">
        <v>0</v>
      </c>
      <c r="O247" s="45" t="s">
        <v>50</v>
      </c>
      <c r="P247" s="47">
        <v>3.2603033799999999</v>
      </c>
      <c r="Q247" s="45" t="s">
        <v>50</v>
      </c>
      <c r="R247" s="45" t="s">
        <v>50</v>
      </c>
      <c r="S247" s="47">
        <f t="shared" si="39"/>
        <v>2.6498511499999999</v>
      </c>
      <c r="T247" s="47">
        <f t="shared" si="40"/>
        <v>0.61045222999999993</v>
      </c>
      <c r="U247" s="48">
        <f t="shared" si="41"/>
        <v>285.47247591485308</v>
      </c>
      <c r="V247" s="41" t="s">
        <v>442</v>
      </c>
    </row>
    <row r="248" spans="1:22" ht="45" x14ac:dyDescent="0.25">
      <c r="A248" s="29" t="s">
        <v>188</v>
      </c>
      <c r="B248" s="30" t="s">
        <v>202</v>
      </c>
      <c r="C248" s="43" t="s">
        <v>203</v>
      </c>
      <c r="D248" s="47">
        <v>1.2148148148148149E-2</v>
      </c>
      <c r="E248" s="47">
        <f>19029.46*1.2/1000000</f>
        <v>2.2835352E-2</v>
      </c>
      <c r="F248" s="45" t="s">
        <v>50</v>
      </c>
      <c r="G248" s="47">
        <f t="shared" si="42"/>
        <v>8.2000000000000003E-2</v>
      </c>
      <c r="H248" s="47">
        <f t="shared" si="43"/>
        <v>8.2000000000000003E-2</v>
      </c>
      <c r="I248" s="47">
        <f t="shared" si="44"/>
        <v>0.25993167</v>
      </c>
      <c r="J248" s="47">
        <v>1.4999999999999999E-2</v>
      </c>
      <c r="K248" s="47">
        <v>0</v>
      </c>
      <c r="L248" s="47">
        <v>6.7000000000000004E-2</v>
      </c>
      <c r="M248" s="103">
        <f>259.93167/1000</f>
        <v>0.25993167</v>
      </c>
      <c r="N248" s="47">
        <v>0</v>
      </c>
      <c r="O248" s="45" t="s">
        <v>50</v>
      </c>
      <c r="P248" s="47">
        <v>0</v>
      </c>
      <c r="Q248" s="45" t="s">
        <v>50</v>
      </c>
      <c r="R248" s="45" t="s">
        <v>50</v>
      </c>
      <c r="S248" s="47">
        <f t="shared" si="39"/>
        <v>-0.17793166999999999</v>
      </c>
      <c r="T248" s="47">
        <f t="shared" si="40"/>
        <v>0.17793166999999999</v>
      </c>
      <c r="U248" s="100">
        <f t="shared" si="41"/>
        <v>216.98984146341462</v>
      </c>
      <c r="V248" s="97" t="s">
        <v>442</v>
      </c>
    </row>
    <row r="249" spans="1:22" ht="45" x14ac:dyDescent="0.25">
      <c r="A249" s="29" t="s">
        <v>188</v>
      </c>
      <c r="B249" s="30" t="s">
        <v>204</v>
      </c>
      <c r="C249" s="43" t="s">
        <v>205</v>
      </c>
      <c r="D249" s="47">
        <v>1.4074074074074074E-2</v>
      </c>
      <c r="E249" s="47">
        <v>0</v>
      </c>
      <c r="F249" s="45" t="s">
        <v>50</v>
      </c>
      <c r="G249" s="47">
        <f t="shared" si="42"/>
        <v>9.5000000000000001E-2</v>
      </c>
      <c r="H249" s="47">
        <f t="shared" si="43"/>
        <v>9.5000000000000001E-2</v>
      </c>
      <c r="I249" s="47">
        <f t="shared" si="44"/>
        <v>0</v>
      </c>
      <c r="J249" s="47">
        <v>0.02</v>
      </c>
      <c r="K249" s="47">
        <v>0</v>
      </c>
      <c r="L249" s="47">
        <v>7.4999999999999997E-2</v>
      </c>
      <c r="M249" s="104"/>
      <c r="N249" s="47">
        <v>0</v>
      </c>
      <c r="O249" s="45" t="s">
        <v>50</v>
      </c>
      <c r="P249" s="47">
        <v>0</v>
      </c>
      <c r="Q249" s="45" t="s">
        <v>50</v>
      </c>
      <c r="R249" s="45" t="s">
        <v>50</v>
      </c>
      <c r="S249" s="47">
        <f t="shared" si="39"/>
        <v>9.5000000000000001E-2</v>
      </c>
      <c r="T249" s="47">
        <f t="shared" si="40"/>
        <v>-9.5000000000000001E-2</v>
      </c>
      <c r="U249" s="101">
        <f t="shared" si="41"/>
        <v>-100</v>
      </c>
      <c r="V249" s="98"/>
    </row>
    <row r="250" spans="1:22" ht="45" x14ac:dyDescent="0.25">
      <c r="A250" s="29" t="s">
        <v>188</v>
      </c>
      <c r="B250" s="30" t="s">
        <v>206</v>
      </c>
      <c r="C250" s="43" t="s">
        <v>207</v>
      </c>
      <c r="D250" s="47">
        <v>2.651289777777778E-2</v>
      </c>
      <c r="E250" s="47">
        <v>0</v>
      </c>
      <c r="F250" s="45" t="s">
        <v>50</v>
      </c>
      <c r="G250" s="47">
        <f t="shared" si="42"/>
        <v>0.17896205999999998</v>
      </c>
      <c r="H250" s="47">
        <f t="shared" si="43"/>
        <v>0.17896205999999998</v>
      </c>
      <c r="I250" s="47">
        <f t="shared" si="44"/>
        <v>0</v>
      </c>
      <c r="J250" s="47">
        <v>2.1951059999999998E-2</v>
      </c>
      <c r="K250" s="47">
        <v>0</v>
      </c>
      <c r="L250" s="47">
        <v>0.15701099999999998</v>
      </c>
      <c r="M250" s="105"/>
      <c r="N250" s="47">
        <v>0</v>
      </c>
      <c r="O250" s="45" t="s">
        <v>50</v>
      </c>
      <c r="P250" s="47">
        <v>0</v>
      </c>
      <c r="Q250" s="45" t="s">
        <v>50</v>
      </c>
      <c r="R250" s="45" t="s">
        <v>50</v>
      </c>
      <c r="S250" s="47">
        <f t="shared" si="39"/>
        <v>0.17896205999999998</v>
      </c>
      <c r="T250" s="47">
        <f t="shared" si="40"/>
        <v>-0.17896205999999998</v>
      </c>
      <c r="U250" s="102">
        <f t="shared" si="41"/>
        <v>-100</v>
      </c>
      <c r="V250" s="99"/>
    </row>
    <row r="251" spans="1:22" ht="60" x14ac:dyDescent="0.25">
      <c r="A251" s="29" t="s">
        <v>188</v>
      </c>
      <c r="B251" s="30" t="s">
        <v>208</v>
      </c>
      <c r="C251" s="43" t="s">
        <v>209</v>
      </c>
      <c r="D251" s="47">
        <v>5.8865629629629622E-2</v>
      </c>
      <c r="E251" s="47">
        <v>0</v>
      </c>
      <c r="F251" s="45" t="s">
        <v>50</v>
      </c>
      <c r="G251" s="47">
        <f t="shared" si="42"/>
        <v>0.397343</v>
      </c>
      <c r="H251" s="47">
        <f t="shared" si="43"/>
        <v>0.397343</v>
      </c>
      <c r="I251" s="47">
        <f t="shared" si="44"/>
        <v>0.26827792</v>
      </c>
      <c r="J251" s="47">
        <v>6.2037999999999989E-2</v>
      </c>
      <c r="K251" s="47">
        <v>0</v>
      </c>
      <c r="L251" s="47">
        <v>0.33530500000000002</v>
      </c>
      <c r="M251" s="45">
        <f>268.27792/1000</f>
        <v>0.26827792</v>
      </c>
      <c r="N251" s="47">
        <v>0</v>
      </c>
      <c r="O251" s="45" t="s">
        <v>50</v>
      </c>
      <c r="P251" s="47">
        <v>0</v>
      </c>
      <c r="Q251" s="45" t="s">
        <v>50</v>
      </c>
      <c r="R251" s="45" t="s">
        <v>50</v>
      </c>
      <c r="S251" s="47">
        <f t="shared" si="39"/>
        <v>0.12906508</v>
      </c>
      <c r="T251" s="47">
        <f t="shared" si="40"/>
        <v>-0.12906508</v>
      </c>
      <c r="U251" s="48">
        <f t="shared" si="41"/>
        <v>-32.482031896875</v>
      </c>
      <c r="V251" s="41" t="s">
        <v>442</v>
      </c>
    </row>
    <row r="252" spans="1:22" ht="60" x14ac:dyDescent="0.25">
      <c r="A252" s="29" t="s">
        <v>188</v>
      </c>
      <c r="B252" s="30" t="s">
        <v>210</v>
      </c>
      <c r="C252" s="43" t="s">
        <v>211</v>
      </c>
      <c r="D252" s="47">
        <v>3.7814814814814815E-2</v>
      </c>
      <c r="E252" s="47">
        <v>0</v>
      </c>
      <c r="F252" s="45" t="s">
        <v>50</v>
      </c>
      <c r="G252" s="47">
        <f t="shared" si="42"/>
        <v>0.25524999999999998</v>
      </c>
      <c r="H252" s="47">
        <f t="shared" si="43"/>
        <v>0.25524999999999998</v>
      </c>
      <c r="I252" s="47">
        <f t="shared" si="44"/>
        <v>0.22962513000000001</v>
      </c>
      <c r="J252" s="47">
        <v>3.5000000000000003E-2</v>
      </c>
      <c r="K252" s="47">
        <v>0</v>
      </c>
      <c r="L252" s="47">
        <v>0</v>
      </c>
      <c r="M252" s="45">
        <f>229.62513/1000</f>
        <v>0.22962513000000001</v>
      </c>
      <c r="N252" s="47">
        <v>0.22025</v>
      </c>
      <c r="O252" s="45" t="s">
        <v>50</v>
      </c>
      <c r="P252" s="47">
        <v>0</v>
      </c>
      <c r="Q252" s="45" t="s">
        <v>50</v>
      </c>
      <c r="R252" s="45" t="s">
        <v>50</v>
      </c>
      <c r="S252" s="47">
        <f t="shared" si="39"/>
        <v>2.5624869999999966E-2</v>
      </c>
      <c r="T252" s="47">
        <f t="shared" si="40"/>
        <v>0.19462513000000001</v>
      </c>
      <c r="U252" s="48">
        <f t="shared" si="41"/>
        <v>556.07179999999994</v>
      </c>
      <c r="V252" s="41" t="s">
        <v>50</v>
      </c>
    </row>
    <row r="253" spans="1:22" ht="60" x14ac:dyDescent="0.25">
      <c r="A253" s="29" t="s">
        <v>188</v>
      </c>
      <c r="B253" s="30" t="s">
        <v>212</v>
      </c>
      <c r="C253" s="43" t="s">
        <v>213</v>
      </c>
      <c r="D253" s="47">
        <v>3.0481777777777785E-2</v>
      </c>
      <c r="E253" s="47">
        <f>15230*1.2/1000000</f>
        <v>1.8276000000000001E-2</v>
      </c>
      <c r="F253" s="45" t="s">
        <v>50</v>
      </c>
      <c r="G253" s="47">
        <f t="shared" si="42"/>
        <v>0.20575200000000002</v>
      </c>
      <c r="H253" s="47">
        <f t="shared" si="43"/>
        <v>0.20575200000000002</v>
      </c>
      <c r="I253" s="47">
        <f t="shared" si="44"/>
        <v>0.29263819999999996</v>
      </c>
      <c r="J253" s="47">
        <v>3.0500000000000003E-2</v>
      </c>
      <c r="K253" s="47">
        <v>0</v>
      </c>
      <c r="L253" s="47">
        <v>0</v>
      </c>
      <c r="M253" s="45">
        <f>292.6382/1000</f>
        <v>0.29263819999999996</v>
      </c>
      <c r="N253" s="47">
        <v>0.17525200000000002</v>
      </c>
      <c r="O253" s="45" t="s">
        <v>50</v>
      </c>
      <c r="P253" s="47">
        <v>0</v>
      </c>
      <c r="Q253" s="45" t="s">
        <v>50</v>
      </c>
      <c r="R253" s="45" t="s">
        <v>50</v>
      </c>
      <c r="S253" s="47">
        <f t="shared" si="39"/>
        <v>-8.6886199999999941E-2</v>
      </c>
      <c r="T253" s="47">
        <f t="shared" si="40"/>
        <v>0.26213819999999993</v>
      </c>
      <c r="U253" s="48">
        <f t="shared" si="41"/>
        <v>859.46950819672111</v>
      </c>
      <c r="V253" s="41" t="s">
        <v>442</v>
      </c>
    </row>
    <row r="254" spans="1:22" ht="45" x14ac:dyDescent="0.25">
      <c r="A254" s="29" t="s">
        <v>188</v>
      </c>
      <c r="B254" s="30" t="s">
        <v>214</v>
      </c>
      <c r="C254" s="43" t="s">
        <v>215</v>
      </c>
      <c r="D254" s="47">
        <v>3.1053797037037038E-2</v>
      </c>
      <c r="E254" s="47">
        <f>22781.46*1.2/1000000</f>
        <v>2.7337751999999996E-2</v>
      </c>
      <c r="F254" s="45" t="s">
        <v>50</v>
      </c>
      <c r="G254" s="47">
        <f t="shared" si="42"/>
        <v>0.20961313000000001</v>
      </c>
      <c r="H254" s="47">
        <f t="shared" si="43"/>
        <v>0.20961313000000001</v>
      </c>
      <c r="I254" s="47">
        <f t="shared" si="44"/>
        <v>0.14644272</v>
      </c>
      <c r="J254" s="47">
        <v>3.628613E-2</v>
      </c>
      <c r="K254" s="47">
        <v>0</v>
      </c>
      <c r="L254" s="47">
        <v>0</v>
      </c>
      <c r="M254" s="45">
        <f>146.44272/1000</f>
        <v>0.14644272</v>
      </c>
      <c r="N254" s="47">
        <v>0.17332700000000001</v>
      </c>
      <c r="O254" s="45" t="s">
        <v>50</v>
      </c>
      <c r="P254" s="47">
        <v>0</v>
      </c>
      <c r="Q254" s="45" t="s">
        <v>50</v>
      </c>
      <c r="R254" s="45" t="s">
        <v>50</v>
      </c>
      <c r="S254" s="47">
        <f t="shared" si="39"/>
        <v>6.317041000000001E-2</v>
      </c>
      <c r="T254" s="47">
        <f t="shared" si="40"/>
        <v>0.11015659</v>
      </c>
      <c r="U254" s="48">
        <f t="shared" si="41"/>
        <v>303.57767554710301</v>
      </c>
      <c r="V254" s="41" t="s">
        <v>442</v>
      </c>
    </row>
    <row r="255" spans="1:22" ht="45" x14ac:dyDescent="0.25">
      <c r="A255" s="56" t="s">
        <v>188</v>
      </c>
      <c r="B255" s="22" t="s">
        <v>415</v>
      </c>
      <c r="C255" s="55" t="s">
        <v>416</v>
      </c>
      <c r="D255" s="47">
        <v>0</v>
      </c>
      <c r="E255" s="47">
        <f>737884.93*1.2/1000000</f>
        <v>0.88546191600000013</v>
      </c>
      <c r="F255" s="45" t="s">
        <v>50</v>
      </c>
      <c r="G255" s="47">
        <f t="shared" si="42"/>
        <v>0</v>
      </c>
      <c r="H255" s="47">
        <f t="shared" si="43"/>
        <v>0</v>
      </c>
      <c r="I255" s="47">
        <f t="shared" si="44"/>
        <v>0.73788493000000011</v>
      </c>
      <c r="J255" s="47">
        <v>0</v>
      </c>
      <c r="K255" s="47">
        <f>737.88493/1000</f>
        <v>0.73788493000000011</v>
      </c>
      <c r="L255" s="47">
        <v>0</v>
      </c>
      <c r="M255" s="45">
        <v>0</v>
      </c>
      <c r="N255" s="47">
        <v>0</v>
      </c>
      <c r="O255" s="45" t="s">
        <v>50</v>
      </c>
      <c r="P255" s="47">
        <v>0</v>
      </c>
      <c r="Q255" s="45" t="s">
        <v>50</v>
      </c>
      <c r="R255" s="45" t="s">
        <v>50</v>
      </c>
      <c r="S255" s="47">
        <f t="shared" si="39"/>
        <v>-0.73788493000000011</v>
      </c>
      <c r="T255" s="47">
        <f t="shared" si="40"/>
        <v>0.73788493000000011</v>
      </c>
      <c r="U255" s="48">
        <v>0</v>
      </c>
      <c r="V255" s="40" t="s">
        <v>437</v>
      </c>
    </row>
    <row r="256" spans="1:22" ht="45" x14ac:dyDescent="0.25">
      <c r="A256" s="27" t="s">
        <v>188</v>
      </c>
      <c r="B256" s="22" t="s">
        <v>417</v>
      </c>
      <c r="C256" s="52" t="s">
        <v>216</v>
      </c>
      <c r="D256" s="47">
        <v>0</v>
      </c>
      <c r="E256" s="47">
        <v>0</v>
      </c>
      <c r="F256" s="45" t="s">
        <v>50</v>
      </c>
      <c r="G256" s="47">
        <f t="shared" si="42"/>
        <v>0</v>
      </c>
      <c r="H256" s="47">
        <f t="shared" si="43"/>
        <v>0</v>
      </c>
      <c r="I256" s="47">
        <f t="shared" si="44"/>
        <v>9.9558510000000003E-2</v>
      </c>
      <c r="J256" s="47">
        <v>0</v>
      </c>
      <c r="K256" s="47">
        <f>99.55851/1000</f>
        <v>9.9558510000000003E-2</v>
      </c>
      <c r="L256" s="47">
        <v>0</v>
      </c>
      <c r="M256" s="45">
        <v>0</v>
      </c>
      <c r="N256" s="47">
        <v>0</v>
      </c>
      <c r="O256" s="45" t="s">
        <v>50</v>
      </c>
      <c r="P256" s="47">
        <v>0</v>
      </c>
      <c r="Q256" s="45" t="s">
        <v>50</v>
      </c>
      <c r="R256" s="45" t="s">
        <v>50</v>
      </c>
      <c r="S256" s="47">
        <f t="shared" si="39"/>
        <v>-9.9558510000000003E-2</v>
      </c>
      <c r="T256" s="47">
        <f t="shared" si="40"/>
        <v>9.9558510000000003E-2</v>
      </c>
      <c r="U256" s="48">
        <v>0</v>
      </c>
      <c r="V256" s="46" t="s">
        <v>441</v>
      </c>
    </row>
    <row r="257" spans="1:22" s="42" customFormat="1" ht="30" x14ac:dyDescent="0.25">
      <c r="A257" s="27" t="s">
        <v>188</v>
      </c>
      <c r="B257" s="22" t="s">
        <v>619</v>
      </c>
      <c r="C257" s="52" t="s">
        <v>620</v>
      </c>
      <c r="D257" s="47">
        <v>0</v>
      </c>
      <c r="E257" s="47">
        <v>0</v>
      </c>
      <c r="F257" s="45" t="s">
        <v>50</v>
      </c>
      <c r="G257" s="47">
        <v>0</v>
      </c>
      <c r="H257" s="47">
        <v>0</v>
      </c>
      <c r="I257" s="47">
        <f t="shared" si="44"/>
        <v>3.7507609999999997E-2</v>
      </c>
      <c r="J257" s="47">
        <v>0</v>
      </c>
      <c r="K257" s="47">
        <v>0</v>
      </c>
      <c r="L257" s="47">
        <v>0</v>
      </c>
      <c r="M257" s="45">
        <f>37.50761/1000</f>
        <v>3.7507609999999997E-2</v>
      </c>
      <c r="N257" s="47">
        <v>0</v>
      </c>
      <c r="O257" s="45" t="s">
        <v>50</v>
      </c>
      <c r="P257" s="47">
        <v>0</v>
      </c>
      <c r="Q257" s="45" t="s">
        <v>50</v>
      </c>
      <c r="R257" s="45" t="s">
        <v>50</v>
      </c>
      <c r="S257" s="47">
        <f t="shared" si="39"/>
        <v>-3.7507609999999997E-2</v>
      </c>
      <c r="T257" s="47">
        <f t="shared" si="40"/>
        <v>3.7507609999999997E-2</v>
      </c>
      <c r="U257" s="48">
        <v>0</v>
      </c>
      <c r="V257" s="40" t="s">
        <v>441</v>
      </c>
    </row>
    <row r="258" spans="1:22" s="42" customFormat="1" x14ac:dyDescent="0.25">
      <c r="A258" s="27" t="s">
        <v>188</v>
      </c>
      <c r="B258" s="22" t="s">
        <v>346</v>
      </c>
      <c r="C258" s="52" t="s">
        <v>621</v>
      </c>
      <c r="D258" s="47">
        <v>0</v>
      </c>
      <c r="E258" s="47">
        <v>0</v>
      </c>
      <c r="F258" s="45" t="s">
        <v>50</v>
      </c>
      <c r="G258" s="47">
        <v>0</v>
      </c>
      <c r="H258" s="47">
        <v>0</v>
      </c>
      <c r="I258" s="47">
        <f t="shared" si="44"/>
        <v>0</v>
      </c>
      <c r="J258" s="47">
        <v>0</v>
      </c>
      <c r="K258" s="47">
        <v>0</v>
      </c>
      <c r="L258" s="47">
        <v>0</v>
      </c>
      <c r="M258" s="45">
        <v>0</v>
      </c>
      <c r="N258" s="47">
        <v>0</v>
      </c>
      <c r="O258" s="45" t="s">
        <v>50</v>
      </c>
      <c r="P258" s="47">
        <v>0</v>
      </c>
      <c r="Q258" s="45" t="s">
        <v>50</v>
      </c>
      <c r="R258" s="45" t="s">
        <v>50</v>
      </c>
      <c r="S258" s="47">
        <f t="shared" si="39"/>
        <v>0</v>
      </c>
      <c r="T258" s="47">
        <f t="shared" si="40"/>
        <v>0</v>
      </c>
      <c r="U258" s="48">
        <v>0</v>
      </c>
      <c r="V258" s="40" t="s">
        <v>441</v>
      </c>
    </row>
    <row r="259" spans="1:22" s="42" customFormat="1" ht="45" x14ac:dyDescent="0.25">
      <c r="A259" s="27" t="s">
        <v>188</v>
      </c>
      <c r="B259" s="22" t="s">
        <v>347</v>
      </c>
      <c r="C259" s="52" t="s">
        <v>622</v>
      </c>
      <c r="D259" s="47">
        <v>0</v>
      </c>
      <c r="E259" s="47">
        <v>0</v>
      </c>
      <c r="F259" s="45" t="s">
        <v>50</v>
      </c>
      <c r="G259" s="47">
        <v>0</v>
      </c>
      <c r="H259" s="47">
        <v>0</v>
      </c>
      <c r="I259" s="47">
        <f t="shared" si="44"/>
        <v>0</v>
      </c>
      <c r="J259" s="47">
        <v>0</v>
      </c>
      <c r="K259" s="47">
        <v>0</v>
      </c>
      <c r="L259" s="47">
        <v>0</v>
      </c>
      <c r="M259" s="45">
        <v>0</v>
      </c>
      <c r="N259" s="47">
        <v>0</v>
      </c>
      <c r="O259" s="45" t="s">
        <v>50</v>
      </c>
      <c r="P259" s="47">
        <v>0</v>
      </c>
      <c r="Q259" s="45" t="s">
        <v>50</v>
      </c>
      <c r="R259" s="45" t="s">
        <v>50</v>
      </c>
      <c r="S259" s="47">
        <f t="shared" si="39"/>
        <v>0</v>
      </c>
      <c r="T259" s="47">
        <f t="shared" si="40"/>
        <v>0</v>
      </c>
      <c r="U259" s="48">
        <v>0</v>
      </c>
      <c r="V259" s="40" t="s">
        <v>440</v>
      </c>
    </row>
    <row r="260" spans="1:22" s="42" customFormat="1" ht="45" x14ac:dyDescent="0.25">
      <c r="A260" s="27" t="s">
        <v>188</v>
      </c>
      <c r="B260" s="22" t="s">
        <v>348</v>
      </c>
      <c r="C260" s="52" t="s">
        <v>623</v>
      </c>
      <c r="D260" s="47">
        <v>0</v>
      </c>
      <c r="E260" s="47">
        <v>0</v>
      </c>
      <c r="F260" s="45" t="s">
        <v>50</v>
      </c>
      <c r="G260" s="47">
        <v>0</v>
      </c>
      <c r="H260" s="47">
        <v>0</v>
      </c>
      <c r="I260" s="47">
        <f t="shared" si="44"/>
        <v>0</v>
      </c>
      <c r="J260" s="47">
        <v>0</v>
      </c>
      <c r="K260" s="47">
        <v>0</v>
      </c>
      <c r="L260" s="47">
        <v>0</v>
      </c>
      <c r="M260" s="45">
        <v>0</v>
      </c>
      <c r="N260" s="47">
        <v>0</v>
      </c>
      <c r="O260" s="45" t="s">
        <v>50</v>
      </c>
      <c r="P260" s="47">
        <v>0</v>
      </c>
      <c r="Q260" s="45" t="s">
        <v>50</v>
      </c>
      <c r="R260" s="45" t="s">
        <v>50</v>
      </c>
      <c r="S260" s="47">
        <f t="shared" si="39"/>
        <v>0</v>
      </c>
      <c r="T260" s="47">
        <f t="shared" si="40"/>
        <v>0</v>
      </c>
      <c r="U260" s="48">
        <v>0</v>
      </c>
      <c r="V260" s="40" t="s">
        <v>440</v>
      </c>
    </row>
    <row r="261" spans="1:22" s="42" customFormat="1" ht="45" x14ac:dyDescent="0.25">
      <c r="A261" s="27" t="s">
        <v>188</v>
      </c>
      <c r="B261" s="22" t="s">
        <v>350</v>
      </c>
      <c r="C261" s="52" t="s">
        <v>624</v>
      </c>
      <c r="D261" s="47">
        <v>0</v>
      </c>
      <c r="E261" s="47">
        <v>0</v>
      </c>
      <c r="F261" s="45" t="s">
        <v>50</v>
      </c>
      <c r="G261" s="47">
        <v>0</v>
      </c>
      <c r="H261" s="47">
        <v>0</v>
      </c>
      <c r="I261" s="47">
        <f t="shared" si="44"/>
        <v>0</v>
      </c>
      <c r="J261" s="47">
        <v>0</v>
      </c>
      <c r="K261" s="47">
        <v>0</v>
      </c>
      <c r="L261" s="47">
        <v>0</v>
      </c>
      <c r="M261" s="45">
        <v>0</v>
      </c>
      <c r="N261" s="47">
        <v>0</v>
      </c>
      <c r="O261" s="45" t="s">
        <v>50</v>
      </c>
      <c r="P261" s="47">
        <v>0</v>
      </c>
      <c r="Q261" s="45" t="s">
        <v>50</v>
      </c>
      <c r="R261" s="45" t="s">
        <v>50</v>
      </c>
      <c r="S261" s="47">
        <f t="shared" si="39"/>
        <v>0</v>
      </c>
      <c r="T261" s="47">
        <f t="shared" si="40"/>
        <v>0</v>
      </c>
      <c r="U261" s="48">
        <v>0</v>
      </c>
      <c r="V261" s="40" t="s">
        <v>440</v>
      </c>
    </row>
    <row r="262" spans="1:22" s="42" customFormat="1" ht="45" x14ac:dyDescent="0.25">
      <c r="A262" s="27" t="s">
        <v>188</v>
      </c>
      <c r="B262" s="22" t="s">
        <v>625</v>
      </c>
      <c r="C262" s="52" t="s">
        <v>626</v>
      </c>
      <c r="D262" s="47">
        <v>0</v>
      </c>
      <c r="E262" s="47">
        <v>0</v>
      </c>
      <c r="F262" s="45" t="s">
        <v>50</v>
      </c>
      <c r="G262" s="47">
        <v>0</v>
      </c>
      <c r="H262" s="47">
        <v>0</v>
      </c>
      <c r="I262" s="47">
        <f t="shared" si="44"/>
        <v>0</v>
      </c>
      <c r="J262" s="47">
        <v>0</v>
      </c>
      <c r="K262" s="47">
        <v>0</v>
      </c>
      <c r="L262" s="47">
        <v>0</v>
      </c>
      <c r="M262" s="45">
        <v>0</v>
      </c>
      <c r="N262" s="47">
        <v>0</v>
      </c>
      <c r="O262" s="45" t="s">
        <v>50</v>
      </c>
      <c r="P262" s="47">
        <v>0</v>
      </c>
      <c r="Q262" s="45" t="s">
        <v>50</v>
      </c>
      <c r="R262" s="45" t="s">
        <v>50</v>
      </c>
      <c r="S262" s="47">
        <f t="shared" si="39"/>
        <v>0</v>
      </c>
      <c r="T262" s="47">
        <f t="shared" si="40"/>
        <v>0</v>
      </c>
      <c r="U262" s="48">
        <v>0</v>
      </c>
      <c r="V262" s="40" t="s">
        <v>443</v>
      </c>
    </row>
    <row r="263" spans="1:22" s="42" customFormat="1" ht="45" x14ac:dyDescent="0.25">
      <c r="A263" s="27" t="s">
        <v>188</v>
      </c>
      <c r="B263" s="22" t="s">
        <v>627</v>
      </c>
      <c r="C263" s="52" t="s">
        <v>628</v>
      </c>
      <c r="D263" s="47">
        <v>0</v>
      </c>
      <c r="E263" s="47">
        <v>0</v>
      </c>
      <c r="F263" s="45" t="s">
        <v>50</v>
      </c>
      <c r="G263" s="47">
        <v>0</v>
      </c>
      <c r="H263" s="47">
        <v>0</v>
      </c>
      <c r="I263" s="47">
        <f t="shared" si="44"/>
        <v>0</v>
      </c>
      <c r="J263" s="47">
        <v>0</v>
      </c>
      <c r="K263" s="47">
        <v>0</v>
      </c>
      <c r="L263" s="47">
        <v>0</v>
      </c>
      <c r="M263" s="45">
        <v>0</v>
      </c>
      <c r="N263" s="47">
        <v>0</v>
      </c>
      <c r="O263" s="45" t="s">
        <v>50</v>
      </c>
      <c r="P263" s="47">
        <v>0</v>
      </c>
      <c r="Q263" s="45" t="s">
        <v>50</v>
      </c>
      <c r="R263" s="45" t="s">
        <v>50</v>
      </c>
      <c r="S263" s="47">
        <f t="shared" si="39"/>
        <v>0</v>
      </c>
      <c r="T263" s="47">
        <f t="shared" si="40"/>
        <v>0</v>
      </c>
      <c r="U263" s="48">
        <v>0</v>
      </c>
      <c r="V263" s="40" t="s">
        <v>443</v>
      </c>
    </row>
    <row r="264" spans="1:22" s="42" customFormat="1" ht="45" x14ac:dyDescent="0.25">
      <c r="A264" s="27" t="s">
        <v>188</v>
      </c>
      <c r="B264" s="22" t="s">
        <v>629</v>
      </c>
      <c r="C264" s="52" t="s">
        <v>630</v>
      </c>
      <c r="D264" s="47">
        <v>0</v>
      </c>
      <c r="E264" s="47">
        <v>0</v>
      </c>
      <c r="F264" s="45" t="s">
        <v>50</v>
      </c>
      <c r="G264" s="47">
        <v>0</v>
      </c>
      <c r="H264" s="47">
        <v>0</v>
      </c>
      <c r="I264" s="47">
        <f t="shared" si="44"/>
        <v>4.5924449999999999E-2</v>
      </c>
      <c r="J264" s="47">
        <v>0</v>
      </c>
      <c r="K264" s="47">
        <v>0</v>
      </c>
      <c r="L264" s="47">
        <v>0</v>
      </c>
      <c r="M264" s="45">
        <f>45.92445/1000</f>
        <v>4.5924449999999999E-2</v>
      </c>
      <c r="N264" s="47">
        <v>0</v>
      </c>
      <c r="O264" s="45" t="s">
        <v>50</v>
      </c>
      <c r="P264" s="47">
        <v>0</v>
      </c>
      <c r="Q264" s="45" t="s">
        <v>50</v>
      </c>
      <c r="R264" s="45" t="s">
        <v>50</v>
      </c>
      <c r="S264" s="47">
        <f t="shared" si="39"/>
        <v>-4.5924449999999999E-2</v>
      </c>
      <c r="T264" s="47">
        <f t="shared" si="40"/>
        <v>4.5924449999999999E-2</v>
      </c>
      <c r="U264" s="48">
        <v>0</v>
      </c>
      <c r="V264" s="40" t="s">
        <v>443</v>
      </c>
    </row>
    <row r="265" spans="1:22" s="42" customFormat="1" ht="45" x14ac:dyDescent="0.25">
      <c r="A265" s="27" t="s">
        <v>188</v>
      </c>
      <c r="B265" s="22" t="s">
        <v>631</v>
      </c>
      <c r="C265" s="52" t="s">
        <v>632</v>
      </c>
      <c r="D265" s="47">
        <v>0</v>
      </c>
      <c r="E265" s="47">
        <v>0</v>
      </c>
      <c r="F265" s="45" t="s">
        <v>50</v>
      </c>
      <c r="G265" s="47">
        <v>0</v>
      </c>
      <c r="H265" s="47">
        <v>0</v>
      </c>
      <c r="I265" s="47">
        <f t="shared" si="44"/>
        <v>3.683641E-2</v>
      </c>
      <c r="J265" s="47">
        <v>0</v>
      </c>
      <c r="K265" s="47">
        <v>0</v>
      </c>
      <c r="L265" s="47">
        <v>0</v>
      </c>
      <c r="M265" s="45">
        <f>36.83641/1000</f>
        <v>3.683641E-2</v>
      </c>
      <c r="N265" s="47">
        <v>0</v>
      </c>
      <c r="O265" s="45" t="s">
        <v>50</v>
      </c>
      <c r="P265" s="47">
        <v>0</v>
      </c>
      <c r="Q265" s="45" t="s">
        <v>50</v>
      </c>
      <c r="R265" s="45" t="s">
        <v>50</v>
      </c>
      <c r="S265" s="47">
        <f t="shared" si="39"/>
        <v>-3.683641E-2</v>
      </c>
      <c r="T265" s="47">
        <f t="shared" si="40"/>
        <v>3.683641E-2</v>
      </c>
      <c r="U265" s="48">
        <v>0</v>
      </c>
      <c r="V265" s="40" t="s">
        <v>443</v>
      </c>
    </row>
    <row r="266" spans="1:22" s="42" customFormat="1" ht="45" x14ac:dyDescent="0.25">
      <c r="A266" s="27" t="s">
        <v>188</v>
      </c>
      <c r="B266" s="22" t="s">
        <v>633</v>
      </c>
      <c r="C266" s="52" t="s">
        <v>634</v>
      </c>
      <c r="D266" s="47">
        <v>0</v>
      </c>
      <c r="E266" s="47">
        <v>0</v>
      </c>
      <c r="F266" s="45" t="s">
        <v>50</v>
      </c>
      <c r="G266" s="47">
        <v>0</v>
      </c>
      <c r="H266" s="47">
        <v>0</v>
      </c>
      <c r="I266" s="47">
        <f t="shared" si="44"/>
        <v>1.0531833099999999</v>
      </c>
      <c r="J266" s="47">
        <v>0</v>
      </c>
      <c r="K266" s="47">
        <v>0</v>
      </c>
      <c r="L266" s="47">
        <v>0</v>
      </c>
      <c r="M266" s="45">
        <f>1053.18331/1000</f>
        <v>1.0531833099999999</v>
      </c>
      <c r="N266" s="47">
        <v>0</v>
      </c>
      <c r="O266" s="45" t="s">
        <v>50</v>
      </c>
      <c r="P266" s="47">
        <v>0</v>
      </c>
      <c r="Q266" s="45" t="s">
        <v>50</v>
      </c>
      <c r="R266" s="45" t="s">
        <v>50</v>
      </c>
      <c r="S266" s="47">
        <f t="shared" si="39"/>
        <v>-1.0531833099999999</v>
      </c>
      <c r="T266" s="47">
        <f t="shared" si="40"/>
        <v>1.0531833099999999</v>
      </c>
      <c r="U266" s="48">
        <v>0</v>
      </c>
      <c r="V266" s="40" t="s">
        <v>441</v>
      </c>
    </row>
    <row r="267" spans="1:22" s="42" customFormat="1" ht="45" x14ac:dyDescent="0.25">
      <c r="A267" s="27" t="s">
        <v>188</v>
      </c>
      <c r="B267" s="22" t="s">
        <v>635</v>
      </c>
      <c r="C267" s="52" t="s">
        <v>636</v>
      </c>
      <c r="D267" s="47">
        <v>0</v>
      </c>
      <c r="E267" s="47">
        <v>0</v>
      </c>
      <c r="F267" s="45" t="s">
        <v>50</v>
      </c>
      <c r="G267" s="47">
        <v>0</v>
      </c>
      <c r="H267" s="47">
        <v>0</v>
      </c>
      <c r="I267" s="47">
        <f t="shared" si="44"/>
        <v>3.8740090000000005E-2</v>
      </c>
      <c r="J267" s="47">
        <v>0</v>
      </c>
      <c r="K267" s="47">
        <v>0</v>
      </c>
      <c r="L267" s="47">
        <v>0</v>
      </c>
      <c r="M267" s="45">
        <f>38.74009/1000</f>
        <v>3.8740090000000005E-2</v>
      </c>
      <c r="N267" s="47">
        <v>0</v>
      </c>
      <c r="O267" s="45" t="s">
        <v>50</v>
      </c>
      <c r="P267" s="47">
        <v>0</v>
      </c>
      <c r="Q267" s="45" t="s">
        <v>50</v>
      </c>
      <c r="R267" s="45" t="s">
        <v>50</v>
      </c>
      <c r="S267" s="47">
        <f t="shared" si="39"/>
        <v>-3.8740090000000005E-2</v>
      </c>
      <c r="T267" s="47">
        <f t="shared" si="40"/>
        <v>3.8740090000000005E-2</v>
      </c>
      <c r="U267" s="48">
        <v>0</v>
      </c>
      <c r="V267" s="40" t="s">
        <v>441</v>
      </c>
    </row>
    <row r="268" spans="1:22" s="42" customFormat="1" ht="45" x14ac:dyDescent="0.25">
      <c r="A268" s="27" t="s">
        <v>188</v>
      </c>
      <c r="B268" s="22" t="s">
        <v>637</v>
      </c>
      <c r="C268" s="52" t="s">
        <v>638</v>
      </c>
      <c r="D268" s="47">
        <v>0</v>
      </c>
      <c r="E268" s="47">
        <v>0</v>
      </c>
      <c r="F268" s="45" t="s">
        <v>50</v>
      </c>
      <c r="G268" s="47">
        <v>0</v>
      </c>
      <c r="H268" s="47">
        <v>0</v>
      </c>
      <c r="I268" s="47">
        <f t="shared" si="44"/>
        <v>0.33219051999999999</v>
      </c>
      <c r="J268" s="47">
        <v>0</v>
      </c>
      <c r="K268" s="47">
        <v>0</v>
      </c>
      <c r="L268" s="47">
        <v>0</v>
      </c>
      <c r="M268" s="45">
        <f>332.19052/1000</f>
        <v>0.33219051999999999</v>
      </c>
      <c r="N268" s="47">
        <v>0</v>
      </c>
      <c r="O268" s="45" t="s">
        <v>50</v>
      </c>
      <c r="P268" s="47">
        <v>0</v>
      </c>
      <c r="Q268" s="45" t="s">
        <v>50</v>
      </c>
      <c r="R268" s="45" t="s">
        <v>50</v>
      </c>
      <c r="S268" s="47">
        <f t="shared" si="39"/>
        <v>-0.33219051999999999</v>
      </c>
      <c r="T268" s="47">
        <f t="shared" si="40"/>
        <v>0.33219051999999999</v>
      </c>
      <c r="U268" s="48">
        <v>0</v>
      </c>
      <c r="V268" s="40" t="s">
        <v>443</v>
      </c>
    </row>
    <row r="269" spans="1:22" s="42" customFormat="1" ht="45" x14ac:dyDescent="0.25">
      <c r="A269" s="27" t="s">
        <v>188</v>
      </c>
      <c r="B269" s="22" t="s">
        <v>639</v>
      </c>
      <c r="C269" s="52" t="s">
        <v>640</v>
      </c>
      <c r="D269" s="47">
        <v>0</v>
      </c>
      <c r="E269" s="47">
        <v>0</v>
      </c>
      <c r="F269" s="45" t="s">
        <v>50</v>
      </c>
      <c r="G269" s="47">
        <v>0</v>
      </c>
      <c r="H269" s="47">
        <v>0</v>
      </c>
      <c r="I269" s="47">
        <f t="shared" si="44"/>
        <v>4.2897739999999997E-2</v>
      </c>
      <c r="J269" s="47">
        <v>0</v>
      </c>
      <c r="K269" s="47">
        <v>0</v>
      </c>
      <c r="L269" s="47">
        <v>0</v>
      </c>
      <c r="M269" s="45">
        <f>42.89774/1000</f>
        <v>4.2897739999999997E-2</v>
      </c>
      <c r="N269" s="47">
        <v>0</v>
      </c>
      <c r="O269" s="45" t="s">
        <v>50</v>
      </c>
      <c r="P269" s="47">
        <v>0</v>
      </c>
      <c r="Q269" s="45" t="s">
        <v>50</v>
      </c>
      <c r="R269" s="45" t="s">
        <v>50</v>
      </c>
      <c r="S269" s="47">
        <f t="shared" si="39"/>
        <v>-4.2897739999999997E-2</v>
      </c>
      <c r="T269" s="47">
        <f t="shared" si="40"/>
        <v>4.2897739999999997E-2</v>
      </c>
      <c r="U269" s="48">
        <v>0</v>
      </c>
      <c r="V269" s="40" t="s">
        <v>443</v>
      </c>
    </row>
    <row r="270" spans="1:22" s="42" customFormat="1" ht="45" x14ac:dyDescent="0.25">
      <c r="A270" s="27" t="s">
        <v>188</v>
      </c>
      <c r="B270" s="22" t="s">
        <v>641</v>
      </c>
      <c r="C270" s="52" t="s">
        <v>642</v>
      </c>
      <c r="D270" s="47">
        <v>0</v>
      </c>
      <c r="E270" s="47">
        <v>0</v>
      </c>
      <c r="F270" s="45" t="s">
        <v>50</v>
      </c>
      <c r="G270" s="47">
        <v>0</v>
      </c>
      <c r="H270" s="47">
        <v>0</v>
      </c>
      <c r="I270" s="47">
        <f t="shared" si="44"/>
        <v>3.3106040000000003E-2</v>
      </c>
      <c r="J270" s="47">
        <v>0</v>
      </c>
      <c r="K270" s="47">
        <v>0</v>
      </c>
      <c r="L270" s="47">
        <v>0</v>
      </c>
      <c r="M270" s="45">
        <f>33.10604/1000</f>
        <v>3.3106040000000003E-2</v>
      </c>
      <c r="N270" s="47">
        <v>0</v>
      </c>
      <c r="O270" s="45" t="s">
        <v>50</v>
      </c>
      <c r="P270" s="47">
        <v>0</v>
      </c>
      <c r="Q270" s="45" t="s">
        <v>50</v>
      </c>
      <c r="R270" s="45" t="s">
        <v>50</v>
      </c>
      <c r="S270" s="47">
        <f t="shared" si="39"/>
        <v>-3.3106040000000003E-2</v>
      </c>
      <c r="T270" s="47">
        <f t="shared" si="40"/>
        <v>3.3106040000000003E-2</v>
      </c>
      <c r="U270" s="48">
        <v>0</v>
      </c>
      <c r="V270" s="40" t="s">
        <v>441</v>
      </c>
    </row>
    <row r="271" spans="1:22" s="42" customFormat="1" ht="45" x14ac:dyDescent="0.25">
      <c r="A271" s="27" t="s">
        <v>188</v>
      </c>
      <c r="B271" s="22" t="s">
        <v>643</v>
      </c>
      <c r="C271" s="52" t="s">
        <v>644</v>
      </c>
      <c r="D271" s="47">
        <v>0</v>
      </c>
      <c r="E271" s="47">
        <v>0</v>
      </c>
      <c r="F271" s="45" t="s">
        <v>50</v>
      </c>
      <c r="G271" s="47">
        <v>0</v>
      </c>
      <c r="H271" s="47">
        <v>0</v>
      </c>
      <c r="I271" s="47">
        <f t="shared" si="44"/>
        <v>0.10642665999999999</v>
      </c>
      <c r="J271" s="47">
        <v>0</v>
      </c>
      <c r="K271" s="47">
        <v>0</v>
      </c>
      <c r="L271" s="47">
        <v>0</v>
      </c>
      <c r="M271" s="45">
        <f>106.42666/1000</f>
        <v>0.10642665999999999</v>
      </c>
      <c r="N271" s="47">
        <v>0</v>
      </c>
      <c r="O271" s="45" t="s">
        <v>50</v>
      </c>
      <c r="P271" s="47">
        <v>0</v>
      </c>
      <c r="Q271" s="45" t="s">
        <v>50</v>
      </c>
      <c r="R271" s="45" t="s">
        <v>50</v>
      </c>
      <c r="S271" s="47">
        <f t="shared" si="39"/>
        <v>-0.10642665999999999</v>
      </c>
      <c r="T271" s="47">
        <f t="shared" si="40"/>
        <v>0.10642665999999999</v>
      </c>
      <c r="U271" s="48">
        <v>0</v>
      </c>
      <c r="V271" s="40" t="s">
        <v>443</v>
      </c>
    </row>
    <row r="272" spans="1:22" s="42" customFormat="1" ht="45" x14ac:dyDescent="0.25">
      <c r="A272" s="27" t="s">
        <v>188</v>
      </c>
      <c r="B272" s="22" t="s">
        <v>645</v>
      </c>
      <c r="C272" s="52" t="s">
        <v>646</v>
      </c>
      <c r="D272" s="47">
        <v>0</v>
      </c>
      <c r="E272" s="47">
        <v>0</v>
      </c>
      <c r="F272" s="45" t="s">
        <v>50</v>
      </c>
      <c r="G272" s="47">
        <v>0</v>
      </c>
      <c r="H272" s="47">
        <v>0</v>
      </c>
      <c r="I272" s="47">
        <f t="shared" si="44"/>
        <v>0.19572869000000001</v>
      </c>
      <c r="J272" s="47">
        <v>0</v>
      </c>
      <c r="K272" s="47">
        <v>0</v>
      </c>
      <c r="L272" s="47">
        <v>0</v>
      </c>
      <c r="M272" s="45">
        <f>195.72869/1000</f>
        <v>0.19572869000000001</v>
      </c>
      <c r="N272" s="47">
        <v>0</v>
      </c>
      <c r="O272" s="45" t="s">
        <v>50</v>
      </c>
      <c r="P272" s="47">
        <v>0</v>
      </c>
      <c r="Q272" s="45" t="s">
        <v>50</v>
      </c>
      <c r="R272" s="45" t="s">
        <v>50</v>
      </c>
      <c r="S272" s="47">
        <f t="shared" si="39"/>
        <v>-0.19572869000000001</v>
      </c>
      <c r="T272" s="47">
        <f t="shared" si="40"/>
        <v>0.19572869000000001</v>
      </c>
      <c r="U272" s="48">
        <v>0</v>
      </c>
      <c r="V272" s="40" t="s">
        <v>443</v>
      </c>
    </row>
    <row r="273" spans="1:22" s="42" customFormat="1" ht="45" x14ac:dyDescent="0.25">
      <c r="A273" s="27" t="s">
        <v>188</v>
      </c>
      <c r="B273" s="22" t="s">
        <v>647</v>
      </c>
      <c r="C273" s="52" t="s">
        <v>648</v>
      </c>
      <c r="D273" s="47">
        <v>0</v>
      </c>
      <c r="E273" s="47">
        <v>0</v>
      </c>
      <c r="F273" s="45" t="s">
        <v>50</v>
      </c>
      <c r="G273" s="47">
        <v>0</v>
      </c>
      <c r="H273" s="47">
        <v>0</v>
      </c>
      <c r="I273" s="47">
        <f t="shared" si="44"/>
        <v>0.10160392</v>
      </c>
      <c r="J273" s="47">
        <v>0</v>
      </c>
      <c r="K273" s="47">
        <v>0</v>
      </c>
      <c r="L273" s="47">
        <v>0</v>
      </c>
      <c r="M273" s="45">
        <f>101.60392/1000</f>
        <v>0.10160392</v>
      </c>
      <c r="N273" s="47">
        <v>0</v>
      </c>
      <c r="O273" s="45" t="s">
        <v>50</v>
      </c>
      <c r="P273" s="47">
        <v>0</v>
      </c>
      <c r="Q273" s="45" t="s">
        <v>50</v>
      </c>
      <c r="R273" s="45" t="s">
        <v>50</v>
      </c>
      <c r="S273" s="47">
        <f t="shared" ref="S273:S336" si="46">G273-I273</f>
        <v>-0.10160392</v>
      </c>
      <c r="T273" s="47">
        <f t="shared" si="40"/>
        <v>0.10160392</v>
      </c>
      <c r="U273" s="48">
        <v>0</v>
      </c>
      <c r="V273" s="40" t="s">
        <v>443</v>
      </c>
    </row>
    <row r="274" spans="1:22" s="42" customFormat="1" ht="45" x14ac:dyDescent="0.25">
      <c r="A274" s="27" t="s">
        <v>188</v>
      </c>
      <c r="B274" s="22" t="s">
        <v>649</v>
      </c>
      <c r="C274" s="52" t="s">
        <v>105</v>
      </c>
      <c r="D274" s="47">
        <v>0</v>
      </c>
      <c r="E274" s="47">
        <v>0</v>
      </c>
      <c r="F274" s="45" t="s">
        <v>50</v>
      </c>
      <c r="G274" s="47">
        <v>0</v>
      </c>
      <c r="H274" s="47">
        <v>0</v>
      </c>
      <c r="I274" s="47">
        <f t="shared" si="44"/>
        <v>0.38569801000000004</v>
      </c>
      <c r="J274" s="47">
        <v>0</v>
      </c>
      <c r="K274" s="47">
        <v>0</v>
      </c>
      <c r="L274" s="47">
        <v>0</v>
      </c>
      <c r="M274" s="45">
        <f>385.69801/1000</f>
        <v>0.38569801000000004</v>
      </c>
      <c r="N274" s="47">
        <v>0</v>
      </c>
      <c r="O274" s="45" t="s">
        <v>50</v>
      </c>
      <c r="P274" s="47">
        <v>0</v>
      </c>
      <c r="Q274" s="45" t="s">
        <v>50</v>
      </c>
      <c r="R274" s="45" t="s">
        <v>50</v>
      </c>
      <c r="S274" s="47">
        <f t="shared" si="46"/>
        <v>-0.38569801000000004</v>
      </c>
      <c r="T274" s="47">
        <f t="shared" ref="T274:T337" si="47">(K274+M274)-(J274+L274)</f>
        <v>0.38569801000000004</v>
      </c>
      <c r="U274" s="48">
        <v>0</v>
      </c>
      <c r="V274" s="40" t="s">
        <v>440</v>
      </c>
    </row>
    <row r="275" spans="1:22" ht="45" x14ac:dyDescent="0.25">
      <c r="A275" s="29" t="s">
        <v>188</v>
      </c>
      <c r="B275" s="30" t="s">
        <v>217</v>
      </c>
      <c r="C275" s="43" t="s">
        <v>218</v>
      </c>
      <c r="D275" s="47">
        <v>0</v>
      </c>
      <c r="E275" s="47">
        <f>21454*1.2/1000000</f>
        <v>2.5744799999999998E-2</v>
      </c>
      <c r="F275" s="45" t="s">
        <v>50</v>
      </c>
      <c r="G275" s="47">
        <f t="shared" si="42"/>
        <v>13.464116699999998</v>
      </c>
      <c r="H275" s="47">
        <f t="shared" si="43"/>
        <v>13.464116699999998</v>
      </c>
      <c r="I275" s="47">
        <f t="shared" si="44"/>
        <v>0</v>
      </c>
      <c r="J275" s="47">
        <v>0.36286970000000002</v>
      </c>
      <c r="K275" s="47">
        <v>0</v>
      </c>
      <c r="L275" s="47">
        <v>13.101246999999999</v>
      </c>
      <c r="M275" s="45">
        <v>0</v>
      </c>
      <c r="N275" s="47">
        <v>0</v>
      </c>
      <c r="O275" s="45" t="s">
        <v>50</v>
      </c>
      <c r="P275" s="47">
        <v>0</v>
      </c>
      <c r="Q275" s="45" t="s">
        <v>50</v>
      </c>
      <c r="R275" s="45" t="s">
        <v>50</v>
      </c>
      <c r="S275" s="47">
        <f t="shared" si="46"/>
        <v>13.464116699999998</v>
      </c>
      <c r="T275" s="47">
        <f t="shared" si="47"/>
        <v>-13.464116699999998</v>
      </c>
      <c r="U275" s="48">
        <f t="shared" ref="U275:U336" si="48">(K275+M275)/(J275+L275)*100-100</f>
        <v>-100</v>
      </c>
      <c r="V275" s="41" t="s">
        <v>442</v>
      </c>
    </row>
    <row r="276" spans="1:22" ht="30" x14ac:dyDescent="0.25">
      <c r="A276" s="29" t="s">
        <v>188</v>
      </c>
      <c r="B276" s="30" t="s">
        <v>219</v>
      </c>
      <c r="C276" s="43" t="s">
        <v>220</v>
      </c>
      <c r="D276" s="47">
        <v>3.506754962962963E-2</v>
      </c>
      <c r="E276" s="47">
        <f>20624.46*1.2/1000000</f>
        <v>2.4749351999999999E-2</v>
      </c>
      <c r="F276" s="45" t="s">
        <v>50</v>
      </c>
      <c r="G276" s="47">
        <f t="shared" si="42"/>
        <v>0.23670595999999999</v>
      </c>
      <c r="H276" s="47">
        <f t="shared" si="43"/>
        <v>0.23670595999999999</v>
      </c>
      <c r="I276" s="47">
        <f t="shared" si="44"/>
        <v>0</v>
      </c>
      <c r="J276" s="47">
        <v>2.6619959999999998E-2</v>
      </c>
      <c r="K276" s="47">
        <v>0</v>
      </c>
      <c r="L276" s="47">
        <v>0</v>
      </c>
      <c r="M276" s="45">
        <v>0</v>
      </c>
      <c r="N276" s="47">
        <v>0.21008599999999999</v>
      </c>
      <c r="O276" s="45" t="s">
        <v>50</v>
      </c>
      <c r="P276" s="47">
        <v>0</v>
      </c>
      <c r="Q276" s="45" t="s">
        <v>50</v>
      </c>
      <c r="R276" s="45" t="s">
        <v>50</v>
      </c>
      <c r="S276" s="47">
        <f t="shared" si="46"/>
        <v>0.23670595999999999</v>
      </c>
      <c r="T276" s="47">
        <f t="shared" si="47"/>
        <v>-2.6619959999999998E-2</v>
      </c>
      <c r="U276" s="48">
        <f t="shared" si="48"/>
        <v>-100</v>
      </c>
      <c r="V276" s="41" t="s">
        <v>442</v>
      </c>
    </row>
    <row r="277" spans="1:22" ht="45" x14ac:dyDescent="0.25">
      <c r="A277" s="21" t="s">
        <v>188</v>
      </c>
      <c r="B277" s="22" t="s">
        <v>221</v>
      </c>
      <c r="C277" s="23" t="s">
        <v>222</v>
      </c>
      <c r="D277" s="47">
        <v>0.20556164148148146</v>
      </c>
      <c r="E277" s="47">
        <f>52094.06*1.2/1000000</f>
        <v>6.2512871999999997E-2</v>
      </c>
      <c r="F277" s="45" t="s">
        <v>50</v>
      </c>
      <c r="G277" s="47">
        <f t="shared" si="42"/>
        <v>1.3875410800000001</v>
      </c>
      <c r="H277" s="47">
        <f t="shared" si="43"/>
        <v>1.3875410800000001</v>
      </c>
      <c r="I277" s="47">
        <f t="shared" si="44"/>
        <v>0</v>
      </c>
      <c r="J277" s="47">
        <v>0.12888007999999998</v>
      </c>
      <c r="K277" s="47">
        <v>0</v>
      </c>
      <c r="L277" s="47">
        <v>0</v>
      </c>
      <c r="M277" s="45">
        <v>0</v>
      </c>
      <c r="N277" s="47">
        <v>1.258661</v>
      </c>
      <c r="O277" s="45" t="s">
        <v>50</v>
      </c>
      <c r="P277" s="47">
        <v>0</v>
      </c>
      <c r="Q277" s="45" t="s">
        <v>50</v>
      </c>
      <c r="R277" s="45" t="s">
        <v>50</v>
      </c>
      <c r="S277" s="47">
        <f t="shared" si="46"/>
        <v>1.3875410800000001</v>
      </c>
      <c r="T277" s="47">
        <f t="shared" si="47"/>
        <v>-0.12888007999999998</v>
      </c>
      <c r="U277" s="48">
        <f t="shared" si="48"/>
        <v>-100</v>
      </c>
      <c r="V277" s="41" t="s">
        <v>442</v>
      </c>
    </row>
    <row r="278" spans="1:22" ht="30" x14ac:dyDescent="0.25">
      <c r="A278" s="21" t="s">
        <v>188</v>
      </c>
      <c r="B278" s="22" t="s">
        <v>223</v>
      </c>
      <c r="C278" s="23" t="s">
        <v>224</v>
      </c>
      <c r="D278" s="47">
        <v>5.4338920000000006E-2</v>
      </c>
      <c r="E278" s="47">
        <v>0</v>
      </c>
      <c r="F278" s="45" t="s">
        <v>50</v>
      </c>
      <c r="G278" s="47">
        <f t="shared" si="42"/>
        <v>0.36678770999999999</v>
      </c>
      <c r="H278" s="47">
        <f t="shared" si="43"/>
        <v>0.36678770999999999</v>
      </c>
      <c r="I278" s="47">
        <f t="shared" si="44"/>
        <v>0</v>
      </c>
      <c r="J278" s="47">
        <v>4.2026710000000002E-2</v>
      </c>
      <c r="K278" s="47">
        <v>0</v>
      </c>
      <c r="L278" s="47">
        <v>0.32476099999999997</v>
      </c>
      <c r="M278" s="45">
        <v>0</v>
      </c>
      <c r="N278" s="47">
        <v>0</v>
      </c>
      <c r="O278" s="45" t="s">
        <v>50</v>
      </c>
      <c r="P278" s="47">
        <v>0</v>
      </c>
      <c r="Q278" s="45" t="s">
        <v>50</v>
      </c>
      <c r="R278" s="45" t="s">
        <v>50</v>
      </c>
      <c r="S278" s="47">
        <f t="shared" si="46"/>
        <v>0.36678770999999999</v>
      </c>
      <c r="T278" s="47">
        <f t="shared" si="47"/>
        <v>-0.36678770999999999</v>
      </c>
      <c r="U278" s="48">
        <f t="shared" si="48"/>
        <v>-100</v>
      </c>
      <c r="V278" s="41" t="s">
        <v>442</v>
      </c>
    </row>
    <row r="279" spans="1:22" ht="45" x14ac:dyDescent="0.25">
      <c r="A279" s="21" t="s">
        <v>188</v>
      </c>
      <c r="B279" s="22" t="s">
        <v>225</v>
      </c>
      <c r="C279" s="23" t="s">
        <v>226</v>
      </c>
      <c r="D279" s="47">
        <v>0.49775125925925923</v>
      </c>
      <c r="E279" s="47">
        <v>0</v>
      </c>
      <c r="F279" s="45" t="s">
        <v>50</v>
      </c>
      <c r="G279" s="47">
        <f t="shared" si="42"/>
        <v>3.3598210000000002</v>
      </c>
      <c r="H279" s="47">
        <f t="shared" si="43"/>
        <v>3.3598210000000002</v>
      </c>
      <c r="I279" s="47">
        <f t="shared" si="44"/>
        <v>0</v>
      </c>
      <c r="J279" s="47">
        <v>0.243507</v>
      </c>
      <c r="K279" s="47">
        <v>0</v>
      </c>
      <c r="L279" s="47">
        <v>3.116314</v>
      </c>
      <c r="M279" s="45">
        <v>0</v>
      </c>
      <c r="N279" s="47">
        <v>0</v>
      </c>
      <c r="O279" s="45" t="s">
        <v>50</v>
      </c>
      <c r="P279" s="47">
        <v>0</v>
      </c>
      <c r="Q279" s="45" t="s">
        <v>50</v>
      </c>
      <c r="R279" s="45" t="s">
        <v>50</v>
      </c>
      <c r="S279" s="47">
        <f t="shared" si="46"/>
        <v>3.3598210000000002</v>
      </c>
      <c r="T279" s="47">
        <f t="shared" si="47"/>
        <v>-3.3598210000000002</v>
      </c>
      <c r="U279" s="48">
        <f t="shared" si="48"/>
        <v>-100</v>
      </c>
      <c r="V279" s="41" t="s">
        <v>442</v>
      </c>
    </row>
    <row r="280" spans="1:22" ht="60" x14ac:dyDescent="0.25">
      <c r="A280" s="21" t="s">
        <v>188</v>
      </c>
      <c r="B280" s="22" t="s">
        <v>227</v>
      </c>
      <c r="C280" s="23" t="s">
        <v>228</v>
      </c>
      <c r="D280" s="47">
        <v>0.97318860000000007</v>
      </c>
      <c r="E280" s="47">
        <v>0</v>
      </c>
      <c r="F280" s="45" t="s">
        <v>50</v>
      </c>
      <c r="G280" s="47">
        <f t="shared" si="42"/>
        <v>6.5690230500000002</v>
      </c>
      <c r="H280" s="47">
        <f t="shared" si="43"/>
        <v>6.5690230500000002</v>
      </c>
      <c r="I280" s="47">
        <f t="shared" si="44"/>
        <v>0</v>
      </c>
      <c r="J280" s="47">
        <v>0.32039305000000001</v>
      </c>
      <c r="K280" s="47">
        <v>0</v>
      </c>
      <c r="L280" s="47">
        <v>6.2486300000000004</v>
      </c>
      <c r="M280" s="45">
        <v>0</v>
      </c>
      <c r="N280" s="47">
        <v>0</v>
      </c>
      <c r="O280" s="45" t="s">
        <v>50</v>
      </c>
      <c r="P280" s="47">
        <v>0</v>
      </c>
      <c r="Q280" s="45" t="s">
        <v>50</v>
      </c>
      <c r="R280" s="45" t="s">
        <v>50</v>
      </c>
      <c r="S280" s="47">
        <f t="shared" si="46"/>
        <v>6.5690230500000002</v>
      </c>
      <c r="T280" s="47">
        <f t="shared" si="47"/>
        <v>-6.5690230500000002</v>
      </c>
      <c r="U280" s="48">
        <f t="shared" si="48"/>
        <v>-100</v>
      </c>
      <c r="V280" s="41" t="s">
        <v>442</v>
      </c>
    </row>
    <row r="281" spans="1:22" ht="45" x14ac:dyDescent="0.25">
      <c r="A281" s="21" t="s">
        <v>188</v>
      </c>
      <c r="B281" s="22" t="s">
        <v>229</v>
      </c>
      <c r="C281" s="23" t="s">
        <v>230</v>
      </c>
      <c r="D281" s="47">
        <v>0.97318815555555549</v>
      </c>
      <c r="E281" s="47">
        <v>0</v>
      </c>
      <c r="F281" s="45" t="s">
        <v>50</v>
      </c>
      <c r="G281" s="47">
        <f t="shared" si="42"/>
        <v>6.5690200499999998</v>
      </c>
      <c r="H281" s="47">
        <f t="shared" si="43"/>
        <v>6.5690200499999998</v>
      </c>
      <c r="I281" s="47">
        <f t="shared" si="44"/>
        <v>0</v>
      </c>
      <c r="J281" s="47">
        <v>0.32039204999999998</v>
      </c>
      <c r="K281" s="47">
        <v>0</v>
      </c>
      <c r="L281" s="47">
        <v>6.2486280000000001</v>
      </c>
      <c r="M281" s="45">
        <v>0</v>
      </c>
      <c r="N281" s="47">
        <v>0</v>
      </c>
      <c r="O281" s="45" t="s">
        <v>50</v>
      </c>
      <c r="P281" s="47">
        <v>0</v>
      </c>
      <c r="Q281" s="45" t="s">
        <v>50</v>
      </c>
      <c r="R281" s="45" t="s">
        <v>50</v>
      </c>
      <c r="S281" s="47">
        <f t="shared" si="46"/>
        <v>6.5690200499999998</v>
      </c>
      <c r="T281" s="47">
        <f t="shared" si="47"/>
        <v>-6.5690200499999998</v>
      </c>
      <c r="U281" s="48">
        <f t="shared" si="48"/>
        <v>-100</v>
      </c>
      <c r="V281" s="41" t="s">
        <v>442</v>
      </c>
    </row>
    <row r="282" spans="1:22" ht="60" x14ac:dyDescent="0.25">
      <c r="A282" s="21" t="s">
        <v>188</v>
      </c>
      <c r="B282" s="22" t="s">
        <v>231</v>
      </c>
      <c r="C282" s="23" t="s">
        <v>232</v>
      </c>
      <c r="D282" s="47">
        <v>0.82734550962962961</v>
      </c>
      <c r="E282" s="47">
        <v>0</v>
      </c>
      <c r="F282" s="45" t="s">
        <v>50</v>
      </c>
      <c r="G282" s="47">
        <f t="shared" si="42"/>
        <v>5.5845821899999999</v>
      </c>
      <c r="H282" s="47">
        <f t="shared" si="43"/>
        <v>5.5845821899999999</v>
      </c>
      <c r="I282" s="47">
        <f t="shared" si="44"/>
        <v>0</v>
      </c>
      <c r="J282" s="47">
        <v>0.30900519000000004</v>
      </c>
      <c r="K282" s="47">
        <v>0</v>
      </c>
      <c r="L282" s="47">
        <v>5.2755770000000002</v>
      </c>
      <c r="M282" s="45">
        <v>0</v>
      </c>
      <c r="N282" s="47">
        <v>0</v>
      </c>
      <c r="O282" s="45" t="s">
        <v>50</v>
      </c>
      <c r="P282" s="47">
        <v>0</v>
      </c>
      <c r="Q282" s="45" t="s">
        <v>50</v>
      </c>
      <c r="R282" s="45" t="s">
        <v>50</v>
      </c>
      <c r="S282" s="47">
        <f t="shared" si="46"/>
        <v>5.5845821899999999</v>
      </c>
      <c r="T282" s="47">
        <f t="shared" si="47"/>
        <v>-5.5845821899999999</v>
      </c>
      <c r="U282" s="48">
        <f t="shared" si="48"/>
        <v>-100</v>
      </c>
      <c r="V282" s="41" t="s">
        <v>442</v>
      </c>
    </row>
    <row r="283" spans="1:22" ht="45" x14ac:dyDescent="0.25">
      <c r="A283" s="21" t="s">
        <v>188</v>
      </c>
      <c r="B283" s="22" t="s">
        <v>233</v>
      </c>
      <c r="C283" s="23" t="s">
        <v>234</v>
      </c>
      <c r="D283" s="47">
        <v>8.8375727407407428E-2</v>
      </c>
      <c r="E283" s="47">
        <v>0</v>
      </c>
      <c r="F283" s="45" t="s">
        <v>50</v>
      </c>
      <c r="G283" s="47">
        <f t="shared" si="42"/>
        <v>0.59653615999999998</v>
      </c>
      <c r="H283" s="47">
        <f t="shared" si="43"/>
        <v>0.59653615999999998</v>
      </c>
      <c r="I283" s="47">
        <f t="shared" si="44"/>
        <v>0</v>
      </c>
      <c r="J283" s="47">
        <v>6.6653160000000003E-2</v>
      </c>
      <c r="K283" s="47">
        <v>0</v>
      </c>
      <c r="L283" s="47">
        <v>0.52988299999999999</v>
      </c>
      <c r="M283" s="45">
        <v>0</v>
      </c>
      <c r="N283" s="47">
        <v>0</v>
      </c>
      <c r="O283" s="45" t="s">
        <v>50</v>
      </c>
      <c r="P283" s="47">
        <v>0</v>
      </c>
      <c r="Q283" s="45" t="s">
        <v>50</v>
      </c>
      <c r="R283" s="45" t="s">
        <v>50</v>
      </c>
      <c r="S283" s="47">
        <f t="shared" si="46"/>
        <v>0.59653615999999998</v>
      </c>
      <c r="T283" s="47">
        <f t="shared" si="47"/>
        <v>-0.59653615999999998</v>
      </c>
      <c r="U283" s="48">
        <f t="shared" si="48"/>
        <v>-100</v>
      </c>
      <c r="V283" s="41" t="s">
        <v>442</v>
      </c>
    </row>
    <row r="284" spans="1:22" ht="45" x14ac:dyDescent="0.25">
      <c r="A284" s="21" t="s">
        <v>188</v>
      </c>
      <c r="B284" s="22" t="s">
        <v>235</v>
      </c>
      <c r="C284" s="23" t="s">
        <v>236</v>
      </c>
      <c r="D284" s="47">
        <v>0.55904088888888881</v>
      </c>
      <c r="E284" s="47">
        <f>191460.19*1.2/1000000</f>
        <v>0.229752228</v>
      </c>
      <c r="F284" s="45" t="s">
        <v>50</v>
      </c>
      <c r="G284" s="47">
        <f t="shared" si="42"/>
        <v>3.7735260000000008</v>
      </c>
      <c r="H284" s="47">
        <f t="shared" si="43"/>
        <v>3.7735260000000008</v>
      </c>
      <c r="I284" s="47">
        <f t="shared" si="44"/>
        <v>0</v>
      </c>
      <c r="J284" s="47">
        <v>0.22469900000000001</v>
      </c>
      <c r="K284" s="47">
        <v>0</v>
      </c>
      <c r="L284" s="47">
        <v>3.5488270000000006</v>
      </c>
      <c r="M284" s="45">
        <v>0</v>
      </c>
      <c r="N284" s="47">
        <v>0</v>
      </c>
      <c r="O284" s="45" t="s">
        <v>50</v>
      </c>
      <c r="P284" s="47">
        <v>0</v>
      </c>
      <c r="Q284" s="45" t="s">
        <v>50</v>
      </c>
      <c r="R284" s="45" t="s">
        <v>50</v>
      </c>
      <c r="S284" s="47">
        <f t="shared" si="46"/>
        <v>3.7735260000000008</v>
      </c>
      <c r="T284" s="47">
        <f t="shared" si="47"/>
        <v>-3.7735260000000008</v>
      </c>
      <c r="U284" s="48">
        <f t="shared" si="48"/>
        <v>-100</v>
      </c>
      <c r="V284" s="41" t="s">
        <v>442</v>
      </c>
    </row>
    <row r="285" spans="1:22" ht="45" x14ac:dyDescent="0.25">
      <c r="A285" s="21" t="s">
        <v>188</v>
      </c>
      <c r="B285" s="22" t="s">
        <v>237</v>
      </c>
      <c r="C285" s="23" t="s">
        <v>238</v>
      </c>
      <c r="D285" s="47">
        <v>0.34671750074074076</v>
      </c>
      <c r="E285" s="47">
        <f>26283.04*1.2/1000000</f>
        <v>3.1539648000000003E-2</v>
      </c>
      <c r="F285" s="45" t="s">
        <v>50</v>
      </c>
      <c r="G285" s="47">
        <f t="shared" si="42"/>
        <v>2.3403431299999999</v>
      </c>
      <c r="H285" s="47">
        <f t="shared" si="43"/>
        <v>2.3403431299999999</v>
      </c>
      <c r="I285" s="47">
        <f t="shared" ref="I285:I348" si="49">K285+M285</f>
        <v>0</v>
      </c>
      <c r="J285" s="47">
        <v>0.19690313000000001</v>
      </c>
      <c r="K285" s="47">
        <v>0</v>
      </c>
      <c r="L285" s="47">
        <v>2.14344</v>
      </c>
      <c r="M285" s="45">
        <v>0</v>
      </c>
      <c r="N285" s="47">
        <v>0</v>
      </c>
      <c r="O285" s="45" t="s">
        <v>50</v>
      </c>
      <c r="P285" s="47">
        <v>0</v>
      </c>
      <c r="Q285" s="45" t="s">
        <v>50</v>
      </c>
      <c r="R285" s="45" t="s">
        <v>50</v>
      </c>
      <c r="S285" s="47">
        <f t="shared" si="46"/>
        <v>2.3403431299999999</v>
      </c>
      <c r="T285" s="47">
        <f t="shared" si="47"/>
        <v>-2.3403431299999999</v>
      </c>
      <c r="U285" s="48">
        <f t="shared" si="48"/>
        <v>-100</v>
      </c>
      <c r="V285" s="41" t="s">
        <v>442</v>
      </c>
    </row>
    <row r="286" spans="1:22" ht="45" x14ac:dyDescent="0.25">
      <c r="A286" s="21" t="s">
        <v>188</v>
      </c>
      <c r="B286" s="22" t="s">
        <v>239</v>
      </c>
      <c r="C286" s="23" t="s">
        <v>240</v>
      </c>
      <c r="D286" s="47">
        <v>0.19880503703703703</v>
      </c>
      <c r="E286" s="47">
        <f>25112.69*1.2/1000000</f>
        <v>3.0135227999999997E-2</v>
      </c>
      <c r="F286" s="45" t="s">
        <v>50</v>
      </c>
      <c r="G286" s="47">
        <f t="shared" si="42"/>
        <v>1.341934</v>
      </c>
      <c r="H286" s="47">
        <f t="shared" si="43"/>
        <v>1.341934</v>
      </c>
      <c r="I286" s="47">
        <f t="shared" si="49"/>
        <v>0</v>
      </c>
      <c r="J286" s="47">
        <v>0.18693299999999999</v>
      </c>
      <c r="K286" s="47">
        <v>0</v>
      </c>
      <c r="L286" s="47">
        <v>1.1550009999999999</v>
      </c>
      <c r="M286" s="45">
        <v>0</v>
      </c>
      <c r="N286" s="47">
        <v>0</v>
      </c>
      <c r="O286" s="45" t="s">
        <v>50</v>
      </c>
      <c r="P286" s="47">
        <v>0</v>
      </c>
      <c r="Q286" s="45" t="s">
        <v>50</v>
      </c>
      <c r="R286" s="45" t="s">
        <v>50</v>
      </c>
      <c r="S286" s="47">
        <f t="shared" si="46"/>
        <v>1.341934</v>
      </c>
      <c r="T286" s="47">
        <f t="shared" si="47"/>
        <v>-1.341934</v>
      </c>
      <c r="U286" s="48">
        <f t="shared" si="48"/>
        <v>-100</v>
      </c>
      <c r="V286" s="41" t="s">
        <v>442</v>
      </c>
    </row>
    <row r="287" spans="1:22" ht="45" x14ac:dyDescent="0.25">
      <c r="A287" s="21" t="s">
        <v>188</v>
      </c>
      <c r="B287" s="22" t="s">
        <v>241</v>
      </c>
      <c r="C287" s="23" t="s">
        <v>242</v>
      </c>
      <c r="D287" s="47">
        <v>0.21986253185185189</v>
      </c>
      <c r="E287" s="47">
        <v>0</v>
      </c>
      <c r="F287" s="45" t="s">
        <v>50</v>
      </c>
      <c r="G287" s="47">
        <f t="shared" si="42"/>
        <v>1.48407209</v>
      </c>
      <c r="H287" s="47">
        <f t="shared" si="43"/>
        <v>1.48407209</v>
      </c>
      <c r="I287" s="47">
        <f t="shared" si="49"/>
        <v>0</v>
      </c>
      <c r="J287" s="47">
        <v>0.13281809</v>
      </c>
      <c r="K287" s="47">
        <v>0</v>
      </c>
      <c r="L287" s="47">
        <v>1.351254</v>
      </c>
      <c r="M287" s="45">
        <v>0</v>
      </c>
      <c r="N287" s="47">
        <v>0</v>
      </c>
      <c r="O287" s="45" t="s">
        <v>50</v>
      </c>
      <c r="P287" s="47">
        <v>0</v>
      </c>
      <c r="Q287" s="45" t="s">
        <v>50</v>
      </c>
      <c r="R287" s="45" t="s">
        <v>50</v>
      </c>
      <c r="S287" s="47">
        <f t="shared" si="46"/>
        <v>1.48407209</v>
      </c>
      <c r="T287" s="47">
        <f t="shared" si="47"/>
        <v>-1.48407209</v>
      </c>
      <c r="U287" s="48">
        <f t="shared" si="48"/>
        <v>-100</v>
      </c>
      <c r="V287" s="41" t="s">
        <v>442</v>
      </c>
    </row>
    <row r="288" spans="1:22" ht="45" x14ac:dyDescent="0.25">
      <c r="A288" s="21" t="s">
        <v>188</v>
      </c>
      <c r="B288" s="22" t="s">
        <v>243</v>
      </c>
      <c r="C288" s="23" t="s">
        <v>244</v>
      </c>
      <c r="D288" s="47">
        <v>0.31874235851851856</v>
      </c>
      <c r="E288" s="47">
        <v>0</v>
      </c>
      <c r="F288" s="45" t="s">
        <v>50</v>
      </c>
      <c r="G288" s="47">
        <f t="shared" si="42"/>
        <v>2.1515109199999998</v>
      </c>
      <c r="H288" s="47">
        <f t="shared" si="43"/>
        <v>2.1515109199999998</v>
      </c>
      <c r="I288" s="47">
        <f t="shared" si="49"/>
        <v>0</v>
      </c>
      <c r="J288" s="47">
        <v>0.15336992000000002</v>
      </c>
      <c r="K288" s="47">
        <v>0</v>
      </c>
      <c r="L288" s="47">
        <v>1.9981409999999999</v>
      </c>
      <c r="M288" s="45">
        <v>0</v>
      </c>
      <c r="N288" s="47">
        <v>0</v>
      </c>
      <c r="O288" s="45" t="s">
        <v>50</v>
      </c>
      <c r="P288" s="47">
        <v>0</v>
      </c>
      <c r="Q288" s="45" t="s">
        <v>50</v>
      </c>
      <c r="R288" s="45" t="s">
        <v>50</v>
      </c>
      <c r="S288" s="47">
        <f t="shared" si="46"/>
        <v>2.1515109199999998</v>
      </c>
      <c r="T288" s="47">
        <f t="shared" si="47"/>
        <v>-2.1515109199999998</v>
      </c>
      <c r="U288" s="48">
        <f t="shared" si="48"/>
        <v>-100</v>
      </c>
      <c r="V288" s="41" t="s">
        <v>442</v>
      </c>
    </row>
    <row r="289" spans="1:22" ht="45" x14ac:dyDescent="0.25">
      <c r="A289" s="21" t="s">
        <v>188</v>
      </c>
      <c r="B289" s="22" t="s">
        <v>245</v>
      </c>
      <c r="C289" s="23" t="s">
        <v>246</v>
      </c>
      <c r="D289" s="47">
        <v>0.20338900888888889</v>
      </c>
      <c r="E289" s="47">
        <v>0</v>
      </c>
      <c r="F289" s="45" t="s">
        <v>50</v>
      </c>
      <c r="G289" s="47">
        <f t="shared" si="42"/>
        <v>1.3728758100000003</v>
      </c>
      <c r="H289" s="47">
        <f t="shared" si="43"/>
        <v>1.3728758100000003</v>
      </c>
      <c r="I289" s="47">
        <f t="shared" si="49"/>
        <v>0</v>
      </c>
      <c r="J289" s="47">
        <v>9.9187810000000001E-2</v>
      </c>
      <c r="K289" s="47">
        <v>0</v>
      </c>
      <c r="L289" s="47">
        <v>0</v>
      </c>
      <c r="M289" s="45">
        <v>0</v>
      </c>
      <c r="N289" s="47">
        <v>1.2736880000000002</v>
      </c>
      <c r="O289" s="45" t="s">
        <v>50</v>
      </c>
      <c r="P289" s="47">
        <v>0</v>
      </c>
      <c r="Q289" s="45" t="s">
        <v>50</v>
      </c>
      <c r="R289" s="45" t="s">
        <v>50</v>
      </c>
      <c r="S289" s="47">
        <f t="shared" si="46"/>
        <v>1.3728758100000003</v>
      </c>
      <c r="T289" s="47">
        <f t="shared" si="47"/>
        <v>-9.9187810000000001E-2</v>
      </c>
      <c r="U289" s="48">
        <f t="shared" si="48"/>
        <v>-100</v>
      </c>
      <c r="V289" s="41" t="s">
        <v>442</v>
      </c>
    </row>
    <row r="290" spans="1:22" ht="30" x14ac:dyDescent="0.25">
      <c r="A290" s="21" t="s">
        <v>188</v>
      </c>
      <c r="B290" s="22" t="s">
        <v>247</v>
      </c>
      <c r="C290" s="23" t="s">
        <v>248</v>
      </c>
      <c r="D290" s="47">
        <v>0.18951197629629629</v>
      </c>
      <c r="E290" s="47">
        <v>0</v>
      </c>
      <c r="F290" s="45" t="s">
        <v>50</v>
      </c>
      <c r="G290" s="47">
        <f t="shared" si="42"/>
        <v>1.2792058399999999</v>
      </c>
      <c r="H290" s="47">
        <f t="shared" si="43"/>
        <v>1.2792058399999999</v>
      </c>
      <c r="I290" s="47">
        <f t="shared" si="49"/>
        <v>0</v>
      </c>
      <c r="J290" s="47">
        <v>0.10255083999999999</v>
      </c>
      <c r="K290" s="47">
        <v>0</v>
      </c>
      <c r="L290" s="47">
        <v>0</v>
      </c>
      <c r="M290" s="45">
        <v>0</v>
      </c>
      <c r="N290" s="47">
        <v>1.176655</v>
      </c>
      <c r="O290" s="45" t="s">
        <v>50</v>
      </c>
      <c r="P290" s="47">
        <v>0</v>
      </c>
      <c r="Q290" s="45" t="s">
        <v>50</v>
      </c>
      <c r="R290" s="45" t="s">
        <v>50</v>
      </c>
      <c r="S290" s="47">
        <f t="shared" si="46"/>
        <v>1.2792058399999999</v>
      </c>
      <c r="T290" s="47">
        <f t="shared" si="47"/>
        <v>-0.10255083999999999</v>
      </c>
      <c r="U290" s="48">
        <f t="shared" si="48"/>
        <v>-100</v>
      </c>
      <c r="V290" s="41" t="s">
        <v>442</v>
      </c>
    </row>
    <row r="291" spans="1:22" ht="45" x14ac:dyDescent="0.25">
      <c r="A291" s="21" t="s">
        <v>188</v>
      </c>
      <c r="B291" s="22" t="s">
        <v>249</v>
      </c>
      <c r="C291" s="23" t="s">
        <v>250</v>
      </c>
      <c r="D291" s="47">
        <v>0.51635596444444454</v>
      </c>
      <c r="E291" s="47">
        <v>0</v>
      </c>
      <c r="F291" s="45" t="s">
        <v>50</v>
      </c>
      <c r="G291" s="47">
        <f t="shared" si="42"/>
        <v>3.4854027599999999</v>
      </c>
      <c r="H291" s="47">
        <f t="shared" si="43"/>
        <v>3.4854027599999999</v>
      </c>
      <c r="I291" s="47">
        <f t="shared" si="49"/>
        <v>0</v>
      </c>
      <c r="J291" s="47">
        <v>0.23501675999999999</v>
      </c>
      <c r="K291" s="47">
        <v>0</v>
      </c>
      <c r="L291" s="47">
        <v>0</v>
      </c>
      <c r="M291" s="45">
        <v>0</v>
      </c>
      <c r="N291" s="47">
        <v>3.2503859999999998</v>
      </c>
      <c r="O291" s="45" t="s">
        <v>50</v>
      </c>
      <c r="P291" s="47">
        <v>0</v>
      </c>
      <c r="Q291" s="45" t="s">
        <v>50</v>
      </c>
      <c r="R291" s="45" t="s">
        <v>50</v>
      </c>
      <c r="S291" s="47">
        <f t="shared" si="46"/>
        <v>3.4854027599999999</v>
      </c>
      <c r="T291" s="47">
        <f t="shared" si="47"/>
        <v>-0.23501675999999999</v>
      </c>
      <c r="U291" s="48">
        <f t="shared" si="48"/>
        <v>-100</v>
      </c>
      <c r="V291" s="41" t="s">
        <v>442</v>
      </c>
    </row>
    <row r="292" spans="1:22" ht="30" x14ac:dyDescent="0.25">
      <c r="A292" s="21" t="s">
        <v>188</v>
      </c>
      <c r="B292" s="22" t="s">
        <v>251</v>
      </c>
      <c r="C292" s="23" t="s">
        <v>252</v>
      </c>
      <c r="D292" s="47">
        <v>0.34051856444444445</v>
      </c>
      <c r="E292" s="47">
        <v>0</v>
      </c>
      <c r="F292" s="45" t="s">
        <v>50</v>
      </c>
      <c r="G292" s="47">
        <f t="shared" si="42"/>
        <v>2.2985003099999997</v>
      </c>
      <c r="H292" s="47">
        <f t="shared" si="43"/>
        <v>2.2985003099999997</v>
      </c>
      <c r="I292" s="47">
        <f t="shared" si="49"/>
        <v>0</v>
      </c>
      <c r="J292" s="47">
        <v>0.15972231000000001</v>
      </c>
      <c r="K292" s="47">
        <v>0</v>
      </c>
      <c r="L292" s="47">
        <v>0</v>
      </c>
      <c r="M292" s="45">
        <v>0</v>
      </c>
      <c r="N292" s="47">
        <v>2.1387779999999998</v>
      </c>
      <c r="O292" s="45" t="s">
        <v>50</v>
      </c>
      <c r="P292" s="47">
        <v>0</v>
      </c>
      <c r="Q292" s="45" t="s">
        <v>50</v>
      </c>
      <c r="R292" s="45" t="s">
        <v>50</v>
      </c>
      <c r="S292" s="47">
        <f t="shared" si="46"/>
        <v>2.2985003099999997</v>
      </c>
      <c r="T292" s="47">
        <f t="shared" si="47"/>
        <v>-0.15972231000000001</v>
      </c>
      <c r="U292" s="48">
        <f t="shared" si="48"/>
        <v>-100</v>
      </c>
      <c r="V292" s="41" t="s">
        <v>442</v>
      </c>
    </row>
    <row r="293" spans="1:22" ht="30" x14ac:dyDescent="0.25">
      <c r="A293" s="21" t="s">
        <v>188</v>
      </c>
      <c r="B293" s="22" t="s">
        <v>253</v>
      </c>
      <c r="C293" s="23" t="s">
        <v>254</v>
      </c>
      <c r="D293" s="47">
        <v>0.27003597777777777</v>
      </c>
      <c r="E293" s="47">
        <f>50477.82*1.2/1000000</f>
        <v>6.0573384000000001E-2</v>
      </c>
      <c r="F293" s="45" t="s">
        <v>50</v>
      </c>
      <c r="G293" s="47">
        <f t="shared" si="42"/>
        <v>1.82274285</v>
      </c>
      <c r="H293" s="47">
        <f t="shared" si="43"/>
        <v>1.82274285</v>
      </c>
      <c r="I293" s="47">
        <f t="shared" si="49"/>
        <v>0.31586020999999997</v>
      </c>
      <c r="J293" s="47">
        <v>0.10479285000000001</v>
      </c>
      <c r="K293" s="47">
        <v>0</v>
      </c>
      <c r="L293" s="47">
        <v>1.7179500000000001</v>
      </c>
      <c r="M293" s="45">
        <f>315.86021/1000</f>
        <v>0.31586020999999997</v>
      </c>
      <c r="N293" s="47">
        <v>0</v>
      </c>
      <c r="O293" s="45" t="s">
        <v>50</v>
      </c>
      <c r="P293" s="47">
        <v>0</v>
      </c>
      <c r="Q293" s="45" t="s">
        <v>50</v>
      </c>
      <c r="R293" s="45" t="s">
        <v>50</v>
      </c>
      <c r="S293" s="47">
        <f t="shared" si="46"/>
        <v>1.5068826400000002</v>
      </c>
      <c r="T293" s="47">
        <f t="shared" si="47"/>
        <v>-1.5068826400000002</v>
      </c>
      <c r="U293" s="48">
        <f t="shared" si="48"/>
        <v>-82.671159017301861</v>
      </c>
      <c r="V293" s="41" t="s">
        <v>442</v>
      </c>
    </row>
    <row r="294" spans="1:22" ht="30" x14ac:dyDescent="0.25">
      <c r="A294" s="21" t="s">
        <v>188</v>
      </c>
      <c r="B294" s="22" t="s">
        <v>255</v>
      </c>
      <c r="C294" s="23" t="s">
        <v>256</v>
      </c>
      <c r="D294" s="47">
        <v>0.20831691999999996</v>
      </c>
      <c r="E294" s="47">
        <f>42570.25*1.2/1000000</f>
        <v>5.1084299999999992E-2</v>
      </c>
      <c r="F294" s="45" t="s">
        <v>50</v>
      </c>
      <c r="G294" s="47">
        <f t="shared" si="42"/>
        <v>1.4061392100000001</v>
      </c>
      <c r="H294" s="47">
        <f t="shared" si="43"/>
        <v>1.4061392100000001</v>
      </c>
      <c r="I294" s="47">
        <f t="shared" si="49"/>
        <v>0.34581767000000002</v>
      </c>
      <c r="J294" s="47">
        <v>0.10778221</v>
      </c>
      <c r="K294" s="47">
        <v>0</v>
      </c>
      <c r="L294" s="47">
        <v>1.298357</v>
      </c>
      <c r="M294" s="45">
        <f>345.81767/1000</f>
        <v>0.34581767000000002</v>
      </c>
      <c r="N294" s="47">
        <v>0</v>
      </c>
      <c r="O294" s="45" t="s">
        <v>50</v>
      </c>
      <c r="P294" s="47">
        <v>0</v>
      </c>
      <c r="Q294" s="45" t="s">
        <v>50</v>
      </c>
      <c r="R294" s="45" t="s">
        <v>50</v>
      </c>
      <c r="S294" s="47">
        <f t="shared" si="46"/>
        <v>1.0603215400000001</v>
      </c>
      <c r="T294" s="47">
        <f t="shared" si="47"/>
        <v>-1.0603215400000001</v>
      </c>
      <c r="U294" s="48">
        <f t="shared" si="48"/>
        <v>-75.406583676732836</v>
      </c>
      <c r="V294" s="41" t="s">
        <v>442</v>
      </c>
    </row>
    <row r="295" spans="1:22" ht="45" x14ac:dyDescent="0.25">
      <c r="A295" s="21" t="s">
        <v>188</v>
      </c>
      <c r="B295" s="22" t="s">
        <v>257</v>
      </c>
      <c r="C295" s="23" t="s">
        <v>258</v>
      </c>
      <c r="D295" s="47">
        <v>1.0520749614814815</v>
      </c>
      <c r="E295" s="47">
        <f>308048.07*1.2/1000000</f>
        <v>0.36965768399999999</v>
      </c>
      <c r="F295" s="45" t="s">
        <v>50</v>
      </c>
      <c r="G295" s="47">
        <f t="shared" si="42"/>
        <v>7.1015059899999997</v>
      </c>
      <c r="H295" s="47">
        <f t="shared" si="43"/>
        <v>7.1015059899999997</v>
      </c>
      <c r="I295" s="47">
        <f t="shared" si="49"/>
        <v>0</v>
      </c>
      <c r="J295" s="47">
        <v>0.42089898999999997</v>
      </c>
      <c r="K295" s="47">
        <v>0</v>
      </c>
      <c r="L295" s="47">
        <v>6.6806070000000002</v>
      </c>
      <c r="M295" s="45">
        <v>0</v>
      </c>
      <c r="N295" s="47">
        <v>0</v>
      </c>
      <c r="O295" s="45" t="s">
        <v>50</v>
      </c>
      <c r="P295" s="47">
        <v>0</v>
      </c>
      <c r="Q295" s="45" t="s">
        <v>50</v>
      </c>
      <c r="R295" s="45" t="s">
        <v>50</v>
      </c>
      <c r="S295" s="47">
        <f t="shared" si="46"/>
        <v>7.1015059899999997</v>
      </c>
      <c r="T295" s="47">
        <f t="shared" si="47"/>
        <v>-7.1015059899999997</v>
      </c>
      <c r="U295" s="48">
        <f t="shared" si="48"/>
        <v>-100</v>
      </c>
      <c r="V295" s="41" t="s">
        <v>442</v>
      </c>
    </row>
    <row r="296" spans="1:22" ht="45" x14ac:dyDescent="0.25">
      <c r="A296" s="21" t="s">
        <v>188</v>
      </c>
      <c r="B296" s="22" t="s">
        <v>259</v>
      </c>
      <c r="C296" s="23" t="s">
        <v>260</v>
      </c>
      <c r="D296" s="47">
        <v>1.6221620296296297</v>
      </c>
      <c r="E296" s="47">
        <f>434687.7*1.2/1000000</f>
        <v>0.52162523999999999</v>
      </c>
      <c r="F296" s="45" t="s">
        <v>50</v>
      </c>
      <c r="G296" s="47">
        <f t="shared" si="42"/>
        <v>10.949593700000001</v>
      </c>
      <c r="H296" s="47">
        <f t="shared" si="43"/>
        <v>10.949593700000001</v>
      </c>
      <c r="I296" s="47">
        <f t="shared" si="49"/>
        <v>0</v>
      </c>
      <c r="J296" s="47">
        <v>0.40913769999999999</v>
      </c>
      <c r="K296" s="47">
        <v>0</v>
      </c>
      <c r="L296" s="47">
        <v>0</v>
      </c>
      <c r="M296" s="45">
        <v>0</v>
      </c>
      <c r="N296" s="47">
        <v>0</v>
      </c>
      <c r="O296" s="45" t="s">
        <v>50</v>
      </c>
      <c r="P296" s="47">
        <v>10.540456000000001</v>
      </c>
      <c r="Q296" s="45" t="s">
        <v>50</v>
      </c>
      <c r="R296" s="45" t="s">
        <v>50</v>
      </c>
      <c r="S296" s="47">
        <f t="shared" si="46"/>
        <v>10.949593700000001</v>
      </c>
      <c r="T296" s="47">
        <f t="shared" si="47"/>
        <v>-0.40913769999999999</v>
      </c>
      <c r="U296" s="48">
        <f t="shared" si="48"/>
        <v>-100</v>
      </c>
      <c r="V296" s="41" t="s">
        <v>442</v>
      </c>
    </row>
    <row r="297" spans="1:22" ht="45" x14ac:dyDescent="0.25">
      <c r="A297" s="56" t="s">
        <v>188</v>
      </c>
      <c r="B297" s="22" t="s">
        <v>418</v>
      </c>
      <c r="C297" s="55" t="s">
        <v>224</v>
      </c>
      <c r="D297" s="47">
        <v>0</v>
      </c>
      <c r="E297" s="47">
        <v>0</v>
      </c>
      <c r="F297" s="45" t="s">
        <v>50</v>
      </c>
      <c r="G297" s="47">
        <f t="shared" si="42"/>
        <v>0</v>
      </c>
      <c r="H297" s="47">
        <f t="shared" si="43"/>
        <v>0</v>
      </c>
      <c r="I297" s="47">
        <f t="shared" si="49"/>
        <v>0.21535507000000001</v>
      </c>
      <c r="J297" s="47">
        <v>0</v>
      </c>
      <c r="K297" s="47">
        <f>215.35507/1000</f>
        <v>0.21535507000000001</v>
      </c>
      <c r="L297" s="47">
        <v>0</v>
      </c>
      <c r="M297" s="45">
        <v>0</v>
      </c>
      <c r="N297" s="47">
        <v>0</v>
      </c>
      <c r="O297" s="45" t="s">
        <v>50</v>
      </c>
      <c r="P297" s="47">
        <v>0</v>
      </c>
      <c r="Q297" s="45" t="s">
        <v>50</v>
      </c>
      <c r="R297" s="45" t="s">
        <v>50</v>
      </c>
      <c r="S297" s="47">
        <f t="shared" si="46"/>
        <v>-0.21535507000000001</v>
      </c>
      <c r="T297" s="47">
        <f t="shared" si="47"/>
        <v>0.21535507000000001</v>
      </c>
      <c r="U297" s="48">
        <v>0</v>
      </c>
      <c r="V297" s="40" t="s">
        <v>443</v>
      </c>
    </row>
    <row r="298" spans="1:22" ht="45" x14ac:dyDescent="0.25">
      <c r="A298" s="56" t="s">
        <v>188</v>
      </c>
      <c r="B298" s="22" t="s">
        <v>419</v>
      </c>
      <c r="C298" s="55" t="s">
        <v>226</v>
      </c>
      <c r="D298" s="47">
        <v>0</v>
      </c>
      <c r="E298" s="47">
        <v>0</v>
      </c>
      <c r="F298" s="45" t="s">
        <v>50</v>
      </c>
      <c r="G298" s="47">
        <f t="shared" si="42"/>
        <v>0</v>
      </c>
      <c r="H298" s="47">
        <f t="shared" si="43"/>
        <v>0</v>
      </c>
      <c r="I298" s="47">
        <f t="shared" si="49"/>
        <v>0.15917719999999999</v>
      </c>
      <c r="J298" s="47">
        <v>0</v>
      </c>
      <c r="K298" s="47">
        <f>159.1772/1000</f>
        <v>0.15917719999999999</v>
      </c>
      <c r="L298" s="47">
        <v>0</v>
      </c>
      <c r="M298" s="45">
        <v>0</v>
      </c>
      <c r="N298" s="47">
        <v>0</v>
      </c>
      <c r="O298" s="45" t="s">
        <v>50</v>
      </c>
      <c r="P298" s="47">
        <v>0</v>
      </c>
      <c r="Q298" s="45" t="s">
        <v>50</v>
      </c>
      <c r="R298" s="45" t="s">
        <v>50</v>
      </c>
      <c r="S298" s="47">
        <f t="shared" si="46"/>
        <v>-0.15917719999999999</v>
      </c>
      <c r="T298" s="47">
        <f t="shared" si="47"/>
        <v>0.15917719999999999</v>
      </c>
      <c r="U298" s="48">
        <v>0</v>
      </c>
      <c r="V298" s="40" t="s">
        <v>443</v>
      </c>
    </row>
    <row r="299" spans="1:22" ht="45" x14ac:dyDescent="0.25">
      <c r="A299" s="56" t="s">
        <v>188</v>
      </c>
      <c r="B299" s="22" t="s">
        <v>420</v>
      </c>
      <c r="C299" s="55" t="s">
        <v>421</v>
      </c>
      <c r="D299" s="47">
        <v>0</v>
      </c>
      <c r="E299" s="47">
        <v>0</v>
      </c>
      <c r="F299" s="45" t="s">
        <v>50</v>
      </c>
      <c r="G299" s="47">
        <f t="shared" si="42"/>
        <v>0</v>
      </c>
      <c r="H299" s="47">
        <f t="shared" si="43"/>
        <v>0</v>
      </c>
      <c r="I299" s="47">
        <f t="shared" si="49"/>
        <v>0.5025695</v>
      </c>
      <c r="J299" s="47">
        <v>0</v>
      </c>
      <c r="K299" s="47">
        <v>0</v>
      </c>
      <c r="L299" s="47">
        <v>0</v>
      </c>
      <c r="M299" s="45">
        <f>502.5695/1000</f>
        <v>0.5025695</v>
      </c>
      <c r="N299" s="47">
        <v>0</v>
      </c>
      <c r="O299" s="45" t="s">
        <v>50</v>
      </c>
      <c r="P299" s="47">
        <v>0</v>
      </c>
      <c r="Q299" s="45" t="s">
        <v>50</v>
      </c>
      <c r="R299" s="45" t="s">
        <v>50</v>
      </c>
      <c r="S299" s="47">
        <f t="shared" si="46"/>
        <v>-0.5025695</v>
      </c>
      <c r="T299" s="47">
        <f t="shared" si="47"/>
        <v>0.5025695</v>
      </c>
      <c r="U299" s="48">
        <v>0</v>
      </c>
      <c r="V299" s="40" t="s">
        <v>443</v>
      </c>
    </row>
    <row r="300" spans="1:22" ht="30" x14ac:dyDescent="0.25">
      <c r="A300" s="56" t="s">
        <v>188</v>
      </c>
      <c r="B300" s="22" t="s">
        <v>422</v>
      </c>
      <c r="C300" s="55" t="s">
        <v>423</v>
      </c>
      <c r="D300" s="47">
        <v>0</v>
      </c>
      <c r="E300" s="47">
        <f>1669838.71*1.2/1000000</f>
        <v>2.0038064519999996</v>
      </c>
      <c r="F300" s="45" t="s">
        <v>50</v>
      </c>
      <c r="G300" s="47">
        <f t="shared" si="42"/>
        <v>0</v>
      </c>
      <c r="H300" s="47">
        <f t="shared" si="43"/>
        <v>0</v>
      </c>
      <c r="I300" s="47">
        <f t="shared" si="49"/>
        <v>2.3693221000000002</v>
      </c>
      <c r="J300" s="47">
        <v>0</v>
      </c>
      <c r="K300" s="47">
        <f>2325.18492/1000</f>
        <v>2.3251849200000003</v>
      </c>
      <c r="L300" s="47">
        <v>0</v>
      </c>
      <c r="M300" s="45">
        <f>44.13718/1000</f>
        <v>4.4137179999999998E-2</v>
      </c>
      <c r="N300" s="47">
        <v>0</v>
      </c>
      <c r="O300" s="45" t="s">
        <v>50</v>
      </c>
      <c r="P300" s="47">
        <v>0</v>
      </c>
      <c r="Q300" s="45" t="s">
        <v>50</v>
      </c>
      <c r="R300" s="45" t="s">
        <v>50</v>
      </c>
      <c r="S300" s="47">
        <f t="shared" si="46"/>
        <v>-2.3693221000000002</v>
      </c>
      <c r="T300" s="47">
        <f t="shared" si="47"/>
        <v>2.3693221000000002</v>
      </c>
      <c r="U300" s="48">
        <v>0</v>
      </c>
      <c r="V300" s="40" t="s">
        <v>437</v>
      </c>
    </row>
    <row r="301" spans="1:22" ht="30" x14ac:dyDescent="0.25">
      <c r="A301" s="56" t="s">
        <v>188</v>
      </c>
      <c r="B301" s="22" t="s">
        <v>424</v>
      </c>
      <c r="C301" s="55" t="s">
        <v>425</v>
      </c>
      <c r="D301" s="47">
        <v>0</v>
      </c>
      <c r="E301" s="47">
        <f>1399947.52*1.2/1000000</f>
        <v>1.679937024</v>
      </c>
      <c r="F301" s="45" t="s">
        <v>50</v>
      </c>
      <c r="G301" s="47">
        <f t="shared" si="42"/>
        <v>0</v>
      </c>
      <c r="H301" s="47">
        <f t="shared" si="43"/>
        <v>0</v>
      </c>
      <c r="I301" s="47">
        <f t="shared" si="49"/>
        <v>2.1942462700000003</v>
      </c>
      <c r="J301" s="47">
        <v>0</v>
      </c>
      <c r="K301" s="47">
        <f>2104.78578/1000</f>
        <v>2.1047857800000003</v>
      </c>
      <c r="L301" s="47">
        <v>0</v>
      </c>
      <c r="M301" s="45">
        <f>89.46049/1000</f>
        <v>8.946048999999999E-2</v>
      </c>
      <c r="N301" s="47">
        <v>0</v>
      </c>
      <c r="O301" s="45" t="s">
        <v>50</v>
      </c>
      <c r="P301" s="47">
        <v>0</v>
      </c>
      <c r="Q301" s="45" t="s">
        <v>50</v>
      </c>
      <c r="R301" s="45" t="s">
        <v>50</v>
      </c>
      <c r="S301" s="47">
        <f t="shared" si="46"/>
        <v>-2.1942462700000003</v>
      </c>
      <c r="T301" s="47">
        <f t="shared" si="47"/>
        <v>2.1942462700000003</v>
      </c>
      <c r="U301" s="48">
        <v>0</v>
      </c>
      <c r="V301" s="40" t="s">
        <v>437</v>
      </c>
    </row>
    <row r="302" spans="1:22" ht="30" x14ac:dyDescent="0.25">
      <c r="A302" s="56" t="s">
        <v>188</v>
      </c>
      <c r="B302" s="22" t="s">
        <v>426</v>
      </c>
      <c r="C302" s="55" t="s">
        <v>427</v>
      </c>
      <c r="D302" s="47">
        <v>0</v>
      </c>
      <c r="E302" s="47">
        <v>0</v>
      </c>
      <c r="F302" s="45" t="s">
        <v>50</v>
      </c>
      <c r="G302" s="47">
        <f t="shared" si="42"/>
        <v>0</v>
      </c>
      <c r="H302" s="47">
        <f t="shared" si="43"/>
        <v>0</v>
      </c>
      <c r="I302" s="47">
        <f t="shared" si="49"/>
        <v>0</v>
      </c>
      <c r="J302" s="47">
        <v>0</v>
      </c>
      <c r="K302" s="47">
        <v>0</v>
      </c>
      <c r="L302" s="47">
        <v>0</v>
      </c>
      <c r="M302" s="45">
        <v>0</v>
      </c>
      <c r="N302" s="47">
        <v>0</v>
      </c>
      <c r="O302" s="45" t="s">
        <v>50</v>
      </c>
      <c r="P302" s="47">
        <v>0</v>
      </c>
      <c r="Q302" s="45" t="s">
        <v>50</v>
      </c>
      <c r="R302" s="45" t="s">
        <v>50</v>
      </c>
      <c r="S302" s="47">
        <f t="shared" si="46"/>
        <v>0</v>
      </c>
      <c r="T302" s="47">
        <f t="shared" si="47"/>
        <v>0</v>
      </c>
      <c r="U302" s="48">
        <v>0</v>
      </c>
      <c r="V302" s="40" t="s">
        <v>437</v>
      </c>
    </row>
    <row r="303" spans="1:22" s="42" customFormat="1" ht="30" x14ac:dyDescent="0.25">
      <c r="A303" s="67" t="s">
        <v>188</v>
      </c>
      <c r="B303" s="22" t="s">
        <v>650</v>
      </c>
      <c r="C303" s="55" t="s">
        <v>651</v>
      </c>
      <c r="D303" s="47">
        <v>0</v>
      </c>
      <c r="E303" s="47">
        <v>0</v>
      </c>
      <c r="F303" s="45" t="s">
        <v>50</v>
      </c>
      <c r="G303" s="47">
        <v>0</v>
      </c>
      <c r="H303" s="47">
        <v>0</v>
      </c>
      <c r="I303" s="47">
        <f t="shared" si="49"/>
        <v>0.15551553999999998</v>
      </c>
      <c r="J303" s="47">
        <v>0</v>
      </c>
      <c r="K303" s="47">
        <v>0</v>
      </c>
      <c r="L303" s="47">
        <v>0</v>
      </c>
      <c r="M303" s="45">
        <f>155.51554/1000</f>
        <v>0.15551553999999998</v>
      </c>
      <c r="N303" s="47">
        <v>0</v>
      </c>
      <c r="O303" s="45" t="s">
        <v>50</v>
      </c>
      <c r="P303" s="47">
        <v>0</v>
      </c>
      <c r="Q303" s="45" t="s">
        <v>50</v>
      </c>
      <c r="R303" s="45" t="s">
        <v>50</v>
      </c>
      <c r="S303" s="47">
        <f t="shared" si="46"/>
        <v>-0.15551553999999998</v>
      </c>
      <c r="T303" s="47">
        <f t="shared" si="47"/>
        <v>0.15551553999999998</v>
      </c>
      <c r="U303" s="48">
        <v>0</v>
      </c>
      <c r="V303" s="40" t="s">
        <v>437</v>
      </c>
    </row>
    <row r="304" spans="1:22" s="42" customFormat="1" ht="30" x14ac:dyDescent="0.25">
      <c r="A304" s="67" t="s">
        <v>188</v>
      </c>
      <c r="B304" s="22" t="s">
        <v>652</v>
      </c>
      <c r="C304" s="55" t="s">
        <v>653</v>
      </c>
      <c r="D304" s="47">
        <v>0</v>
      </c>
      <c r="E304" s="47">
        <v>0</v>
      </c>
      <c r="F304" s="45" t="s">
        <v>50</v>
      </c>
      <c r="G304" s="47">
        <v>0</v>
      </c>
      <c r="H304" s="47">
        <v>0</v>
      </c>
      <c r="I304" s="47">
        <f t="shared" si="49"/>
        <v>0.10091878</v>
      </c>
      <c r="J304" s="47">
        <v>0</v>
      </c>
      <c r="K304" s="47">
        <v>0</v>
      </c>
      <c r="L304" s="47">
        <v>0</v>
      </c>
      <c r="M304" s="45">
        <f>100.91878/1000</f>
        <v>0.10091878</v>
      </c>
      <c r="N304" s="47">
        <v>0</v>
      </c>
      <c r="O304" s="45" t="s">
        <v>50</v>
      </c>
      <c r="P304" s="47">
        <v>0</v>
      </c>
      <c r="Q304" s="45" t="s">
        <v>50</v>
      </c>
      <c r="R304" s="45" t="s">
        <v>50</v>
      </c>
      <c r="S304" s="47">
        <f t="shared" si="46"/>
        <v>-0.10091878</v>
      </c>
      <c r="T304" s="47">
        <f t="shared" si="47"/>
        <v>0.10091878</v>
      </c>
      <c r="U304" s="48">
        <v>0</v>
      </c>
      <c r="V304" s="40" t="s">
        <v>437</v>
      </c>
    </row>
    <row r="305" spans="1:22" s="42" customFormat="1" ht="30" x14ac:dyDescent="0.25">
      <c r="A305" s="67" t="s">
        <v>188</v>
      </c>
      <c r="B305" s="22" t="s">
        <v>654</v>
      </c>
      <c r="C305" s="55" t="s">
        <v>655</v>
      </c>
      <c r="D305" s="47">
        <v>0</v>
      </c>
      <c r="E305" s="47">
        <v>0</v>
      </c>
      <c r="F305" s="45" t="s">
        <v>50</v>
      </c>
      <c r="G305" s="47">
        <v>0</v>
      </c>
      <c r="H305" s="47">
        <v>0</v>
      </c>
      <c r="I305" s="47">
        <f t="shared" si="49"/>
        <v>0.11427668000000001</v>
      </c>
      <c r="J305" s="47">
        <v>0</v>
      </c>
      <c r="K305" s="47">
        <v>0</v>
      </c>
      <c r="L305" s="47">
        <v>0</v>
      </c>
      <c r="M305" s="45">
        <f>114.27668/1000</f>
        <v>0.11427668000000001</v>
      </c>
      <c r="N305" s="47">
        <v>0</v>
      </c>
      <c r="O305" s="45" t="s">
        <v>50</v>
      </c>
      <c r="P305" s="47">
        <v>0</v>
      </c>
      <c r="Q305" s="45" t="s">
        <v>50</v>
      </c>
      <c r="R305" s="45" t="s">
        <v>50</v>
      </c>
      <c r="S305" s="47">
        <f t="shared" si="46"/>
        <v>-0.11427668000000001</v>
      </c>
      <c r="T305" s="47">
        <f t="shared" si="47"/>
        <v>0.11427668000000001</v>
      </c>
      <c r="U305" s="48">
        <v>0</v>
      </c>
      <c r="V305" s="40" t="s">
        <v>437</v>
      </c>
    </row>
    <row r="306" spans="1:22" s="42" customFormat="1" ht="45" x14ac:dyDescent="0.25">
      <c r="A306" s="67" t="s">
        <v>188</v>
      </c>
      <c r="B306" s="22" t="s">
        <v>656</v>
      </c>
      <c r="C306" s="55" t="s">
        <v>657</v>
      </c>
      <c r="D306" s="47">
        <v>0</v>
      </c>
      <c r="E306" s="47">
        <v>0</v>
      </c>
      <c r="F306" s="45" t="s">
        <v>50</v>
      </c>
      <c r="G306" s="47">
        <v>0</v>
      </c>
      <c r="H306" s="47">
        <v>0</v>
      </c>
      <c r="I306" s="47">
        <f t="shared" si="49"/>
        <v>0</v>
      </c>
      <c r="J306" s="47">
        <v>0</v>
      </c>
      <c r="K306" s="47">
        <v>0</v>
      </c>
      <c r="L306" s="47">
        <v>0</v>
      </c>
      <c r="M306" s="45">
        <v>0</v>
      </c>
      <c r="N306" s="47">
        <v>0</v>
      </c>
      <c r="O306" s="45" t="s">
        <v>50</v>
      </c>
      <c r="P306" s="47">
        <v>0</v>
      </c>
      <c r="Q306" s="45" t="s">
        <v>50</v>
      </c>
      <c r="R306" s="45" t="s">
        <v>50</v>
      </c>
      <c r="S306" s="47">
        <f t="shared" si="46"/>
        <v>0</v>
      </c>
      <c r="T306" s="47">
        <f t="shared" si="47"/>
        <v>0</v>
      </c>
      <c r="U306" s="48">
        <v>0</v>
      </c>
      <c r="V306" s="40" t="s">
        <v>443</v>
      </c>
    </row>
    <row r="307" spans="1:22" s="42" customFormat="1" ht="45" x14ac:dyDescent="0.25">
      <c r="A307" s="67" t="s">
        <v>188</v>
      </c>
      <c r="B307" s="22" t="s">
        <v>658</v>
      </c>
      <c r="C307" s="55" t="s">
        <v>659</v>
      </c>
      <c r="D307" s="47">
        <v>0</v>
      </c>
      <c r="E307" s="47">
        <v>0</v>
      </c>
      <c r="F307" s="45" t="s">
        <v>50</v>
      </c>
      <c r="G307" s="47">
        <v>0</v>
      </c>
      <c r="H307" s="47">
        <v>0</v>
      </c>
      <c r="I307" s="47">
        <f t="shared" si="49"/>
        <v>0</v>
      </c>
      <c r="J307" s="47">
        <v>0</v>
      </c>
      <c r="K307" s="47">
        <v>0</v>
      </c>
      <c r="L307" s="47">
        <v>0</v>
      </c>
      <c r="M307" s="45">
        <v>0</v>
      </c>
      <c r="N307" s="47">
        <v>0</v>
      </c>
      <c r="O307" s="45" t="s">
        <v>50</v>
      </c>
      <c r="P307" s="47">
        <v>0</v>
      </c>
      <c r="Q307" s="45" t="s">
        <v>50</v>
      </c>
      <c r="R307" s="45" t="s">
        <v>50</v>
      </c>
      <c r="S307" s="47">
        <f t="shared" si="46"/>
        <v>0</v>
      </c>
      <c r="T307" s="47">
        <f t="shared" si="47"/>
        <v>0</v>
      </c>
      <c r="U307" s="48">
        <v>0</v>
      </c>
      <c r="V307" s="40" t="s">
        <v>443</v>
      </c>
    </row>
    <row r="308" spans="1:22" s="42" customFormat="1" ht="45" x14ac:dyDescent="0.25">
      <c r="A308" s="67" t="s">
        <v>188</v>
      </c>
      <c r="B308" s="22" t="s">
        <v>660</v>
      </c>
      <c r="C308" s="55" t="s">
        <v>661</v>
      </c>
      <c r="D308" s="47">
        <v>0</v>
      </c>
      <c r="E308" s="47">
        <v>0</v>
      </c>
      <c r="F308" s="45" t="s">
        <v>50</v>
      </c>
      <c r="G308" s="47">
        <v>0</v>
      </c>
      <c r="H308" s="47">
        <v>0</v>
      </c>
      <c r="I308" s="47">
        <f t="shared" si="49"/>
        <v>0</v>
      </c>
      <c r="J308" s="47">
        <v>0</v>
      </c>
      <c r="K308" s="47">
        <v>0</v>
      </c>
      <c r="L308" s="47">
        <v>0</v>
      </c>
      <c r="M308" s="45">
        <v>0</v>
      </c>
      <c r="N308" s="47">
        <v>0</v>
      </c>
      <c r="O308" s="45" t="s">
        <v>50</v>
      </c>
      <c r="P308" s="47">
        <v>0</v>
      </c>
      <c r="Q308" s="45" t="s">
        <v>50</v>
      </c>
      <c r="R308" s="45" t="s">
        <v>50</v>
      </c>
      <c r="S308" s="47">
        <f t="shared" si="46"/>
        <v>0</v>
      </c>
      <c r="T308" s="47">
        <f t="shared" si="47"/>
        <v>0</v>
      </c>
      <c r="U308" s="48">
        <v>0</v>
      </c>
      <c r="V308" s="40" t="s">
        <v>443</v>
      </c>
    </row>
    <row r="309" spans="1:22" s="42" customFormat="1" ht="30" x14ac:dyDescent="0.25">
      <c r="A309" s="67" t="s">
        <v>188</v>
      </c>
      <c r="B309" s="22" t="s">
        <v>662</v>
      </c>
      <c r="C309" s="55" t="s">
        <v>663</v>
      </c>
      <c r="D309" s="47">
        <v>0</v>
      </c>
      <c r="E309" s="47">
        <v>0</v>
      </c>
      <c r="F309" s="45" t="s">
        <v>50</v>
      </c>
      <c r="G309" s="47">
        <v>0</v>
      </c>
      <c r="H309" s="47">
        <v>0</v>
      </c>
      <c r="I309" s="47">
        <f t="shared" si="49"/>
        <v>7.6202370000000005E-2</v>
      </c>
      <c r="J309" s="47">
        <v>0</v>
      </c>
      <c r="K309" s="47">
        <v>0</v>
      </c>
      <c r="L309" s="47">
        <v>0</v>
      </c>
      <c r="M309" s="45">
        <f>76.20237/1000</f>
        <v>7.6202370000000005E-2</v>
      </c>
      <c r="N309" s="47">
        <v>0</v>
      </c>
      <c r="O309" s="45" t="s">
        <v>50</v>
      </c>
      <c r="P309" s="47">
        <v>0</v>
      </c>
      <c r="Q309" s="45" t="s">
        <v>50</v>
      </c>
      <c r="R309" s="45" t="s">
        <v>50</v>
      </c>
      <c r="S309" s="47">
        <f t="shared" si="46"/>
        <v>-7.6202370000000005E-2</v>
      </c>
      <c r="T309" s="47">
        <f t="shared" si="47"/>
        <v>7.6202370000000005E-2</v>
      </c>
      <c r="U309" s="48">
        <v>0</v>
      </c>
      <c r="V309" s="40" t="s">
        <v>437</v>
      </c>
    </row>
    <row r="310" spans="1:22" s="42" customFormat="1" ht="30" x14ac:dyDescent="0.25">
      <c r="A310" s="67" t="s">
        <v>188</v>
      </c>
      <c r="B310" s="22" t="s">
        <v>664</v>
      </c>
      <c r="C310" s="55" t="s">
        <v>665</v>
      </c>
      <c r="D310" s="47">
        <v>0</v>
      </c>
      <c r="E310" s="47">
        <v>0</v>
      </c>
      <c r="F310" s="45" t="s">
        <v>50</v>
      </c>
      <c r="G310" s="47">
        <v>0</v>
      </c>
      <c r="H310" s="47">
        <v>0</v>
      </c>
      <c r="I310" s="47">
        <f t="shared" si="49"/>
        <v>2.7083800000000002E-2</v>
      </c>
      <c r="J310" s="47">
        <v>0</v>
      </c>
      <c r="K310" s="47">
        <v>0</v>
      </c>
      <c r="L310" s="47">
        <v>0</v>
      </c>
      <c r="M310" s="45">
        <f>27.0838/1000</f>
        <v>2.7083800000000002E-2</v>
      </c>
      <c r="N310" s="47">
        <v>0</v>
      </c>
      <c r="O310" s="45" t="s">
        <v>50</v>
      </c>
      <c r="P310" s="47">
        <v>0</v>
      </c>
      <c r="Q310" s="45" t="s">
        <v>50</v>
      </c>
      <c r="R310" s="45" t="s">
        <v>50</v>
      </c>
      <c r="S310" s="47">
        <f t="shared" si="46"/>
        <v>-2.7083800000000002E-2</v>
      </c>
      <c r="T310" s="47">
        <f t="shared" si="47"/>
        <v>2.7083800000000002E-2</v>
      </c>
      <c r="U310" s="48">
        <v>0</v>
      </c>
      <c r="V310" s="40" t="s">
        <v>437</v>
      </c>
    </row>
    <row r="311" spans="1:22" s="42" customFormat="1" ht="30" x14ac:dyDescent="0.25">
      <c r="A311" s="67" t="s">
        <v>188</v>
      </c>
      <c r="B311" s="22" t="s">
        <v>666</v>
      </c>
      <c r="C311" s="55" t="s">
        <v>667</v>
      </c>
      <c r="D311" s="47">
        <v>0</v>
      </c>
      <c r="E311" s="47">
        <v>0</v>
      </c>
      <c r="F311" s="45" t="s">
        <v>50</v>
      </c>
      <c r="G311" s="47">
        <v>0</v>
      </c>
      <c r="H311" s="47">
        <v>0</v>
      </c>
      <c r="I311" s="47">
        <f t="shared" si="49"/>
        <v>6.3698100000000001E-3</v>
      </c>
      <c r="J311" s="47">
        <v>0</v>
      </c>
      <c r="K311" s="47">
        <v>0</v>
      </c>
      <c r="L311" s="47">
        <v>0</v>
      </c>
      <c r="M311" s="45">
        <f>6.36981/1000</f>
        <v>6.3698100000000001E-3</v>
      </c>
      <c r="N311" s="47">
        <v>0</v>
      </c>
      <c r="O311" s="45" t="s">
        <v>50</v>
      </c>
      <c r="P311" s="47">
        <v>0</v>
      </c>
      <c r="Q311" s="45" t="s">
        <v>50</v>
      </c>
      <c r="R311" s="45" t="s">
        <v>50</v>
      </c>
      <c r="S311" s="47">
        <f t="shared" si="46"/>
        <v>-6.3698100000000001E-3</v>
      </c>
      <c r="T311" s="47">
        <f t="shared" si="47"/>
        <v>6.3698100000000001E-3</v>
      </c>
      <c r="U311" s="48">
        <v>0</v>
      </c>
      <c r="V311" s="40" t="s">
        <v>437</v>
      </c>
    </row>
    <row r="312" spans="1:22" s="42" customFormat="1" ht="45" x14ac:dyDescent="0.25">
      <c r="A312" s="67" t="s">
        <v>188</v>
      </c>
      <c r="B312" s="22" t="s">
        <v>668</v>
      </c>
      <c r="C312" s="55" t="s">
        <v>669</v>
      </c>
      <c r="D312" s="47">
        <v>0</v>
      </c>
      <c r="E312" s="47">
        <v>0</v>
      </c>
      <c r="F312" s="45" t="s">
        <v>50</v>
      </c>
      <c r="G312" s="47">
        <v>0</v>
      </c>
      <c r="H312" s="47">
        <v>0</v>
      </c>
      <c r="I312" s="47">
        <f t="shared" si="49"/>
        <v>7.233887E-2</v>
      </c>
      <c r="J312" s="47">
        <v>0</v>
      </c>
      <c r="K312" s="47">
        <v>0</v>
      </c>
      <c r="L312" s="47">
        <v>0</v>
      </c>
      <c r="M312" s="45">
        <f>72.33887/1000</f>
        <v>7.233887E-2</v>
      </c>
      <c r="N312" s="47">
        <v>0</v>
      </c>
      <c r="O312" s="45" t="s">
        <v>50</v>
      </c>
      <c r="P312" s="47">
        <v>0</v>
      </c>
      <c r="Q312" s="45" t="s">
        <v>50</v>
      </c>
      <c r="R312" s="45" t="s">
        <v>50</v>
      </c>
      <c r="S312" s="47">
        <f t="shared" si="46"/>
        <v>-7.233887E-2</v>
      </c>
      <c r="T312" s="47">
        <f t="shared" si="47"/>
        <v>7.233887E-2</v>
      </c>
      <c r="U312" s="48">
        <v>0</v>
      </c>
      <c r="V312" s="40" t="s">
        <v>443</v>
      </c>
    </row>
    <row r="313" spans="1:22" s="42" customFormat="1" ht="45" x14ac:dyDescent="0.25">
      <c r="A313" s="67" t="s">
        <v>188</v>
      </c>
      <c r="B313" s="22" t="s">
        <v>670</v>
      </c>
      <c r="C313" s="55" t="s">
        <v>671</v>
      </c>
      <c r="D313" s="47">
        <v>0</v>
      </c>
      <c r="E313" s="47">
        <v>0</v>
      </c>
      <c r="F313" s="45" t="s">
        <v>50</v>
      </c>
      <c r="G313" s="47">
        <v>0</v>
      </c>
      <c r="H313" s="47">
        <v>0</v>
      </c>
      <c r="I313" s="47">
        <f t="shared" si="49"/>
        <v>0.12006351</v>
      </c>
      <c r="J313" s="47">
        <v>0</v>
      </c>
      <c r="K313" s="47">
        <v>0</v>
      </c>
      <c r="L313" s="47">
        <v>0</v>
      </c>
      <c r="M313" s="45">
        <f>120.06351/1000</f>
        <v>0.12006351</v>
      </c>
      <c r="N313" s="47">
        <v>0</v>
      </c>
      <c r="O313" s="45" t="s">
        <v>50</v>
      </c>
      <c r="P313" s="47">
        <v>0</v>
      </c>
      <c r="Q313" s="45" t="s">
        <v>50</v>
      </c>
      <c r="R313" s="45" t="s">
        <v>50</v>
      </c>
      <c r="S313" s="47">
        <f t="shared" si="46"/>
        <v>-0.12006351</v>
      </c>
      <c r="T313" s="47">
        <f t="shared" si="47"/>
        <v>0.12006351</v>
      </c>
      <c r="U313" s="48">
        <v>0</v>
      </c>
      <c r="V313" s="40" t="s">
        <v>443</v>
      </c>
    </row>
    <row r="314" spans="1:22" s="42" customFormat="1" ht="45" x14ac:dyDescent="0.25">
      <c r="A314" s="67" t="s">
        <v>188</v>
      </c>
      <c r="B314" s="22" t="s">
        <v>672</v>
      </c>
      <c r="C314" s="55" t="s">
        <v>673</v>
      </c>
      <c r="D314" s="47">
        <v>0</v>
      </c>
      <c r="E314" s="47">
        <v>0</v>
      </c>
      <c r="F314" s="45" t="s">
        <v>50</v>
      </c>
      <c r="G314" s="47">
        <v>0</v>
      </c>
      <c r="H314" s="47">
        <v>0</v>
      </c>
      <c r="I314" s="47">
        <f t="shared" si="49"/>
        <v>0.19347269</v>
      </c>
      <c r="J314" s="47">
        <v>0</v>
      </c>
      <c r="K314" s="47">
        <v>0</v>
      </c>
      <c r="L314" s="47">
        <v>0</v>
      </c>
      <c r="M314" s="45">
        <f>193.47269/1000</f>
        <v>0.19347269</v>
      </c>
      <c r="N314" s="47">
        <v>0</v>
      </c>
      <c r="O314" s="45" t="s">
        <v>50</v>
      </c>
      <c r="P314" s="47">
        <v>0</v>
      </c>
      <c r="Q314" s="45" t="s">
        <v>50</v>
      </c>
      <c r="R314" s="45" t="s">
        <v>50</v>
      </c>
      <c r="S314" s="47">
        <f t="shared" si="46"/>
        <v>-0.19347269</v>
      </c>
      <c r="T314" s="47">
        <f t="shared" si="47"/>
        <v>0.19347269</v>
      </c>
      <c r="U314" s="48">
        <v>0</v>
      </c>
      <c r="V314" s="40" t="s">
        <v>443</v>
      </c>
    </row>
    <row r="315" spans="1:22" ht="57" x14ac:dyDescent="0.25">
      <c r="A315" s="10" t="s">
        <v>261</v>
      </c>
      <c r="B315" s="13" t="s">
        <v>262</v>
      </c>
      <c r="C315" s="14" t="s">
        <v>52</v>
      </c>
      <c r="D315" s="49">
        <v>0</v>
      </c>
      <c r="E315" s="49">
        <v>0</v>
      </c>
      <c r="F315" s="44" t="s">
        <v>50</v>
      </c>
      <c r="G315" s="49">
        <f t="shared" si="42"/>
        <v>0</v>
      </c>
      <c r="H315" s="49">
        <f t="shared" si="43"/>
        <v>0</v>
      </c>
      <c r="I315" s="49">
        <f t="shared" si="49"/>
        <v>0</v>
      </c>
      <c r="J315" s="49">
        <v>0</v>
      </c>
      <c r="K315" s="49">
        <v>0</v>
      </c>
      <c r="L315" s="49">
        <v>0</v>
      </c>
      <c r="M315" s="44">
        <v>0</v>
      </c>
      <c r="N315" s="49">
        <v>0</v>
      </c>
      <c r="O315" s="44" t="s">
        <v>50</v>
      </c>
      <c r="P315" s="49">
        <v>0</v>
      </c>
      <c r="Q315" s="44" t="s">
        <v>50</v>
      </c>
      <c r="R315" s="44" t="s">
        <v>50</v>
      </c>
      <c r="S315" s="49">
        <f t="shared" si="46"/>
        <v>0</v>
      </c>
      <c r="T315" s="49">
        <f t="shared" si="47"/>
        <v>0</v>
      </c>
      <c r="U315" s="37">
        <v>0</v>
      </c>
      <c r="V315" s="38" t="s">
        <v>50</v>
      </c>
    </row>
    <row r="316" spans="1:22" ht="42.75" x14ac:dyDescent="0.25">
      <c r="A316" s="10" t="s">
        <v>30</v>
      </c>
      <c r="B316" s="13" t="s">
        <v>263</v>
      </c>
      <c r="C316" s="14" t="s">
        <v>52</v>
      </c>
      <c r="D316" s="49">
        <v>0</v>
      </c>
      <c r="E316" s="49">
        <v>0</v>
      </c>
      <c r="F316" s="44" t="s">
        <v>50</v>
      </c>
      <c r="G316" s="49">
        <f t="shared" si="42"/>
        <v>0</v>
      </c>
      <c r="H316" s="49">
        <f t="shared" si="43"/>
        <v>0</v>
      </c>
      <c r="I316" s="49">
        <f t="shared" si="49"/>
        <v>0</v>
      </c>
      <c r="J316" s="49">
        <v>0</v>
      </c>
      <c r="K316" s="49">
        <v>0</v>
      </c>
      <c r="L316" s="49">
        <v>0</v>
      </c>
      <c r="M316" s="44">
        <v>0</v>
      </c>
      <c r="N316" s="49">
        <v>0</v>
      </c>
      <c r="O316" s="44" t="s">
        <v>50</v>
      </c>
      <c r="P316" s="49">
        <v>0</v>
      </c>
      <c r="Q316" s="44" t="s">
        <v>50</v>
      </c>
      <c r="R316" s="44" t="s">
        <v>50</v>
      </c>
      <c r="S316" s="49">
        <f t="shared" si="46"/>
        <v>0</v>
      </c>
      <c r="T316" s="49">
        <f t="shared" si="47"/>
        <v>0</v>
      </c>
      <c r="U316" s="37">
        <v>0</v>
      </c>
      <c r="V316" s="38" t="s">
        <v>50</v>
      </c>
    </row>
    <row r="317" spans="1:22" ht="42.75" x14ac:dyDescent="0.25">
      <c r="A317" s="10" t="s">
        <v>31</v>
      </c>
      <c r="B317" s="13" t="s">
        <v>264</v>
      </c>
      <c r="C317" s="14" t="s">
        <v>52</v>
      </c>
      <c r="D317" s="49">
        <v>0</v>
      </c>
      <c r="E317" s="49">
        <v>0</v>
      </c>
      <c r="F317" s="44" t="s">
        <v>50</v>
      </c>
      <c r="G317" s="49">
        <f t="shared" si="42"/>
        <v>0</v>
      </c>
      <c r="H317" s="49">
        <f t="shared" si="43"/>
        <v>0</v>
      </c>
      <c r="I317" s="49">
        <f t="shared" si="49"/>
        <v>0</v>
      </c>
      <c r="J317" s="49">
        <v>0</v>
      </c>
      <c r="K317" s="49">
        <v>0</v>
      </c>
      <c r="L317" s="49">
        <v>0</v>
      </c>
      <c r="M317" s="44">
        <v>0</v>
      </c>
      <c r="N317" s="49">
        <v>0</v>
      </c>
      <c r="O317" s="44" t="s">
        <v>50</v>
      </c>
      <c r="P317" s="49">
        <v>0</v>
      </c>
      <c r="Q317" s="44" t="s">
        <v>50</v>
      </c>
      <c r="R317" s="44" t="s">
        <v>50</v>
      </c>
      <c r="S317" s="49">
        <f t="shared" si="46"/>
        <v>0</v>
      </c>
      <c r="T317" s="49">
        <f t="shared" si="47"/>
        <v>0</v>
      </c>
      <c r="U317" s="37">
        <v>0</v>
      </c>
      <c r="V317" s="38" t="s">
        <v>50</v>
      </c>
    </row>
    <row r="318" spans="1:22" ht="42.75" x14ac:dyDescent="0.25">
      <c r="A318" s="10" t="s">
        <v>32</v>
      </c>
      <c r="B318" s="13" t="s">
        <v>265</v>
      </c>
      <c r="C318" s="14" t="s">
        <v>52</v>
      </c>
      <c r="D318" s="49">
        <v>0</v>
      </c>
      <c r="E318" s="49">
        <v>0</v>
      </c>
      <c r="F318" s="44" t="s">
        <v>50</v>
      </c>
      <c r="G318" s="49">
        <f t="shared" si="42"/>
        <v>0</v>
      </c>
      <c r="H318" s="49">
        <f t="shared" si="43"/>
        <v>0</v>
      </c>
      <c r="I318" s="49">
        <f t="shared" si="49"/>
        <v>0</v>
      </c>
      <c r="J318" s="49">
        <v>0</v>
      </c>
      <c r="K318" s="49">
        <v>0</v>
      </c>
      <c r="L318" s="49">
        <v>0</v>
      </c>
      <c r="M318" s="44">
        <v>0</v>
      </c>
      <c r="N318" s="49">
        <v>0</v>
      </c>
      <c r="O318" s="44" t="s">
        <v>50</v>
      </c>
      <c r="P318" s="49">
        <v>0</v>
      </c>
      <c r="Q318" s="44" t="s">
        <v>50</v>
      </c>
      <c r="R318" s="44" t="s">
        <v>50</v>
      </c>
      <c r="S318" s="49">
        <f t="shared" si="46"/>
        <v>0</v>
      </c>
      <c r="T318" s="49">
        <f t="shared" si="47"/>
        <v>0</v>
      </c>
      <c r="U318" s="37">
        <v>0</v>
      </c>
      <c r="V318" s="38" t="s">
        <v>50</v>
      </c>
    </row>
    <row r="319" spans="1:22" ht="42.75" x14ac:dyDescent="0.25">
      <c r="A319" s="10" t="s">
        <v>33</v>
      </c>
      <c r="B319" s="13" t="s">
        <v>266</v>
      </c>
      <c r="C319" s="14" t="s">
        <v>52</v>
      </c>
      <c r="D319" s="49">
        <v>0</v>
      </c>
      <c r="E319" s="49">
        <v>0</v>
      </c>
      <c r="F319" s="44" t="s">
        <v>50</v>
      </c>
      <c r="G319" s="49">
        <f t="shared" si="42"/>
        <v>0</v>
      </c>
      <c r="H319" s="49">
        <f t="shared" si="43"/>
        <v>0</v>
      </c>
      <c r="I319" s="49">
        <f t="shared" si="49"/>
        <v>0</v>
      </c>
      <c r="J319" s="49">
        <v>0</v>
      </c>
      <c r="K319" s="49">
        <v>0</v>
      </c>
      <c r="L319" s="49">
        <v>0</v>
      </c>
      <c r="M319" s="44">
        <v>0</v>
      </c>
      <c r="N319" s="49">
        <v>0</v>
      </c>
      <c r="O319" s="44" t="s">
        <v>50</v>
      </c>
      <c r="P319" s="49">
        <v>0</v>
      </c>
      <c r="Q319" s="44" t="s">
        <v>50</v>
      </c>
      <c r="R319" s="44" t="s">
        <v>50</v>
      </c>
      <c r="S319" s="49">
        <f t="shared" si="46"/>
        <v>0</v>
      </c>
      <c r="T319" s="49">
        <f t="shared" si="47"/>
        <v>0</v>
      </c>
      <c r="U319" s="37">
        <v>0</v>
      </c>
      <c r="V319" s="38" t="s">
        <v>50</v>
      </c>
    </row>
    <row r="320" spans="1:22" ht="42.75" x14ac:dyDescent="0.25">
      <c r="A320" s="10" t="s">
        <v>34</v>
      </c>
      <c r="B320" s="13" t="s">
        <v>267</v>
      </c>
      <c r="C320" s="14" t="s">
        <v>52</v>
      </c>
      <c r="D320" s="49">
        <v>0</v>
      </c>
      <c r="E320" s="49">
        <v>0</v>
      </c>
      <c r="F320" s="44" t="s">
        <v>50</v>
      </c>
      <c r="G320" s="49">
        <f t="shared" si="42"/>
        <v>0</v>
      </c>
      <c r="H320" s="49">
        <f t="shared" si="43"/>
        <v>0</v>
      </c>
      <c r="I320" s="49">
        <f t="shared" si="49"/>
        <v>0</v>
      </c>
      <c r="J320" s="49">
        <v>0</v>
      </c>
      <c r="K320" s="49">
        <v>0</v>
      </c>
      <c r="L320" s="49">
        <v>0</v>
      </c>
      <c r="M320" s="44">
        <v>0</v>
      </c>
      <c r="N320" s="49">
        <v>0</v>
      </c>
      <c r="O320" s="44" t="s">
        <v>50</v>
      </c>
      <c r="P320" s="49">
        <v>0</v>
      </c>
      <c r="Q320" s="44" t="s">
        <v>50</v>
      </c>
      <c r="R320" s="44" t="s">
        <v>50</v>
      </c>
      <c r="S320" s="49">
        <f t="shared" si="46"/>
        <v>0</v>
      </c>
      <c r="T320" s="49">
        <f t="shared" si="47"/>
        <v>0</v>
      </c>
      <c r="U320" s="37">
        <v>0</v>
      </c>
      <c r="V320" s="38" t="s">
        <v>50</v>
      </c>
    </row>
    <row r="321" spans="1:22" ht="57" x14ac:dyDescent="0.25">
      <c r="A321" s="10" t="s">
        <v>35</v>
      </c>
      <c r="B321" s="13" t="s">
        <v>268</v>
      </c>
      <c r="C321" s="14" t="s">
        <v>52</v>
      </c>
      <c r="D321" s="49">
        <v>0</v>
      </c>
      <c r="E321" s="49">
        <v>0</v>
      </c>
      <c r="F321" s="44" t="s">
        <v>50</v>
      </c>
      <c r="G321" s="49">
        <f t="shared" si="42"/>
        <v>0</v>
      </c>
      <c r="H321" s="49">
        <f t="shared" si="43"/>
        <v>0</v>
      </c>
      <c r="I321" s="49">
        <f t="shared" si="49"/>
        <v>0</v>
      </c>
      <c r="J321" s="49">
        <v>0</v>
      </c>
      <c r="K321" s="49">
        <v>0</v>
      </c>
      <c r="L321" s="49">
        <v>0</v>
      </c>
      <c r="M321" s="44">
        <v>0</v>
      </c>
      <c r="N321" s="49">
        <v>0</v>
      </c>
      <c r="O321" s="44" t="s">
        <v>50</v>
      </c>
      <c r="P321" s="49">
        <v>0</v>
      </c>
      <c r="Q321" s="44" t="s">
        <v>50</v>
      </c>
      <c r="R321" s="44" t="s">
        <v>50</v>
      </c>
      <c r="S321" s="49">
        <f t="shared" si="46"/>
        <v>0</v>
      </c>
      <c r="T321" s="49">
        <f t="shared" si="47"/>
        <v>0</v>
      </c>
      <c r="U321" s="37">
        <v>0</v>
      </c>
      <c r="V321" s="38" t="s">
        <v>50</v>
      </c>
    </row>
    <row r="322" spans="1:22" ht="57" x14ac:dyDescent="0.25">
      <c r="A322" s="10" t="s">
        <v>36</v>
      </c>
      <c r="B322" s="13" t="s">
        <v>269</v>
      </c>
      <c r="C322" s="14" t="s">
        <v>52</v>
      </c>
      <c r="D322" s="49">
        <v>0</v>
      </c>
      <c r="E322" s="49">
        <v>0</v>
      </c>
      <c r="F322" s="44" t="s">
        <v>50</v>
      </c>
      <c r="G322" s="49">
        <f t="shared" si="42"/>
        <v>0</v>
      </c>
      <c r="H322" s="49">
        <f t="shared" si="43"/>
        <v>0</v>
      </c>
      <c r="I322" s="49">
        <f t="shared" si="49"/>
        <v>0</v>
      </c>
      <c r="J322" s="49">
        <v>0</v>
      </c>
      <c r="K322" s="49">
        <v>0</v>
      </c>
      <c r="L322" s="49">
        <v>0</v>
      </c>
      <c r="M322" s="44">
        <v>0</v>
      </c>
      <c r="N322" s="49">
        <v>0</v>
      </c>
      <c r="O322" s="44" t="s">
        <v>50</v>
      </c>
      <c r="P322" s="49">
        <v>0</v>
      </c>
      <c r="Q322" s="44" t="s">
        <v>50</v>
      </c>
      <c r="R322" s="44" t="s">
        <v>50</v>
      </c>
      <c r="S322" s="49">
        <f t="shared" si="46"/>
        <v>0</v>
      </c>
      <c r="T322" s="49">
        <f t="shared" si="47"/>
        <v>0</v>
      </c>
      <c r="U322" s="37">
        <v>0</v>
      </c>
      <c r="V322" s="38" t="s">
        <v>50</v>
      </c>
    </row>
    <row r="323" spans="1:22" ht="57" x14ac:dyDescent="0.25">
      <c r="A323" s="10" t="s">
        <v>37</v>
      </c>
      <c r="B323" s="13" t="s">
        <v>270</v>
      </c>
      <c r="C323" s="14" t="s">
        <v>52</v>
      </c>
      <c r="D323" s="49">
        <v>0</v>
      </c>
      <c r="E323" s="49">
        <v>0</v>
      </c>
      <c r="F323" s="44" t="s">
        <v>50</v>
      </c>
      <c r="G323" s="49">
        <f t="shared" si="42"/>
        <v>0</v>
      </c>
      <c r="H323" s="49">
        <f t="shared" si="43"/>
        <v>0</v>
      </c>
      <c r="I323" s="49">
        <f t="shared" si="49"/>
        <v>0</v>
      </c>
      <c r="J323" s="49">
        <v>0</v>
      </c>
      <c r="K323" s="49">
        <v>0</v>
      </c>
      <c r="L323" s="49">
        <v>0</v>
      </c>
      <c r="M323" s="44">
        <v>0</v>
      </c>
      <c r="N323" s="49">
        <v>0</v>
      </c>
      <c r="O323" s="44" t="s">
        <v>50</v>
      </c>
      <c r="P323" s="49">
        <v>0</v>
      </c>
      <c r="Q323" s="44" t="s">
        <v>50</v>
      </c>
      <c r="R323" s="44" t="s">
        <v>50</v>
      </c>
      <c r="S323" s="49">
        <f t="shared" si="46"/>
        <v>0</v>
      </c>
      <c r="T323" s="49">
        <f t="shared" si="47"/>
        <v>0</v>
      </c>
      <c r="U323" s="37">
        <v>0</v>
      </c>
      <c r="V323" s="38" t="s">
        <v>50</v>
      </c>
    </row>
    <row r="324" spans="1:22" ht="57" x14ac:dyDescent="0.25">
      <c r="A324" s="10" t="s">
        <v>271</v>
      </c>
      <c r="B324" s="13" t="s">
        <v>272</v>
      </c>
      <c r="C324" s="14" t="s">
        <v>52</v>
      </c>
      <c r="D324" s="49">
        <v>0</v>
      </c>
      <c r="E324" s="49">
        <v>0</v>
      </c>
      <c r="F324" s="44" t="s">
        <v>50</v>
      </c>
      <c r="G324" s="49">
        <f t="shared" si="42"/>
        <v>0</v>
      </c>
      <c r="H324" s="49">
        <f t="shared" si="43"/>
        <v>0</v>
      </c>
      <c r="I324" s="49">
        <f t="shared" si="49"/>
        <v>0</v>
      </c>
      <c r="J324" s="49">
        <v>0</v>
      </c>
      <c r="K324" s="49">
        <v>0</v>
      </c>
      <c r="L324" s="49">
        <v>0</v>
      </c>
      <c r="M324" s="44">
        <v>0</v>
      </c>
      <c r="N324" s="49">
        <v>0</v>
      </c>
      <c r="O324" s="44" t="s">
        <v>50</v>
      </c>
      <c r="P324" s="49">
        <v>0</v>
      </c>
      <c r="Q324" s="44" t="s">
        <v>50</v>
      </c>
      <c r="R324" s="44" t="s">
        <v>50</v>
      </c>
      <c r="S324" s="49">
        <f t="shared" si="46"/>
        <v>0</v>
      </c>
      <c r="T324" s="49">
        <f t="shared" si="47"/>
        <v>0</v>
      </c>
      <c r="U324" s="37">
        <v>0</v>
      </c>
      <c r="V324" s="38" t="s">
        <v>50</v>
      </c>
    </row>
    <row r="325" spans="1:22" ht="57" x14ac:dyDescent="0.25">
      <c r="A325" s="10" t="s">
        <v>273</v>
      </c>
      <c r="B325" s="13" t="s">
        <v>274</v>
      </c>
      <c r="C325" s="14" t="s">
        <v>52</v>
      </c>
      <c r="D325" s="49">
        <v>0</v>
      </c>
      <c r="E325" s="49">
        <v>0</v>
      </c>
      <c r="F325" s="44" t="s">
        <v>50</v>
      </c>
      <c r="G325" s="49">
        <f t="shared" ref="G325:G388" si="50">H325</f>
        <v>16.731524740000001</v>
      </c>
      <c r="H325" s="49">
        <f t="shared" ref="H325:H388" si="51">J325+L325+N325+P325</f>
        <v>16.731524740000001</v>
      </c>
      <c r="I325" s="49">
        <f t="shared" si="49"/>
        <v>0</v>
      </c>
      <c r="J325" s="49">
        <v>0.58259816999999992</v>
      </c>
      <c r="K325" s="49">
        <v>0</v>
      </c>
      <c r="L325" s="49">
        <v>9.2198265699999986</v>
      </c>
      <c r="M325" s="44">
        <v>0</v>
      </c>
      <c r="N325" s="49">
        <v>6.9291000000000009</v>
      </c>
      <c r="O325" s="44" t="s">
        <v>50</v>
      </c>
      <c r="P325" s="49">
        <v>0</v>
      </c>
      <c r="Q325" s="44" t="s">
        <v>50</v>
      </c>
      <c r="R325" s="44" t="s">
        <v>50</v>
      </c>
      <c r="S325" s="49">
        <f t="shared" si="46"/>
        <v>16.731524740000001</v>
      </c>
      <c r="T325" s="49">
        <f t="shared" si="47"/>
        <v>-9.8024247399999993</v>
      </c>
      <c r="U325" s="37">
        <f t="shared" si="48"/>
        <v>-100</v>
      </c>
      <c r="V325" s="38" t="s">
        <v>50</v>
      </c>
    </row>
    <row r="326" spans="1:22" ht="42.75" x14ac:dyDescent="0.25">
      <c r="A326" s="10" t="s">
        <v>275</v>
      </c>
      <c r="B326" s="13" t="s">
        <v>276</v>
      </c>
      <c r="C326" s="14" t="s">
        <v>52</v>
      </c>
      <c r="D326" s="49">
        <v>0</v>
      </c>
      <c r="E326" s="49">
        <v>0</v>
      </c>
      <c r="F326" s="44" t="s">
        <v>50</v>
      </c>
      <c r="G326" s="49">
        <f t="shared" si="50"/>
        <v>0</v>
      </c>
      <c r="H326" s="49">
        <f t="shared" si="51"/>
        <v>0</v>
      </c>
      <c r="I326" s="49">
        <f t="shared" si="49"/>
        <v>0</v>
      </c>
      <c r="J326" s="49">
        <v>0</v>
      </c>
      <c r="K326" s="49">
        <v>0</v>
      </c>
      <c r="L326" s="49">
        <v>0</v>
      </c>
      <c r="M326" s="44">
        <v>0</v>
      </c>
      <c r="N326" s="49">
        <v>0</v>
      </c>
      <c r="O326" s="44" t="s">
        <v>50</v>
      </c>
      <c r="P326" s="49">
        <v>0</v>
      </c>
      <c r="Q326" s="44" t="s">
        <v>50</v>
      </c>
      <c r="R326" s="44" t="s">
        <v>50</v>
      </c>
      <c r="S326" s="49">
        <f t="shared" si="46"/>
        <v>0</v>
      </c>
      <c r="T326" s="49">
        <f t="shared" si="47"/>
        <v>0</v>
      </c>
      <c r="U326" s="37">
        <v>0</v>
      </c>
      <c r="V326" s="38" t="s">
        <v>50</v>
      </c>
    </row>
    <row r="327" spans="1:22" ht="57" x14ac:dyDescent="0.25">
      <c r="A327" s="10" t="s">
        <v>277</v>
      </c>
      <c r="B327" s="13" t="s">
        <v>278</v>
      </c>
      <c r="C327" s="14" t="s">
        <v>52</v>
      </c>
      <c r="D327" s="49">
        <v>0.15210833333333335</v>
      </c>
      <c r="E327" s="49">
        <f>SUM(E328:E332)</f>
        <v>0</v>
      </c>
      <c r="F327" s="44" t="s">
        <v>50</v>
      </c>
      <c r="G327" s="49">
        <f t="shared" si="50"/>
        <v>16.731524740000001</v>
      </c>
      <c r="H327" s="49">
        <f t="shared" si="51"/>
        <v>16.731524740000001</v>
      </c>
      <c r="I327" s="49">
        <f t="shared" si="49"/>
        <v>0</v>
      </c>
      <c r="J327" s="49">
        <v>0.58259816999999992</v>
      </c>
      <c r="K327" s="49">
        <f>SUM(K328:K332)</f>
        <v>0</v>
      </c>
      <c r="L327" s="49">
        <v>9.2198265699999986</v>
      </c>
      <c r="M327" s="44">
        <f>SUM(M328:M332)</f>
        <v>0</v>
      </c>
      <c r="N327" s="49">
        <v>6.9291000000000009</v>
      </c>
      <c r="O327" s="44" t="s">
        <v>50</v>
      </c>
      <c r="P327" s="49">
        <v>0</v>
      </c>
      <c r="Q327" s="44" t="s">
        <v>50</v>
      </c>
      <c r="R327" s="44" t="s">
        <v>50</v>
      </c>
      <c r="S327" s="49">
        <f t="shared" si="46"/>
        <v>16.731524740000001</v>
      </c>
      <c r="T327" s="49">
        <f t="shared" si="47"/>
        <v>-9.8024247399999993</v>
      </c>
      <c r="U327" s="37">
        <f t="shared" si="48"/>
        <v>-100</v>
      </c>
      <c r="V327" s="38" t="s">
        <v>50</v>
      </c>
    </row>
    <row r="328" spans="1:22" ht="30" x14ac:dyDescent="0.25">
      <c r="A328" s="21" t="s">
        <v>277</v>
      </c>
      <c r="B328" s="31" t="s">
        <v>279</v>
      </c>
      <c r="C328" s="32" t="s">
        <v>280</v>
      </c>
      <c r="D328" s="47">
        <v>0</v>
      </c>
      <c r="E328" s="47">
        <v>0</v>
      </c>
      <c r="F328" s="45" t="s">
        <v>50</v>
      </c>
      <c r="G328" s="47">
        <f t="shared" si="50"/>
        <v>9.2198265699999986</v>
      </c>
      <c r="H328" s="47">
        <f t="shared" si="51"/>
        <v>9.2198265699999986</v>
      </c>
      <c r="I328" s="47">
        <f t="shared" si="49"/>
        <v>0</v>
      </c>
      <c r="J328" s="47">
        <v>0</v>
      </c>
      <c r="K328" s="47">
        <v>0</v>
      </c>
      <c r="L328" s="47">
        <v>9.2198265699999986</v>
      </c>
      <c r="M328" s="45">
        <v>0</v>
      </c>
      <c r="N328" s="47">
        <v>0</v>
      </c>
      <c r="O328" s="45" t="s">
        <v>50</v>
      </c>
      <c r="P328" s="47">
        <v>0</v>
      </c>
      <c r="Q328" s="45" t="s">
        <v>50</v>
      </c>
      <c r="R328" s="45" t="s">
        <v>50</v>
      </c>
      <c r="S328" s="47">
        <f t="shared" si="46"/>
        <v>9.2198265699999986</v>
      </c>
      <c r="T328" s="47">
        <f t="shared" si="47"/>
        <v>-9.2198265699999986</v>
      </c>
      <c r="U328" s="48">
        <f t="shared" si="48"/>
        <v>-100</v>
      </c>
      <c r="V328" s="41" t="s">
        <v>442</v>
      </c>
    </row>
    <row r="329" spans="1:22" ht="30" x14ac:dyDescent="0.25">
      <c r="A329" s="21" t="s">
        <v>277</v>
      </c>
      <c r="B329" s="31" t="s">
        <v>281</v>
      </c>
      <c r="C329" s="32" t="s">
        <v>282</v>
      </c>
      <c r="D329" s="47">
        <v>6.3966666666666672E-2</v>
      </c>
      <c r="E329" s="47">
        <v>0</v>
      </c>
      <c r="F329" s="45" t="s">
        <v>50</v>
      </c>
      <c r="G329" s="47">
        <f t="shared" si="50"/>
        <v>0.245</v>
      </c>
      <c r="H329" s="47">
        <f t="shared" si="51"/>
        <v>0.245</v>
      </c>
      <c r="I329" s="47">
        <f t="shared" si="49"/>
        <v>0</v>
      </c>
      <c r="J329" s="47">
        <v>0.245</v>
      </c>
      <c r="K329" s="47">
        <v>0</v>
      </c>
      <c r="L329" s="47">
        <v>0</v>
      </c>
      <c r="M329" s="45">
        <v>0</v>
      </c>
      <c r="N329" s="47">
        <v>0</v>
      </c>
      <c r="O329" s="45" t="s">
        <v>50</v>
      </c>
      <c r="P329" s="47">
        <v>0</v>
      </c>
      <c r="Q329" s="45" t="s">
        <v>50</v>
      </c>
      <c r="R329" s="45" t="s">
        <v>50</v>
      </c>
      <c r="S329" s="47">
        <f t="shared" si="46"/>
        <v>0.245</v>
      </c>
      <c r="T329" s="47">
        <f t="shared" si="47"/>
        <v>-0.245</v>
      </c>
      <c r="U329" s="48">
        <f t="shared" si="48"/>
        <v>-100</v>
      </c>
      <c r="V329" s="41" t="s">
        <v>442</v>
      </c>
    </row>
    <row r="330" spans="1:22" ht="30" x14ac:dyDescent="0.25">
      <c r="A330" s="21" t="s">
        <v>277</v>
      </c>
      <c r="B330" s="31" t="s">
        <v>283</v>
      </c>
      <c r="C330" s="32" t="s">
        <v>284</v>
      </c>
      <c r="D330" s="47">
        <v>8.8141666666666674E-2</v>
      </c>
      <c r="E330" s="47">
        <v>0</v>
      </c>
      <c r="F330" s="45" t="s">
        <v>50</v>
      </c>
      <c r="G330" s="47">
        <f t="shared" si="50"/>
        <v>0.33759816999999998</v>
      </c>
      <c r="H330" s="47">
        <f t="shared" si="51"/>
        <v>0.33759816999999998</v>
      </c>
      <c r="I330" s="47">
        <f t="shared" si="49"/>
        <v>0</v>
      </c>
      <c r="J330" s="47">
        <v>0.33759816999999998</v>
      </c>
      <c r="K330" s="47">
        <v>0</v>
      </c>
      <c r="L330" s="47">
        <v>0</v>
      </c>
      <c r="M330" s="45">
        <v>0</v>
      </c>
      <c r="N330" s="47">
        <v>0</v>
      </c>
      <c r="O330" s="45" t="s">
        <v>50</v>
      </c>
      <c r="P330" s="47">
        <v>0</v>
      </c>
      <c r="Q330" s="45" t="s">
        <v>50</v>
      </c>
      <c r="R330" s="45" t="s">
        <v>50</v>
      </c>
      <c r="S330" s="47">
        <f t="shared" si="46"/>
        <v>0.33759816999999998</v>
      </c>
      <c r="T330" s="47">
        <f t="shared" si="47"/>
        <v>-0.33759816999999998</v>
      </c>
      <c r="U330" s="48">
        <f t="shared" si="48"/>
        <v>-100</v>
      </c>
      <c r="V330" s="41" t="s">
        <v>442</v>
      </c>
    </row>
    <row r="331" spans="1:22" ht="30" x14ac:dyDescent="0.25">
      <c r="A331" s="21" t="s">
        <v>277</v>
      </c>
      <c r="B331" s="31" t="s">
        <v>285</v>
      </c>
      <c r="C331" s="32" t="s">
        <v>286</v>
      </c>
      <c r="D331" s="47">
        <v>0</v>
      </c>
      <c r="E331" s="47">
        <v>0</v>
      </c>
      <c r="F331" s="45" t="s">
        <v>50</v>
      </c>
      <c r="G331" s="47">
        <f t="shared" si="50"/>
        <v>6.2457600000000006</v>
      </c>
      <c r="H331" s="47">
        <f t="shared" si="51"/>
        <v>6.2457600000000006</v>
      </c>
      <c r="I331" s="47">
        <f t="shared" si="49"/>
        <v>0</v>
      </c>
      <c r="J331" s="47">
        <v>0</v>
      </c>
      <c r="K331" s="47">
        <v>0</v>
      </c>
      <c r="L331" s="47">
        <v>0</v>
      </c>
      <c r="M331" s="45">
        <v>0</v>
      </c>
      <c r="N331" s="47">
        <v>6.2457600000000006</v>
      </c>
      <c r="O331" s="45" t="s">
        <v>50</v>
      </c>
      <c r="P331" s="47">
        <v>0</v>
      </c>
      <c r="Q331" s="45" t="s">
        <v>50</v>
      </c>
      <c r="R331" s="45" t="s">
        <v>50</v>
      </c>
      <c r="S331" s="47">
        <f t="shared" si="46"/>
        <v>6.2457600000000006</v>
      </c>
      <c r="T331" s="47">
        <f t="shared" si="47"/>
        <v>0</v>
      </c>
      <c r="U331" s="48">
        <v>0</v>
      </c>
      <c r="V331" s="46" t="s">
        <v>50</v>
      </c>
    </row>
    <row r="332" spans="1:22" ht="30" x14ac:dyDescent="0.25">
      <c r="A332" s="21" t="s">
        <v>277</v>
      </c>
      <c r="B332" s="31" t="s">
        <v>287</v>
      </c>
      <c r="C332" s="32" t="s">
        <v>288</v>
      </c>
      <c r="D332" s="47">
        <v>0</v>
      </c>
      <c r="E332" s="47">
        <v>0</v>
      </c>
      <c r="F332" s="45" t="s">
        <v>50</v>
      </c>
      <c r="G332" s="47">
        <f t="shared" si="50"/>
        <v>0.68334000000000006</v>
      </c>
      <c r="H332" s="47">
        <f t="shared" si="51"/>
        <v>0.68334000000000006</v>
      </c>
      <c r="I332" s="47">
        <f t="shared" si="49"/>
        <v>0</v>
      </c>
      <c r="J332" s="47">
        <v>0</v>
      </c>
      <c r="K332" s="47">
        <v>0</v>
      </c>
      <c r="L332" s="47">
        <v>0</v>
      </c>
      <c r="M332" s="45">
        <v>0</v>
      </c>
      <c r="N332" s="47">
        <v>0.68334000000000006</v>
      </c>
      <c r="O332" s="45" t="s">
        <v>50</v>
      </c>
      <c r="P332" s="47">
        <v>0</v>
      </c>
      <c r="Q332" s="45" t="s">
        <v>50</v>
      </c>
      <c r="R332" s="45" t="s">
        <v>50</v>
      </c>
      <c r="S332" s="47">
        <f t="shared" si="46"/>
        <v>0.68334000000000006</v>
      </c>
      <c r="T332" s="47">
        <f t="shared" si="47"/>
        <v>0</v>
      </c>
      <c r="U332" s="48">
        <v>0</v>
      </c>
      <c r="V332" s="46" t="s">
        <v>50</v>
      </c>
    </row>
    <row r="333" spans="1:22" ht="85.5" x14ac:dyDescent="0.25">
      <c r="A333" s="10" t="s">
        <v>38</v>
      </c>
      <c r="B333" s="13" t="s">
        <v>289</v>
      </c>
      <c r="C333" s="14" t="s">
        <v>52</v>
      </c>
      <c r="D333" s="49">
        <v>0</v>
      </c>
      <c r="E333" s="49">
        <v>0</v>
      </c>
      <c r="F333" s="44" t="s">
        <v>50</v>
      </c>
      <c r="G333" s="49">
        <f t="shared" si="50"/>
        <v>0</v>
      </c>
      <c r="H333" s="49">
        <f t="shared" si="51"/>
        <v>0</v>
      </c>
      <c r="I333" s="49">
        <f t="shared" si="49"/>
        <v>0</v>
      </c>
      <c r="J333" s="49">
        <v>0</v>
      </c>
      <c r="K333" s="49">
        <v>0</v>
      </c>
      <c r="L333" s="49">
        <v>0</v>
      </c>
      <c r="M333" s="44">
        <v>0</v>
      </c>
      <c r="N333" s="49">
        <v>0</v>
      </c>
      <c r="O333" s="44" t="s">
        <v>50</v>
      </c>
      <c r="P333" s="49">
        <v>0</v>
      </c>
      <c r="Q333" s="44" t="s">
        <v>50</v>
      </c>
      <c r="R333" s="44" t="s">
        <v>50</v>
      </c>
      <c r="S333" s="49">
        <f t="shared" si="46"/>
        <v>0</v>
      </c>
      <c r="T333" s="49">
        <f t="shared" si="47"/>
        <v>0</v>
      </c>
      <c r="U333" s="37">
        <v>0</v>
      </c>
      <c r="V333" s="38" t="s">
        <v>50</v>
      </c>
    </row>
    <row r="334" spans="1:22" ht="71.25" x14ac:dyDescent="0.25">
      <c r="A334" s="10" t="s">
        <v>290</v>
      </c>
      <c r="B334" s="13" t="s">
        <v>291</v>
      </c>
      <c r="C334" s="14" t="s">
        <v>52</v>
      </c>
      <c r="D334" s="49">
        <v>0</v>
      </c>
      <c r="E334" s="49">
        <v>0</v>
      </c>
      <c r="F334" s="44" t="s">
        <v>50</v>
      </c>
      <c r="G334" s="49">
        <f t="shared" si="50"/>
        <v>0</v>
      </c>
      <c r="H334" s="49">
        <f t="shared" si="51"/>
        <v>0</v>
      </c>
      <c r="I334" s="49">
        <f t="shared" si="49"/>
        <v>0</v>
      </c>
      <c r="J334" s="49">
        <v>0</v>
      </c>
      <c r="K334" s="49">
        <v>0</v>
      </c>
      <c r="L334" s="49">
        <v>0</v>
      </c>
      <c r="M334" s="44">
        <v>0</v>
      </c>
      <c r="N334" s="49">
        <v>0</v>
      </c>
      <c r="O334" s="44" t="s">
        <v>50</v>
      </c>
      <c r="P334" s="49">
        <v>0</v>
      </c>
      <c r="Q334" s="44" t="s">
        <v>50</v>
      </c>
      <c r="R334" s="44" t="s">
        <v>50</v>
      </c>
      <c r="S334" s="49">
        <f t="shared" si="46"/>
        <v>0</v>
      </c>
      <c r="T334" s="49">
        <f t="shared" si="47"/>
        <v>0</v>
      </c>
      <c r="U334" s="37">
        <v>0</v>
      </c>
      <c r="V334" s="38" t="s">
        <v>50</v>
      </c>
    </row>
    <row r="335" spans="1:22" ht="71.25" x14ac:dyDescent="0.25">
      <c r="A335" s="10" t="s">
        <v>292</v>
      </c>
      <c r="B335" s="13" t="s">
        <v>293</v>
      </c>
      <c r="C335" s="14" t="s">
        <v>52</v>
      </c>
      <c r="D335" s="49">
        <v>0</v>
      </c>
      <c r="E335" s="49">
        <v>0</v>
      </c>
      <c r="F335" s="44" t="s">
        <v>50</v>
      </c>
      <c r="G335" s="49">
        <f t="shared" si="50"/>
        <v>0</v>
      </c>
      <c r="H335" s="49">
        <f t="shared" si="51"/>
        <v>0</v>
      </c>
      <c r="I335" s="49">
        <f t="shared" si="49"/>
        <v>0</v>
      </c>
      <c r="J335" s="49">
        <v>0</v>
      </c>
      <c r="K335" s="49">
        <v>0</v>
      </c>
      <c r="L335" s="49">
        <v>0</v>
      </c>
      <c r="M335" s="44">
        <v>0</v>
      </c>
      <c r="N335" s="49">
        <v>0</v>
      </c>
      <c r="O335" s="44" t="s">
        <v>50</v>
      </c>
      <c r="P335" s="49">
        <v>0</v>
      </c>
      <c r="Q335" s="44" t="s">
        <v>50</v>
      </c>
      <c r="R335" s="44" t="s">
        <v>50</v>
      </c>
      <c r="S335" s="49">
        <f t="shared" si="46"/>
        <v>0</v>
      </c>
      <c r="T335" s="49">
        <f t="shared" si="47"/>
        <v>0</v>
      </c>
      <c r="U335" s="37">
        <v>0</v>
      </c>
      <c r="V335" s="38" t="s">
        <v>50</v>
      </c>
    </row>
    <row r="336" spans="1:22" ht="42.75" x14ac:dyDescent="0.25">
      <c r="A336" s="10" t="s">
        <v>39</v>
      </c>
      <c r="B336" s="13" t="s">
        <v>294</v>
      </c>
      <c r="C336" s="14" t="s">
        <v>52</v>
      </c>
      <c r="D336" s="49">
        <v>3.7325568633156565</v>
      </c>
      <c r="E336" s="49">
        <f>SUM(E337:E361)</f>
        <v>1.1462098439999999</v>
      </c>
      <c r="F336" s="44" t="s">
        <v>50</v>
      </c>
      <c r="G336" s="49">
        <f t="shared" ref="G336:Q336" si="52">SUM(G337:G361)</f>
        <v>28.465893039544426</v>
      </c>
      <c r="H336" s="49">
        <f t="shared" si="52"/>
        <v>28.465893039544426</v>
      </c>
      <c r="I336" s="49">
        <f t="shared" si="49"/>
        <v>3.7248598100000003</v>
      </c>
      <c r="J336" s="49">
        <f t="shared" si="52"/>
        <v>1.7629326974576274</v>
      </c>
      <c r="K336" s="49">
        <f t="shared" si="52"/>
        <v>0.86449767</v>
      </c>
      <c r="L336" s="49">
        <f t="shared" si="52"/>
        <v>4.3464498694915248</v>
      </c>
      <c r="M336" s="49">
        <f>SUM(M337:M381)</f>
        <v>2.8603621400000003</v>
      </c>
      <c r="N336" s="49">
        <f t="shared" si="52"/>
        <v>18.917634289491531</v>
      </c>
      <c r="O336" s="44" t="s">
        <v>50</v>
      </c>
      <c r="P336" s="49">
        <f t="shared" si="52"/>
        <v>3.4388761831037424</v>
      </c>
      <c r="Q336" s="49">
        <f t="shared" si="52"/>
        <v>0</v>
      </c>
      <c r="R336" s="44" t="s">
        <v>50</v>
      </c>
      <c r="S336" s="49">
        <f t="shared" si="46"/>
        <v>24.741033229544424</v>
      </c>
      <c r="T336" s="49">
        <f t="shared" si="47"/>
        <v>-2.3845227569491523</v>
      </c>
      <c r="U336" s="37">
        <f t="shared" si="48"/>
        <v>-39.030503177998121</v>
      </c>
      <c r="V336" s="38" t="s">
        <v>50</v>
      </c>
    </row>
    <row r="337" spans="1:22" s="42" customFormat="1" ht="30" x14ac:dyDescent="0.25">
      <c r="A337" s="18" t="s">
        <v>39</v>
      </c>
      <c r="B337" s="19" t="s">
        <v>557</v>
      </c>
      <c r="C337" s="51" t="s">
        <v>558</v>
      </c>
      <c r="D337" s="47">
        <v>0</v>
      </c>
      <c r="E337" s="47">
        <f>15117*1.2/1000000</f>
        <v>1.8140399999999997E-2</v>
      </c>
      <c r="F337" s="45" t="s">
        <v>50</v>
      </c>
      <c r="G337" s="47">
        <v>0</v>
      </c>
      <c r="H337" s="47">
        <v>0</v>
      </c>
      <c r="I337" s="47">
        <f t="shared" si="49"/>
        <v>0</v>
      </c>
      <c r="J337" s="47">
        <v>0</v>
      </c>
      <c r="K337" s="47">
        <v>0</v>
      </c>
      <c r="L337" s="47">
        <v>0</v>
      </c>
      <c r="M337" s="47">
        <v>0</v>
      </c>
      <c r="N337" s="47">
        <v>0</v>
      </c>
      <c r="O337" s="45" t="s">
        <v>50</v>
      </c>
      <c r="P337" s="47">
        <v>0</v>
      </c>
      <c r="Q337" s="47">
        <v>0</v>
      </c>
      <c r="R337" s="45" t="s">
        <v>50</v>
      </c>
      <c r="S337" s="47">
        <f t="shared" ref="S337:S389" si="53">G337-I337</f>
        <v>0</v>
      </c>
      <c r="T337" s="47">
        <f t="shared" si="47"/>
        <v>0</v>
      </c>
      <c r="U337" s="48">
        <v>0</v>
      </c>
      <c r="V337" s="46" t="s">
        <v>50</v>
      </c>
    </row>
    <row r="338" spans="1:22" s="42" customFormat="1" ht="45" x14ac:dyDescent="0.25">
      <c r="A338" s="18" t="s">
        <v>39</v>
      </c>
      <c r="B338" s="19" t="s">
        <v>559</v>
      </c>
      <c r="C338" s="51" t="s">
        <v>560</v>
      </c>
      <c r="D338" s="47">
        <v>0</v>
      </c>
      <c r="E338" s="47">
        <f>299495.2*1.2/1000000</f>
        <v>0.35939423999999998</v>
      </c>
      <c r="F338" s="45" t="s">
        <v>50</v>
      </c>
      <c r="G338" s="47">
        <v>0</v>
      </c>
      <c r="H338" s="47">
        <v>0</v>
      </c>
      <c r="I338" s="47">
        <f t="shared" si="49"/>
        <v>0</v>
      </c>
      <c r="J338" s="47">
        <v>0</v>
      </c>
      <c r="K338" s="47">
        <v>0</v>
      </c>
      <c r="L338" s="47">
        <v>0</v>
      </c>
      <c r="M338" s="47">
        <v>0</v>
      </c>
      <c r="N338" s="47">
        <v>0</v>
      </c>
      <c r="O338" s="45" t="s">
        <v>50</v>
      </c>
      <c r="P338" s="47">
        <v>0</v>
      </c>
      <c r="Q338" s="47">
        <v>0</v>
      </c>
      <c r="R338" s="45" t="s">
        <v>50</v>
      </c>
      <c r="S338" s="47">
        <f t="shared" si="53"/>
        <v>0</v>
      </c>
      <c r="T338" s="47">
        <f t="shared" ref="T338:T389" si="54">(K338+M338)-(J338+L338)</f>
        <v>0</v>
      </c>
      <c r="U338" s="48">
        <v>0</v>
      </c>
      <c r="V338" s="46" t="s">
        <v>50</v>
      </c>
    </row>
    <row r="339" spans="1:22" s="42" customFormat="1" ht="45" x14ac:dyDescent="0.25">
      <c r="A339" s="18" t="s">
        <v>39</v>
      </c>
      <c r="B339" s="19" t="s">
        <v>561</v>
      </c>
      <c r="C339" s="51" t="s">
        <v>562</v>
      </c>
      <c r="D339" s="47">
        <v>0</v>
      </c>
      <c r="E339" s="47">
        <f>15577*1.2/1000000</f>
        <v>1.8692399999999998E-2</v>
      </c>
      <c r="F339" s="45" t="s">
        <v>50</v>
      </c>
      <c r="G339" s="47">
        <v>0</v>
      </c>
      <c r="H339" s="47">
        <v>0</v>
      </c>
      <c r="I339" s="47">
        <f t="shared" si="49"/>
        <v>0</v>
      </c>
      <c r="J339" s="47">
        <v>0</v>
      </c>
      <c r="K339" s="47">
        <v>0</v>
      </c>
      <c r="L339" s="47">
        <v>0</v>
      </c>
      <c r="M339" s="47">
        <v>0</v>
      </c>
      <c r="N339" s="47">
        <v>0</v>
      </c>
      <c r="O339" s="45" t="s">
        <v>50</v>
      </c>
      <c r="P339" s="47">
        <v>0</v>
      </c>
      <c r="Q339" s="47">
        <v>0</v>
      </c>
      <c r="R339" s="45" t="s">
        <v>50</v>
      </c>
      <c r="S339" s="47">
        <f t="shared" si="53"/>
        <v>0</v>
      </c>
      <c r="T339" s="47">
        <f t="shared" si="54"/>
        <v>0</v>
      </c>
      <c r="U339" s="48">
        <v>0</v>
      </c>
      <c r="V339" s="46" t="s">
        <v>50</v>
      </c>
    </row>
    <row r="340" spans="1:22" s="42" customFormat="1" ht="30" x14ac:dyDescent="0.25">
      <c r="A340" s="18" t="s">
        <v>39</v>
      </c>
      <c r="B340" s="19" t="s">
        <v>563</v>
      </c>
      <c r="C340" s="51" t="s">
        <v>564</v>
      </c>
      <c r="D340" s="47">
        <v>0</v>
      </c>
      <c r="E340" s="47">
        <f>45913.89*1.2/1000000</f>
        <v>5.5096667999999994E-2</v>
      </c>
      <c r="F340" s="45" t="s">
        <v>50</v>
      </c>
      <c r="G340" s="47">
        <v>0</v>
      </c>
      <c r="H340" s="47">
        <v>0</v>
      </c>
      <c r="I340" s="47">
        <f t="shared" si="49"/>
        <v>0</v>
      </c>
      <c r="J340" s="47">
        <v>0</v>
      </c>
      <c r="K340" s="47">
        <v>0</v>
      </c>
      <c r="L340" s="47">
        <v>0</v>
      </c>
      <c r="M340" s="47">
        <v>0</v>
      </c>
      <c r="N340" s="47">
        <v>0</v>
      </c>
      <c r="O340" s="45" t="s">
        <v>50</v>
      </c>
      <c r="P340" s="47">
        <v>0</v>
      </c>
      <c r="Q340" s="47">
        <v>0</v>
      </c>
      <c r="R340" s="45" t="s">
        <v>50</v>
      </c>
      <c r="S340" s="47">
        <f t="shared" si="53"/>
        <v>0</v>
      </c>
      <c r="T340" s="47">
        <f t="shared" si="54"/>
        <v>0</v>
      </c>
      <c r="U340" s="48">
        <v>0</v>
      </c>
      <c r="V340" s="46" t="s">
        <v>50</v>
      </c>
    </row>
    <row r="341" spans="1:22" s="42" customFormat="1" ht="30" x14ac:dyDescent="0.25">
      <c r="A341" s="18" t="s">
        <v>39</v>
      </c>
      <c r="B341" s="19" t="s">
        <v>565</v>
      </c>
      <c r="C341" s="51" t="s">
        <v>566</v>
      </c>
      <c r="D341" s="47">
        <v>0</v>
      </c>
      <c r="E341" s="47">
        <f>11023*1.2/1000000</f>
        <v>1.3227600000000001E-2</v>
      </c>
      <c r="F341" s="45" t="s">
        <v>50</v>
      </c>
      <c r="G341" s="47">
        <v>0</v>
      </c>
      <c r="H341" s="47">
        <v>0</v>
      </c>
      <c r="I341" s="47">
        <f t="shared" si="49"/>
        <v>0</v>
      </c>
      <c r="J341" s="47">
        <v>0</v>
      </c>
      <c r="K341" s="47">
        <v>0</v>
      </c>
      <c r="L341" s="47">
        <v>0</v>
      </c>
      <c r="M341" s="47">
        <v>0</v>
      </c>
      <c r="N341" s="47">
        <v>0</v>
      </c>
      <c r="O341" s="45" t="s">
        <v>50</v>
      </c>
      <c r="P341" s="47">
        <v>0</v>
      </c>
      <c r="Q341" s="47">
        <v>0</v>
      </c>
      <c r="R341" s="45" t="s">
        <v>50</v>
      </c>
      <c r="S341" s="47">
        <f t="shared" si="53"/>
        <v>0</v>
      </c>
      <c r="T341" s="47">
        <f t="shared" si="54"/>
        <v>0</v>
      </c>
      <c r="U341" s="48">
        <v>0</v>
      </c>
      <c r="V341" s="46" t="s">
        <v>50</v>
      </c>
    </row>
    <row r="342" spans="1:22" s="42" customFormat="1" ht="30" x14ac:dyDescent="0.25">
      <c r="A342" s="18" t="s">
        <v>39</v>
      </c>
      <c r="B342" s="19" t="s">
        <v>567</v>
      </c>
      <c r="C342" s="51" t="s">
        <v>568</v>
      </c>
      <c r="D342" s="47">
        <v>0</v>
      </c>
      <c r="E342" s="47">
        <f>47925.03*1.2/1000000</f>
        <v>5.7510036E-2</v>
      </c>
      <c r="F342" s="45" t="s">
        <v>50</v>
      </c>
      <c r="G342" s="47">
        <v>0</v>
      </c>
      <c r="H342" s="47">
        <v>0</v>
      </c>
      <c r="I342" s="47">
        <f t="shared" si="49"/>
        <v>0</v>
      </c>
      <c r="J342" s="47">
        <v>0</v>
      </c>
      <c r="K342" s="47">
        <v>0</v>
      </c>
      <c r="L342" s="47">
        <v>0</v>
      </c>
      <c r="M342" s="47">
        <v>0</v>
      </c>
      <c r="N342" s="47">
        <v>0</v>
      </c>
      <c r="O342" s="45" t="s">
        <v>50</v>
      </c>
      <c r="P342" s="47">
        <v>0</v>
      </c>
      <c r="Q342" s="47">
        <v>0</v>
      </c>
      <c r="R342" s="45" t="s">
        <v>50</v>
      </c>
      <c r="S342" s="47">
        <f t="shared" si="53"/>
        <v>0</v>
      </c>
      <c r="T342" s="47">
        <f t="shared" si="54"/>
        <v>0</v>
      </c>
      <c r="U342" s="48">
        <v>0</v>
      </c>
      <c r="V342" s="46" t="s">
        <v>50</v>
      </c>
    </row>
    <row r="343" spans="1:22" s="42" customFormat="1" ht="30" x14ac:dyDescent="0.25">
      <c r="A343" s="18" t="s">
        <v>39</v>
      </c>
      <c r="B343" s="19" t="s">
        <v>569</v>
      </c>
      <c r="C343" s="51" t="s">
        <v>570</v>
      </c>
      <c r="D343" s="47">
        <v>0</v>
      </c>
      <c r="E343" s="47">
        <f>295043.83*1.2/1000000</f>
        <v>0.354052596</v>
      </c>
      <c r="F343" s="45" t="s">
        <v>50</v>
      </c>
      <c r="G343" s="47">
        <v>0</v>
      </c>
      <c r="H343" s="47">
        <v>0</v>
      </c>
      <c r="I343" s="47">
        <f t="shared" si="49"/>
        <v>0</v>
      </c>
      <c r="J343" s="47">
        <v>0</v>
      </c>
      <c r="K343" s="47">
        <v>0</v>
      </c>
      <c r="L343" s="47">
        <v>0</v>
      </c>
      <c r="M343" s="47">
        <v>0</v>
      </c>
      <c r="N343" s="47">
        <v>0</v>
      </c>
      <c r="O343" s="45" t="s">
        <v>50</v>
      </c>
      <c r="P343" s="47">
        <v>0</v>
      </c>
      <c r="Q343" s="47">
        <v>0</v>
      </c>
      <c r="R343" s="45" t="s">
        <v>50</v>
      </c>
      <c r="S343" s="47">
        <f t="shared" si="53"/>
        <v>0</v>
      </c>
      <c r="T343" s="47">
        <f t="shared" si="54"/>
        <v>0</v>
      </c>
      <c r="U343" s="48">
        <v>0</v>
      </c>
      <c r="V343" s="46" t="s">
        <v>50</v>
      </c>
    </row>
    <row r="344" spans="1:22" ht="65.25" customHeight="1" x14ac:dyDescent="0.25">
      <c r="A344" s="21" t="s">
        <v>39</v>
      </c>
      <c r="B344" s="31" t="s">
        <v>295</v>
      </c>
      <c r="C344" s="32" t="s">
        <v>296</v>
      </c>
      <c r="D344" s="47">
        <v>0.31346441658315544</v>
      </c>
      <c r="E344" s="47">
        <f>17872*1.2/1000000</f>
        <v>2.1446399999999997E-2</v>
      </c>
      <c r="F344" s="45" t="s">
        <v>50</v>
      </c>
      <c r="G344" s="47">
        <f t="shared" si="50"/>
        <v>2.4387531610169488</v>
      </c>
      <c r="H344" s="47">
        <f t="shared" si="51"/>
        <v>2.4387531610169488</v>
      </c>
      <c r="I344" s="47">
        <f t="shared" si="49"/>
        <v>0</v>
      </c>
      <c r="J344" s="47">
        <v>0.17262134745762714</v>
      </c>
      <c r="K344" s="47">
        <v>0</v>
      </c>
      <c r="L344" s="47">
        <v>0</v>
      </c>
      <c r="M344" s="45">
        <v>0</v>
      </c>
      <c r="N344" s="47">
        <v>2.2661318135593218</v>
      </c>
      <c r="O344" s="45" t="s">
        <v>50</v>
      </c>
      <c r="P344" s="47">
        <v>0</v>
      </c>
      <c r="Q344" s="45" t="s">
        <v>50</v>
      </c>
      <c r="R344" s="45" t="s">
        <v>50</v>
      </c>
      <c r="S344" s="47">
        <f t="shared" si="53"/>
        <v>2.4387531610169488</v>
      </c>
      <c r="T344" s="47">
        <f t="shared" si="54"/>
        <v>-0.17262134745762714</v>
      </c>
      <c r="U344" s="48">
        <f t="shared" ref="U344:U387" si="55">(K344+M344)/(J344+L344)*100-100</f>
        <v>-100</v>
      </c>
      <c r="V344" s="41" t="s">
        <v>442</v>
      </c>
    </row>
    <row r="345" spans="1:22" ht="65.25" customHeight="1" x14ac:dyDescent="0.25">
      <c r="A345" s="21" t="s">
        <v>39</v>
      </c>
      <c r="B345" s="31" t="s">
        <v>297</v>
      </c>
      <c r="C345" s="32" t="s">
        <v>298</v>
      </c>
      <c r="D345" s="47">
        <v>0.27663518637532131</v>
      </c>
      <c r="E345" s="47">
        <f>16862*1.2/1000000</f>
        <v>2.0234399999999996E-2</v>
      </c>
      <c r="F345" s="45" t="s">
        <v>50</v>
      </c>
      <c r="G345" s="47">
        <f t="shared" si="50"/>
        <v>2.1522217499999998</v>
      </c>
      <c r="H345" s="47">
        <f t="shared" si="51"/>
        <v>2.1522217499999998</v>
      </c>
      <c r="I345" s="47">
        <f t="shared" si="49"/>
        <v>0</v>
      </c>
      <c r="J345" s="47">
        <v>0.14216605000000002</v>
      </c>
      <c r="K345" s="47">
        <v>0</v>
      </c>
      <c r="L345" s="47">
        <v>2.0100556999999997</v>
      </c>
      <c r="M345" s="45">
        <v>0</v>
      </c>
      <c r="N345" s="47">
        <v>0</v>
      </c>
      <c r="O345" s="45" t="s">
        <v>50</v>
      </c>
      <c r="P345" s="47">
        <v>0</v>
      </c>
      <c r="Q345" s="45" t="s">
        <v>50</v>
      </c>
      <c r="R345" s="45" t="s">
        <v>50</v>
      </c>
      <c r="S345" s="47">
        <f t="shared" si="53"/>
        <v>2.1522217499999998</v>
      </c>
      <c r="T345" s="47">
        <f t="shared" si="54"/>
        <v>-2.1522217499999998</v>
      </c>
      <c r="U345" s="48">
        <f t="shared" si="55"/>
        <v>-100</v>
      </c>
      <c r="V345" s="41" t="s">
        <v>442</v>
      </c>
    </row>
    <row r="346" spans="1:22" ht="75" x14ac:dyDescent="0.25">
      <c r="A346" s="21" t="s">
        <v>39</v>
      </c>
      <c r="B346" s="31" t="s">
        <v>299</v>
      </c>
      <c r="C346" s="32" t="s">
        <v>300</v>
      </c>
      <c r="D346" s="47">
        <v>0.35732157840616963</v>
      </c>
      <c r="E346" s="47">
        <f>19947*1.2/1000000</f>
        <v>2.3936399999999997E-2</v>
      </c>
      <c r="F346" s="45" t="s">
        <v>50</v>
      </c>
      <c r="G346" s="47">
        <f t="shared" si="50"/>
        <v>2.7799618799999997</v>
      </c>
      <c r="H346" s="47">
        <f t="shared" si="51"/>
        <v>2.7799618799999997</v>
      </c>
      <c r="I346" s="47">
        <f t="shared" si="49"/>
        <v>0</v>
      </c>
      <c r="J346" s="47">
        <v>0.24657788</v>
      </c>
      <c r="K346" s="47">
        <v>0</v>
      </c>
      <c r="L346" s="47">
        <v>0</v>
      </c>
      <c r="M346" s="45">
        <v>0</v>
      </c>
      <c r="N346" s="47">
        <v>2.5333839999999999</v>
      </c>
      <c r="O346" s="45" t="s">
        <v>50</v>
      </c>
      <c r="P346" s="47">
        <v>0</v>
      </c>
      <c r="Q346" s="45" t="s">
        <v>50</v>
      </c>
      <c r="R346" s="45" t="s">
        <v>50</v>
      </c>
      <c r="S346" s="47">
        <f t="shared" si="53"/>
        <v>2.7799618799999997</v>
      </c>
      <c r="T346" s="47">
        <f t="shared" si="54"/>
        <v>-0.24657788</v>
      </c>
      <c r="U346" s="48">
        <f t="shared" si="55"/>
        <v>-100</v>
      </c>
      <c r="V346" s="41" t="s">
        <v>442</v>
      </c>
    </row>
    <row r="347" spans="1:22" ht="30" x14ac:dyDescent="0.25">
      <c r="A347" s="21" t="s">
        <v>39</v>
      </c>
      <c r="B347" s="31" t="s">
        <v>301</v>
      </c>
      <c r="C347" s="32" t="s">
        <v>302</v>
      </c>
      <c r="D347" s="47">
        <v>0.17817867731253542</v>
      </c>
      <c r="E347" s="47">
        <f>15096*1.2/1000000</f>
        <v>1.8115200000000001E-2</v>
      </c>
      <c r="F347" s="45" t="s">
        <v>50</v>
      </c>
      <c r="G347" s="47">
        <f t="shared" si="50"/>
        <v>1.3862301094915255</v>
      </c>
      <c r="H347" s="47">
        <f t="shared" si="51"/>
        <v>1.3862301094915255</v>
      </c>
      <c r="I347" s="47">
        <f t="shared" si="49"/>
        <v>0</v>
      </c>
      <c r="J347" s="47">
        <v>3.771294E-2</v>
      </c>
      <c r="K347" s="47">
        <v>0</v>
      </c>
      <c r="L347" s="47">
        <v>1.3485171694915254</v>
      </c>
      <c r="M347" s="45">
        <v>0</v>
      </c>
      <c r="N347" s="47">
        <v>0</v>
      </c>
      <c r="O347" s="45" t="s">
        <v>50</v>
      </c>
      <c r="P347" s="47">
        <v>0</v>
      </c>
      <c r="Q347" s="45" t="s">
        <v>50</v>
      </c>
      <c r="R347" s="45" t="s">
        <v>50</v>
      </c>
      <c r="S347" s="47">
        <f t="shared" si="53"/>
        <v>1.3862301094915255</v>
      </c>
      <c r="T347" s="47">
        <f t="shared" si="54"/>
        <v>-1.3862301094915255</v>
      </c>
      <c r="U347" s="48">
        <f t="shared" si="55"/>
        <v>-100</v>
      </c>
      <c r="V347" s="41" t="s">
        <v>442</v>
      </c>
    </row>
    <row r="348" spans="1:22" ht="30" x14ac:dyDescent="0.25">
      <c r="A348" s="21" t="s">
        <v>39</v>
      </c>
      <c r="B348" s="31" t="s">
        <v>303</v>
      </c>
      <c r="C348" s="32" t="s">
        <v>304</v>
      </c>
      <c r="D348" s="47">
        <v>0.2220814549692828</v>
      </c>
      <c r="E348" s="47">
        <f>16777.46*1.2/1000000</f>
        <v>2.0132951999999999E-2</v>
      </c>
      <c r="F348" s="45" t="s">
        <v>50</v>
      </c>
      <c r="G348" s="47">
        <f t="shared" si="50"/>
        <v>1.72779371966102</v>
      </c>
      <c r="H348" s="47">
        <f t="shared" si="51"/>
        <v>1.72779371966102</v>
      </c>
      <c r="I348" s="47">
        <f t="shared" si="49"/>
        <v>0</v>
      </c>
      <c r="J348" s="47">
        <v>3.771294E-2</v>
      </c>
      <c r="K348" s="47">
        <v>0</v>
      </c>
      <c r="L348" s="47">
        <v>0</v>
      </c>
      <c r="M348" s="45">
        <v>0</v>
      </c>
      <c r="N348" s="47">
        <v>1.69008077966102</v>
      </c>
      <c r="O348" s="45" t="s">
        <v>50</v>
      </c>
      <c r="P348" s="47">
        <v>0</v>
      </c>
      <c r="Q348" s="45" t="s">
        <v>50</v>
      </c>
      <c r="R348" s="45" t="s">
        <v>50</v>
      </c>
      <c r="S348" s="47">
        <f t="shared" si="53"/>
        <v>1.72779371966102</v>
      </c>
      <c r="T348" s="47">
        <f t="shared" si="54"/>
        <v>-3.771294E-2</v>
      </c>
      <c r="U348" s="48">
        <f t="shared" si="55"/>
        <v>-100</v>
      </c>
      <c r="V348" s="41" t="s">
        <v>442</v>
      </c>
    </row>
    <row r="349" spans="1:22" ht="30" x14ac:dyDescent="0.25">
      <c r="A349" s="21" t="s">
        <v>39</v>
      </c>
      <c r="B349" s="31" t="s">
        <v>305</v>
      </c>
      <c r="C349" s="32" t="s">
        <v>306</v>
      </c>
      <c r="D349" s="47">
        <v>0.17163212160690164</v>
      </c>
      <c r="E349" s="47">
        <f>14822*1.2/1000000</f>
        <v>1.7786399999999997E-2</v>
      </c>
      <c r="F349" s="45" t="s">
        <v>50</v>
      </c>
      <c r="G349" s="47">
        <f t="shared" si="50"/>
        <v>1.335297906101695</v>
      </c>
      <c r="H349" s="47">
        <f t="shared" si="51"/>
        <v>1.335297906101695</v>
      </c>
      <c r="I349" s="47">
        <f t="shared" ref="I349:I389" si="56">K349+M349</f>
        <v>0</v>
      </c>
      <c r="J349" s="47">
        <v>3.771294E-2</v>
      </c>
      <c r="K349" s="47">
        <v>0</v>
      </c>
      <c r="L349" s="47">
        <v>0</v>
      </c>
      <c r="M349" s="45">
        <v>0</v>
      </c>
      <c r="N349" s="47">
        <v>1.2975849661016949</v>
      </c>
      <c r="O349" s="45" t="s">
        <v>50</v>
      </c>
      <c r="P349" s="47">
        <v>0</v>
      </c>
      <c r="Q349" s="45" t="s">
        <v>50</v>
      </c>
      <c r="R349" s="45" t="s">
        <v>50</v>
      </c>
      <c r="S349" s="47">
        <f t="shared" si="53"/>
        <v>1.335297906101695</v>
      </c>
      <c r="T349" s="47">
        <f t="shared" si="54"/>
        <v>-3.771294E-2</v>
      </c>
      <c r="U349" s="48">
        <f t="shared" si="55"/>
        <v>-100</v>
      </c>
      <c r="V349" s="41" t="s">
        <v>442</v>
      </c>
    </row>
    <row r="350" spans="1:22" ht="30" x14ac:dyDescent="0.25">
      <c r="A350" s="21" t="s">
        <v>39</v>
      </c>
      <c r="B350" s="31" t="s">
        <v>307</v>
      </c>
      <c r="C350" s="32" t="s">
        <v>308</v>
      </c>
      <c r="D350" s="47">
        <v>0.40895994087403598</v>
      </c>
      <c r="E350" s="47">
        <f>15223*1.2/1000000</f>
        <v>1.8267599999999998E-2</v>
      </c>
      <c r="F350" s="45" t="s">
        <v>50</v>
      </c>
      <c r="G350" s="47">
        <f t="shared" si="50"/>
        <v>3.1817083400000001</v>
      </c>
      <c r="H350" s="47">
        <f t="shared" si="51"/>
        <v>3.1817083400000001</v>
      </c>
      <c r="I350" s="47">
        <f t="shared" si="56"/>
        <v>0</v>
      </c>
      <c r="J350" s="47">
        <v>0.12022588000000001</v>
      </c>
      <c r="K350" s="47">
        <v>0</v>
      </c>
      <c r="L350" s="47">
        <v>0</v>
      </c>
      <c r="M350" s="45">
        <v>0</v>
      </c>
      <c r="N350" s="47">
        <v>3.0614824600000001</v>
      </c>
      <c r="O350" s="45" t="s">
        <v>50</v>
      </c>
      <c r="P350" s="47">
        <v>0</v>
      </c>
      <c r="Q350" s="45" t="s">
        <v>50</v>
      </c>
      <c r="R350" s="45" t="s">
        <v>50</v>
      </c>
      <c r="S350" s="47">
        <f t="shared" si="53"/>
        <v>3.1817083400000001</v>
      </c>
      <c r="T350" s="47">
        <f t="shared" si="54"/>
        <v>-0.12022588000000001</v>
      </c>
      <c r="U350" s="48">
        <f t="shared" si="55"/>
        <v>-100</v>
      </c>
      <c r="V350" s="41" t="s">
        <v>442</v>
      </c>
    </row>
    <row r="351" spans="1:22" ht="45" x14ac:dyDescent="0.25">
      <c r="A351" s="21" t="s">
        <v>39</v>
      </c>
      <c r="B351" s="31" t="s">
        <v>309</v>
      </c>
      <c r="C351" s="32" t="s">
        <v>310</v>
      </c>
      <c r="D351" s="47">
        <v>9.5635580366868547E-2</v>
      </c>
      <c r="E351" s="47">
        <v>0</v>
      </c>
      <c r="F351" s="45" t="s">
        <v>50</v>
      </c>
      <c r="G351" s="47">
        <f t="shared" si="50"/>
        <v>0.74404481525423749</v>
      </c>
      <c r="H351" s="47">
        <f t="shared" si="51"/>
        <v>0.74404481525423749</v>
      </c>
      <c r="I351" s="47">
        <f t="shared" si="56"/>
        <v>0.18891775000000002</v>
      </c>
      <c r="J351" s="47">
        <v>3.5712900000000006E-2</v>
      </c>
      <c r="K351" s="47">
        <v>0</v>
      </c>
      <c r="L351" s="47">
        <v>0</v>
      </c>
      <c r="M351" s="45">
        <v>0.18891775000000002</v>
      </c>
      <c r="N351" s="47">
        <v>0.70833191525423744</v>
      </c>
      <c r="O351" s="45" t="s">
        <v>50</v>
      </c>
      <c r="P351" s="47">
        <v>0</v>
      </c>
      <c r="Q351" s="45" t="s">
        <v>50</v>
      </c>
      <c r="R351" s="45" t="s">
        <v>50</v>
      </c>
      <c r="S351" s="47">
        <f t="shared" si="53"/>
        <v>0.5551270652542375</v>
      </c>
      <c r="T351" s="47">
        <f t="shared" si="54"/>
        <v>0.15320485</v>
      </c>
      <c r="U351" s="48">
        <f t="shared" si="55"/>
        <v>428.99022482072303</v>
      </c>
      <c r="V351" s="41" t="s">
        <v>442</v>
      </c>
    </row>
    <row r="352" spans="1:22" ht="30" x14ac:dyDescent="0.25">
      <c r="A352" s="21" t="s">
        <v>39</v>
      </c>
      <c r="B352" s="31" t="s">
        <v>311</v>
      </c>
      <c r="C352" s="32" t="s">
        <v>312</v>
      </c>
      <c r="D352" s="47">
        <v>9.5635580366868547E-2</v>
      </c>
      <c r="E352" s="47">
        <f>15223*1.2/1000000</f>
        <v>1.8267599999999998E-2</v>
      </c>
      <c r="F352" s="45" t="s">
        <v>50</v>
      </c>
      <c r="G352" s="47">
        <f t="shared" si="50"/>
        <v>0.74404481525423749</v>
      </c>
      <c r="H352" s="47">
        <f t="shared" si="51"/>
        <v>0.74404481525423749</v>
      </c>
      <c r="I352" s="47">
        <f t="shared" si="56"/>
        <v>0</v>
      </c>
      <c r="J352" s="47">
        <v>3.5712900000000006E-2</v>
      </c>
      <c r="K352" s="47">
        <v>0</v>
      </c>
      <c r="L352" s="47">
        <v>0</v>
      </c>
      <c r="M352" s="45">
        <v>0</v>
      </c>
      <c r="N352" s="47">
        <v>0.70833191525423744</v>
      </c>
      <c r="O352" s="45" t="s">
        <v>50</v>
      </c>
      <c r="P352" s="47">
        <v>0</v>
      </c>
      <c r="Q352" s="45" t="s">
        <v>50</v>
      </c>
      <c r="R352" s="45" t="s">
        <v>50</v>
      </c>
      <c r="S352" s="47">
        <f t="shared" si="53"/>
        <v>0.74404481525423749</v>
      </c>
      <c r="T352" s="47">
        <f t="shared" si="54"/>
        <v>-3.5712900000000006E-2</v>
      </c>
      <c r="U352" s="48">
        <f t="shared" si="55"/>
        <v>-100</v>
      </c>
      <c r="V352" s="41" t="s">
        <v>442</v>
      </c>
    </row>
    <row r="353" spans="1:22" ht="30" x14ac:dyDescent="0.25">
      <c r="A353" s="21" t="s">
        <v>39</v>
      </c>
      <c r="B353" s="31" t="s">
        <v>313</v>
      </c>
      <c r="C353" s="32" t="s">
        <v>314</v>
      </c>
      <c r="D353" s="47">
        <v>9.5635580366868547E-2</v>
      </c>
      <c r="E353" s="47">
        <f>15055*1.2/1000000</f>
        <v>1.8065999999999999E-2</v>
      </c>
      <c r="F353" s="45" t="s">
        <v>50</v>
      </c>
      <c r="G353" s="47">
        <f t="shared" si="50"/>
        <v>0.74404481525423749</v>
      </c>
      <c r="H353" s="47">
        <f t="shared" si="51"/>
        <v>0.74404481525423749</v>
      </c>
      <c r="I353" s="47">
        <f t="shared" si="56"/>
        <v>0</v>
      </c>
      <c r="J353" s="47">
        <v>3.5712900000000006E-2</v>
      </c>
      <c r="K353" s="47">
        <v>0</v>
      </c>
      <c r="L353" s="47">
        <v>0</v>
      </c>
      <c r="M353" s="45">
        <v>0</v>
      </c>
      <c r="N353" s="47">
        <v>0.70833191525423744</v>
      </c>
      <c r="O353" s="45" t="s">
        <v>50</v>
      </c>
      <c r="P353" s="47">
        <v>0</v>
      </c>
      <c r="Q353" s="45" t="s">
        <v>50</v>
      </c>
      <c r="R353" s="45" t="s">
        <v>50</v>
      </c>
      <c r="S353" s="47">
        <f t="shared" si="53"/>
        <v>0.74404481525423749</v>
      </c>
      <c r="T353" s="47">
        <f t="shared" si="54"/>
        <v>-3.5712900000000006E-2</v>
      </c>
      <c r="U353" s="48">
        <f t="shared" si="55"/>
        <v>-100</v>
      </c>
      <c r="V353" s="41" t="s">
        <v>442</v>
      </c>
    </row>
    <row r="354" spans="1:22" ht="30" x14ac:dyDescent="0.25">
      <c r="A354" s="21" t="s">
        <v>39</v>
      </c>
      <c r="B354" s="31" t="s">
        <v>315</v>
      </c>
      <c r="C354" s="32" t="s">
        <v>316</v>
      </c>
      <c r="D354" s="47">
        <v>0.11875537253278726</v>
      </c>
      <c r="E354" s="47">
        <f>15202*1.2/1000000</f>
        <v>1.8242399999999999E-2</v>
      </c>
      <c r="F354" s="45" t="s">
        <v>50</v>
      </c>
      <c r="G354" s="47">
        <f t="shared" si="50"/>
        <v>0.92391679830508489</v>
      </c>
      <c r="H354" s="47">
        <f t="shared" si="51"/>
        <v>0.92391679830508489</v>
      </c>
      <c r="I354" s="47">
        <f t="shared" si="56"/>
        <v>0</v>
      </c>
      <c r="J354" s="47">
        <v>3.5712900000000006E-2</v>
      </c>
      <c r="K354" s="47">
        <v>0</v>
      </c>
      <c r="L354" s="47">
        <v>0</v>
      </c>
      <c r="M354" s="45">
        <v>0</v>
      </c>
      <c r="N354" s="47">
        <v>0.88820389830508484</v>
      </c>
      <c r="O354" s="45" t="s">
        <v>50</v>
      </c>
      <c r="P354" s="47">
        <v>0</v>
      </c>
      <c r="Q354" s="45" t="s">
        <v>50</v>
      </c>
      <c r="R354" s="45" t="s">
        <v>50</v>
      </c>
      <c r="S354" s="47">
        <f t="shared" si="53"/>
        <v>0.92391679830508489</v>
      </c>
      <c r="T354" s="47">
        <f t="shared" si="54"/>
        <v>-3.5712900000000006E-2</v>
      </c>
      <c r="U354" s="48">
        <f t="shared" si="55"/>
        <v>-100</v>
      </c>
      <c r="V354" s="41" t="s">
        <v>442</v>
      </c>
    </row>
    <row r="355" spans="1:22" ht="45" x14ac:dyDescent="0.25">
      <c r="A355" s="21" t="s">
        <v>39</v>
      </c>
      <c r="B355" s="31" t="s">
        <v>317</v>
      </c>
      <c r="C355" s="32" t="s">
        <v>318</v>
      </c>
      <c r="D355" s="47">
        <v>0.54582070179948583</v>
      </c>
      <c r="E355" s="47">
        <f>17915*1.2/1000000</f>
        <v>2.1498E-2</v>
      </c>
      <c r="F355" s="45" t="s">
        <v>50</v>
      </c>
      <c r="G355" s="47">
        <f t="shared" si="50"/>
        <v>4.2464850600000004</v>
      </c>
      <c r="H355" s="47">
        <f t="shared" si="51"/>
        <v>4.2464850600000004</v>
      </c>
      <c r="I355" s="47">
        <f t="shared" si="56"/>
        <v>0</v>
      </c>
      <c r="J355" s="47">
        <v>0.35047240000000002</v>
      </c>
      <c r="K355" s="47">
        <v>0</v>
      </c>
      <c r="L355" s="47">
        <v>0</v>
      </c>
      <c r="M355" s="45">
        <v>0</v>
      </c>
      <c r="N355" s="47">
        <v>3.8960126600000007</v>
      </c>
      <c r="O355" s="45" t="s">
        <v>50</v>
      </c>
      <c r="P355" s="47">
        <v>0</v>
      </c>
      <c r="Q355" s="45" t="s">
        <v>50</v>
      </c>
      <c r="R355" s="45" t="s">
        <v>50</v>
      </c>
      <c r="S355" s="47">
        <f t="shared" si="53"/>
        <v>4.2464850600000004</v>
      </c>
      <c r="T355" s="47">
        <f t="shared" si="54"/>
        <v>-0.35047240000000002</v>
      </c>
      <c r="U355" s="48">
        <f t="shared" si="55"/>
        <v>-100</v>
      </c>
      <c r="V355" s="41" t="s">
        <v>442</v>
      </c>
    </row>
    <row r="356" spans="1:22" ht="30" x14ac:dyDescent="0.25">
      <c r="A356" s="21" t="s">
        <v>39</v>
      </c>
      <c r="B356" s="31" t="s">
        <v>319</v>
      </c>
      <c r="C356" s="32" t="s">
        <v>320</v>
      </c>
      <c r="D356" s="47">
        <v>0.15391656890767288</v>
      </c>
      <c r="E356" s="47">
        <f>15055*1.2/1000000</f>
        <v>1.8065999999999999E-2</v>
      </c>
      <c r="F356" s="45" t="s">
        <v>50</v>
      </c>
      <c r="G356" s="47">
        <f t="shared" si="50"/>
        <v>1.197470906101695</v>
      </c>
      <c r="H356" s="47">
        <f t="shared" si="51"/>
        <v>1.197470906101695</v>
      </c>
      <c r="I356" s="47">
        <f t="shared" si="56"/>
        <v>0</v>
      </c>
      <c r="J356" s="47">
        <v>3.771294E-2</v>
      </c>
      <c r="K356" s="47">
        <v>0</v>
      </c>
      <c r="L356" s="47">
        <v>0</v>
      </c>
      <c r="M356" s="45">
        <v>0</v>
      </c>
      <c r="N356" s="47">
        <v>1.159757966101695</v>
      </c>
      <c r="O356" s="45" t="s">
        <v>50</v>
      </c>
      <c r="P356" s="47">
        <v>0</v>
      </c>
      <c r="Q356" s="45" t="s">
        <v>50</v>
      </c>
      <c r="R356" s="45" t="s">
        <v>50</v>
      </c>
      <c r="S356" s="47">
        <f t="shared" si="53"/>
        <v>1.197470906101695</v>
      </c>
      <c r="T356" s="47">
        <f t="shared" si="54"/>
        <v>-3.771294E-2</v>
      </c>
      <c r="U356" s="48">
        <f t="shared" si="55"/>
        <v>-100</v>
      </c>
      <c r="V356" s="41" t="s">
        <v>442</v>
      </c>
    </row>
    <row r="357" spans="1:22" ht="60" x14ac:dyDescent="0.25">
      <c r="A357" s="21" t="s">
        <v>39</v>
      </c>
      <c r="B357" s="31" t="s">
        <v>321</v>
      </c>
      <c r="C357" s="32" t="s">
        <v>298</v>
      </c>
      <c r="D357" s="47">
        <v>0.14218569794344474</v>
      </c>
      <c r="E357" s="47">
        <f>30030.46*1.2/1000000</f>
        <v>3.6036551999999999E-2</v>
      </c>
      <c r="F357" s="45" t="s">
        <v>50</v>
      </c>
      <c r="G357" s="47">
        <f t="shared" si="50"/>
        <v>1.10620473</v>
      </c>
      <c r="H357" s="47">
        <f t="shared" si="51"/>
        <v>1.10620473</v>
      </c>
      <c r="I357" s="47">
        <f t="shared" si="56"/>
        <v>0.56568319</v>
      </c>
      <c r="J357" s="47">
        <v>0.11832773000000001</v>
      </c>
      <c r="K357" s="47">
        <v>0</v>
      </c>
      <c r="L357" s="47">
        <v>0.98787700000000001</v>
      </c>
      <c r="M357" s="45">
        <v>0.56568319</v>
      </c>
      <c r="N357" s="47">
        <v>0</v>
      </c>
      <c r="O357" s="45" t="s">
        <v>50</v>
      </c>
      <c r="P357" s="47">
        <v>0</v>
      </c>
      <c r="Q357" s="45" t="s">
        <v>50</v>
      </c>
      <c r="R357" s="45" t="s">
        <v>50</v>
      </c>
      <c r="S357" s="47">
        <f t="shared" si="53"/>
        <v>0.54052153999999997</v>
      </c>
      <c r="T357" s="47">
        <f t="shared" si="54"/>
        <v>-0.54052153999999997</v>
      </c>
      <c r="U357" s="48">
        <f t="shared" si="55"/>
        <v>-48.862703742009849</v>
      </c>
      <c r="V357" s="41" t="s">
        <v>442</v>
      </c>
    </row>
    <row r="358" spans="1:22" ht="30" x14ac:dyDescent="0.25">
      <c r="A358" s="21" t="s">
        <v>39</v>
      </c>
      <c r="B358" s="31" t="s">
        <v>322</v>
      </c>
      <c r="C358" s="32" t="s">
        <v>300</v>
      </c>
      <c r="D358" s="47">
        <v>0.5566984049042577</v>
      </c>
      <c r="E358" s="47">
        <v>0</v>
      </c>
      <c r="F358" s="45" t="s">
        <v>50</v>
      </c>
      <c r="G358" s="47">
        <f t="shared" si="50"/>
        <v>3.7577142331037425</v>
      </c>
      <c r="H358" s="47">
        <f t="shared" si="51"/>
        <v>3.7577142331037425</v>
      </c>
      <c r="I358" s="47">
        <f t="shared" si="56"/>
        <v>0</v>
      </c>
      <c r="J358" s="47">
        <v>0.31883804999999998</v>
      </c>
      <c r="K358" s="47">
        <v>0</v>
      </c>
      <c r="L358" s="47">
        <v>0</v>
      </c>
      <c r="M358" s="45">
        <v>0</v>
      </c>
      <c r="N358" s="47">
        <v>0</v>
      </c>
      <c r="O358" s="45" t="s">
        <v>50</v>
      </c>
      <c r="P358" s="47">
        <v>3.4388761831037424</v>
      </c>
      <c r="Q358" s="45" t="s">
        <v>50</v>
      </c>
      <c r="R358" s="45" t="s">
        <v>50</v>
      </c>
      <c r="S358" s="47">
        <f t="shared" si="53"/>
        <v>3.7577142331037425</v>
      </c>
      <c r="T358" s="47">
        <f t="shared" si="54"/>
        <v>-0.31883804999999998</v>
      </c>
      <c r="U358" s="48">
        <f t="shared" si="55"/>
        <v>-100</v>
      </c>
      <c r="V358" s="41" t="s">
        <v>442</v>
      </c>
    </row>
    <row r="359" spans="1:22" ht="30" x14ac:dyDescent="0.25">
      <c r="A359" s="56" t="s">
        <v>39</v>
      </c>
      <c r="B359" s="22" t="s">
        <v>428</v>
      </c>
      <c r="C359" s="54" t="s">
        <v>302</v>
      </c>
      <c r="D359" s="47">
        <v>0</v>
      </c>
      <c r="E359" s="47">
        <v>0</v>
      </c>
      <c r="F359" s="45" t="s">
        <v>50</v>
      </c>
      <c r="G359" s="47">
        <f t="shared" si="50"/>
        <v>0</v>
      </c>
      <c r="H359" s="47">
        <f t="shared" si="51"/>
        <v>0</v>
      </c>
      <c r="I359" s="47">
        <f t="shared" si="56"/>
        <v>3.5539050000000003E-2</v>
      </c>
      <c r="J359" s="47">
        <v>0</v>
      </c>
      <c r="K359" s="47">
        <f>35.53905/1000</f>
        <v>3.5539050000000003E-2</v>
      </c>
      <c r="L359" s="47">
        <v>0</v>
      </c>
      <c r="M359" s="45">
        <v>0</v>
      </c>
      <c r="N359" s="47">
        <v>0</v>
      </c>
      <c r="O359" s="45" t="s">
        <v>50</v>
      </c>
      <c r="P359" s="47">
        <v>0</v>
      </c>
      <c r="Q359" s="45" t="s">
        <v>50</v>
      </c>
      <c r="R359" s="45" t="s">
        <v>50</v>
      </c>
      <c r="S359" s="47">
        <f t="shared" si="53"/>
        <v>-3.5539050000000003E-2</v>
      </c>
      <c r="T359" s="47">
        <f t="shared" si="54"/>
        <v>3.5539050000000003E-2</v>
      </c>
      <c r="U359" s="48">
        <v>0</v>
      </c>
      <c r="V359" s="46" t="s">
        <v>441</v>
      </c>
    </row>
    <row r="360" spans="1:22" ht="45" x14ac:dyDescent="0.25">
      <c r="A360" s="56" t="s">
        <v>39</v>
      </c>
      <c r="B360" s="22" t="s">
        <v>429</v>
      </c>
      <c r="C360" s="54" t="s">
        <v>304</v>
      </c>
      <c r="D360" s="47">
        <v>0</v>
      </c>
      <c r="E360" s="47">
        <v>0</v>
      </c>
      <c r="F360" s="45" t="s">
        <v>50</v>
      </c>
      <c r="G360" s="47">
        <f t="shared" si="50"/>
        <v>0</v>
      </c>
      <c r="H360" s="47">
        <f t="shared" si="51"/>
        <v>0</v>
      </c>
      <c r="I360" s="47">
        <f t="shared" si="56"/>
        <v>0.13187735</v>
      </c>
      <c r="J360" s="47">
        <v>0</v>
      </c>
      <c r="K360" s="47">
        <f>131.87735/1000</f>
        <v>0.13187735</v>
      </c>
      <c r="L360" s="47">
        <v>0</v>
      </c>
      <c r="M360" s="45">
        <v>0</v>
      </c>
      <c r="N360" s="47">
        <v>0</v>
      </c>
      <c r="O360" s="45" t="s">
        <v>50</v>
      </c>
      <c r="P360" s="47">
        <v>0</v>
      </c>
      <c r="Q360" s="45" t="s">
        <v>50</v>
      </c>
      <c r="R360" s="45" t="s">
        <v>50</v>
      </c>
      <c r="S360" s="47">
        <f t="shared" si="53"/>
        <v>-0.13187735</v>
      </c>
      <c r="T360" s="47">
        <f t="shared" si="54"/>
        <v>0.13187735</v>
      </c>
      <c r="U360" s="48">
        <v>0</v>
      </c>
      <c r="V360" s="40" t="s">
        <v>440</v>
      </c>
    </row>
    <row r="361" spans="1:22" ht="60" x14ac:dyDescent="0.25">
      <c r="A361" s="56" t="s">
        <v>39</v>
      </c>
      <c r="B361" s="22" t="s">
        <v>430</v>
      </c>
      <c r="C361" s="54" t="s">
        <v>306</v>
      </c>
      <c r="D361" s="47">
        <v>0</v>
      </c>
      <c r="E361" s="47">
        <v>0</v>
      </c>
      <c r="F361" s="45" t="s">
        <v>50</v>
      </c>
      <c r="G361" s="47">
        <f t="shared" si="50"/>
        <v>0</v>
      </c>
      <c r="H361" s="47">
        <f t="shared" si="51"/>
        <v>0</v>
      </c>
      <c r="I361" s="47">
        <f t="shared" si="56"/>
        <v>0.76645801999999996</v>
      </c>
      <c r="J361" s="47">
        <v>0</v>
      </c>
      <c r="K361" s="47">
        <f>697.08127/1000</f>
        <v>0.69708126999999998</v>
      </c>
      <c r="L361" s="47">
        <v>0</v>
      </c>
      <c r="M361" s="45">
        <v>6.9376750000000001E-2</v>
      </c>
      <c r="N361" s="47">
        <v>0</v>
      </c>
      <c r="O361" s="45" t="s">
        <v>50</v>
      </c>
      <c r="P361" s="47">
        <v>0</v>
      </c>
      <c r="Q361" s="45" t="s">
        <v>50</v>
      </c>
      <c r="R361" s="45" t="s">
        <v>50</v>
      </c>
      <c r="S361" s="47">
        <f t="shared" si="53"/>
        <v>-0.76645801999999996</v>
      </c>
      <c r="T361" s="47">
        <f t="shared" si="54"/>
        <v>0.76645801999999996</v>
      </c>
      <c r="U361" s="48">
        <v>0</v>
      </c>
      <c r="V361" s="40" t="s">
        <v>440</v>
      </c>
    </row>
    <row r="362" spans="1:22" s="42" customFormat="1" ht="30" x14ac:dyDescent="0.25">
      <c r="A362" s="67" t="s">
        <v>39</v>
      </c>
      <c r="B362" s="22" t="s">
        <v>674</v>
      </c>
      <c r="C362" s="54" t="s">
        <v>341</v>
      </c>
      <c r="D362" s="47">
        <v>0</v>
      </c>
      <c r="E362" s="47">
        <v>0</v>
      </c>
      <c r="F362" s="45" t="s">
        <v>50</v>
      </c>
      <c r="G362" s="47">
        <v>0</v>
      </c>
      <c r="H362" s="47">
        <v>0</v>
      </c>
      <c r="I362" s="47">
        <f t="shared" si="56"/>
        <v>0</v>
      </c>
      <c r="J362" s="47">
        <v>0</v>
      </c>
      <c r="K362" s="47">
        <v>0</v>
      </c>
      <c r="L362" s="47">
        <v>0</v>
      </c>
      <c r="M362" s="45">
        <v>0</v>
      </c>
      <c r="N362" s="47">
        <v>0</v>
      </c>
      <c r="O362" s="45" t="s">
        <v>50</v>
      </c>
      <c r="P362" s="47">
        <v>0</v>
      </c>
      <c r="Q362" s="45" t="s">
        <v>50</v>
      </c>
      <c r="R362" s="45" t="s">
        <v>50</v>
      </c>
      <c r="S362" s="47">
        <f t="shared" si="53"/>
        <v>0</v>
      </c>
      <c r="T362" s="47">
        <f t="shared" si="54"/>
        <v>0</v>
      </c>
      <c r="U362" s="48">
        <v>0</v>
      </c>
      <c r="V362" s="40" t="s">
        <v>436</v>
      </c>
    </row>
    <row r="363" spans="1:22" s="42" customFormat="1" ht="45" x14ac:dyDescent="0.25">
      <c r="A363" s="67" t="s">
        <v>39</v>
      </c>
      <c r="B363" s="22" t="s">
        <v>342</v>
      </c>
      <c r="C363" s="54" t="s">
        <v>308</v>
      </c>
      <c r="D363" s="47">
        <v>0</v>
      </c>
      <c r="E363" s="47">
        <v>0</v>
      </c>
      <c r="F363" s="45" t="s">
        <v>50</v>
      </c>
      <c r="G363" s="47">
        <v>0</v>
      </c>
      <c r="H363" s="47">
        <v>0</v>
      </c>
      <c r="I363" s="47">
        <f t="shared" si="56"/>
        <v>0</v>
      </c>
      <c r="J363" s="47">
        <v>0</v>
      </c>
      <c r="K363" s="47">
        <v>0</v>
      </c>
      <c r="L363" s="47">
        <v>0</v>
      </c>
      <c r="M363" s="45">
        <v>0</v>
      </c>
      <c r="N363" s="47">
        <v>0</v>
      </c>
      <c r="O363" s="45" t="s">
        <v>50</v>
      </c>
      <c r="P363" s="47">
        <v>0</v>
      </c>
      <c r="Q363" s="45" t="s">
        <v>50</v>
      </c>
      <c r="R363" s="45" t="s">
        <v>50</v>
      </c>
      <c r="S363" s="47">
        <f t="shared" si="53"/>
        <v>0</v>
      </c>
      <c r="T363" s="47">
        <f t="shared" si="54"/>
        <v>0</v>
      </c>
      <c r="U363" s="48">
        <v>0</v>
      </c>
      <c r="V363" s="40" t="s">
        <v>440</v>
      </c>
    </row>
    <row r="364" spans="1:22" s="42" customFormat="1" ht="45" x14ac:dyDescent="0.25">
      <c r="A364" s="67" t="s">
        <v>39</v>
      </c>
      <c r="B364" s="22" t="s">
        <v>343</v>
      </c>
      <c r="C364" s="54" t="s">
        <v>310</v>
      </c>
      <c r="D364" s="47">
        <v>0</v>
      </c>
      <c r="E364" s="47">
        <v>0</v>
      </c>
      <c r="F364" s="45" t="s">
        <v>50</v>
      </c>
      <c r="G364" s="47">
        <v>0</v>
      </c>
      <c r="H364" s="47">
        <v>0</v>
      </c>
      <c r="I364" s="47">
        <f t="shared" si="56"/>
        <v>0</v>
      </c>
      <c r="J364" s="47">
        <v>0</v>
      </c>
      <c r="K364" s="47">
        <v>0</v>
      </c>
      <c r="L364" s="47">
        <v>0</v>
      </c>
      <c r="M364" s="45">
        <v>0</v>
      </c>
      <c r="N364" s="47">
        <v>0</v>
      </c>
      <c r="O364" s="45" t="s">
        <v>50</v>
      </c>
      <c r="P364" s="47">
        <v>0</v>
      </c>
      <c r="Q364" s="45" t="s">
        <v>50</v>
      </c>
      <c r="R364" s="45" t="s">
        <v>50</v>
      </c>
      <c r="S364" s="47">
        <f t="shared" si="53"/>
        <v>0</v>
      </c>
      <c r="T364" s="47">
        <f t="shared" si="54"/>
        <v>0</v>
      </c>
      <c r="U364" s="48">
        <v>0</v>
      </c>
      <c r="V364" s="40" t="s">
        <v>440</v>
      </c>
    </row>
    <row r="365" spans="1:22" s="42" customFormat="1" ht="45" x14ac:dyDescent="0.25">
      <c r="A365" s="67" t="s">
        <v>39</v>
      </c>
      <c r="B365" s="22" t="s">
        <v>344</v>
      </c>
      <c r="C365" s="54" t="s">
        <v>312</v>
      </c>
      <c r="D365" s="47">
        <v>0</v>
      </c>
      <c r="E365" s="47">
        <v>0</v>
      </c>
      <c r="F365" s="45" t="s">
        <v>50</v>
      </c>
      <c r="G365" s="47">
        <v>0</v>
      </c>
      <c r="H365" s="47">
        <v>0</v>
      </c>
      <c r="I365" s="47">
        <f t="shared" si="56"/>
        <v>0</v>
      </c>
      <c r="J365" s="47">
        <v>0</v>
      </c>
      <c r="K365" s="47">
        <v>0</v>
      </c>
      <c r="L365" s="47">
        <v>0</v>
      </c>
      <c r="M365" s="45">
        <v>0</v>
      </c>
      <c r="N365" s="47">
        <v>0</v>
      </c>
      <c r="O365" s="45" t="s">
        <v>50</v>
      </c>
      <c r="P365" s="47">
        <v>0</v>
      </c>
      <c r="Q365" s="45" t="s">
        <v>50</v>
      </c>
      <c r="R365" s="45" t="s">
        <v>50</v>
      </c>
      <c r="S365" s="47">
        <f t="shared" si="53"/>
        <v>0</v>
      </c>
      <c r="T365" s="47">
        <f t="shared" si="54"/>
        <v>0</v>
      </c>
      <c r="U365" s="48">
        <v>0</v>
      </c>
      <c r="V365" s="40" t="s">
        <v>440</v>
      </c>
    </row>
    <row r="366" spans="1:22" s="42" customFormat="1" ht="45" x14ac:dyDescent="0.25">
      <c r="A366" s="67" t="s">
        <v>39</v>
      </c>
      <c r="B366" s="22" t="s">
        <v>345</v>
      </c>
      <c r="C366" s="54" t="s">
        <v>314</v>
      </c>
      <c r="D366" s="47">
        <v>0</v>
      </c>
      <c r="E366" s="47">
        <v>0</v>
      </c>
      <c r="F366" s="45" t="s">
        <v>50</v>
      </c>
      <c r="G366" s="47">
        <v>0</v>
      </c>
      <c r="H366" s="47">
        <v>0</v>
      </c>
      <c r="I366" s="47">
        <f t="shared" si="56"/>
        <v>0</v>
      </c>
      <c r="J366" s="47">
        <v>0</v>
      </c>
      <c r="K366" s="47">
        <v>0</v>
      </c>
      <c r="L366" s="47">
        <v>0</v>
      </c>
      <c r="M366" s="45">
        <v>0</v>
      </c>
      <c r="N366" s="47">
        <v>0</v>
      </c>
      <c r="O366" s="45" t="s">
        <v>50</v>
      </c>
      <c r="P366" s="47">
        <v>0</v>
      </c>
      <c r="Q366" s="45" t="s">
        <v>50</v>
      </c>
      <c r="R366" s="45" t="s">
        <v>50</v>
      </c>
      <c r="S366" s="47">
        <f t="shared" si="53"/>
        <v>0</v>
      </c>
      <c r="T366" s="47">
        <f t="shared" si="54"/>
        <v>0</v>
      </c>
      <c r="U366" s="48">
        <v>0</v>
      </c>
      <c r="V366" s="40" t="s">
        <v>440</v>
      </c>
    </row>
    <row r="367" spans="1:22" s="42" customFormat="1" ht="45" x14ac:dyDescent="0.25">
      <c r="A367" s="67" t="s">
        <v>39</v>
      </c>
      <c r="B367" s="22" t="s">
        <v>675</v>
      </c>
      <c r="C367" s="54" t="s">
        <v>316</v>
      </c>
      <c r="D367" s="47">
        <v>0</v>
      </c>
      <c r="E367" s="47">
        <v>0</v>
      </c>
      <c r="F367" s="45" t="s">
        <v>50</v>
      </c>
      <c r="G367" s="47">
        <v>0</v>
      </c>
      <c r="H367" s="47">
        <v>0</v>
      </c>
      <c r="I367" s="47">
        <f t="shared" si="56"/>
        <v>0</v>
      </c>
      <c r="J367" s="47">
        <v>0</v>
      </c>
      <c r="K367" s="47">
        <v>0</v>
      </c>
      <c r="L367" s="47">
        <v>0</v>
      </c>
      <c r="M367" s="45">
        <v>0</v>
      </c>
      <c r="N367" s="47">
        <v>0</v>
      </c>
      <c r="O367" s="45" t="s">
        <v>50</v>
      </c>
      <c r="P367" s="47">
        <v>0</v>
      </c>
      <c r="Q367" s="45" t="s">
        <v>50</v>
      </c>
      <c r="R367" s="45" t="s">
        <v>50</v>
      </c>
      <c r="S367" s="47">
        <f t="shared" si="53"/>
        <v>0</v>
      </c>
      <c r="T367" s="47">
        <f t="shared" si="54"/>
        <v>0</v>
      </c>
      <c r="U367" s="48">
        <v>0</v>
      </c>
      <c r="V367" s="40" t="s">
        <v>440</v>
      </c>
    </row>
    <row r="368" spans="1:22" s="42" customFormat="1" ht="45" x14ac:dyDescent="0.25">
      <c r="A368" s="67" t="s">
        <v>39</v>
      </c>
      <c r="B368" s="22" t="s">
        <v>676</v>
      </c>
      <c r="C368" s="54" t="s">
        <v>318</v>
      </c>
      <c r="D368" s="47">
        <v>0</v>
      </c>
      <c r="E368" s="47">
        <v>0</v>
      </c>
      <c r="F368" s="45" t="s">
        <v>50</v>
      </c>
      <c r="G368" s="47">
        <v>0</v>
      </c>
      <c r="H368" s="47">
        <v>0</v>
      </c>
      <c r="I368" s="47">
        <f t="shared" si="56"/>
        <v>4.418569E-2</v>
      </c>
      <c r="J368" s="47">
        <v>0</v>
      </c>
      <c r="K368" s="47">
        <v>0</v>
      </c>
      <c r="L368" s="47">
        <v>0</v>
      </c>
      <c r="M368" s="45">
        <v>4.418569E-2</v>
      </c>
      <c r="N368" s="47">
        <v>0</v>
      </c>
      <c r="O368" s="45" t="s">
        <v>50</v>
      </c>
      <c r="P368" s="47">
        <v>0</v>
      </c>
      <c r="Q368" s="45" t="s">
        <v>50</v>
      </c>
      <c r="R368" s="45" t="s">
        <v>50</v>
      </c>
      <c r="S368" s="47">
        <f t="shared" si="53"/>
        <v>-4.418569E-2</v>
      </c>
      <c r="T368" s="47">
        <f t="shared" si="54"/>
        <v>4.418569E-2</v>
      </c>
      <c r="U368" s="48">
        <v>0</v>
      </c>
      <c r="V368" s="40" t="s">
        <v>443</v>
      </c>
    </row>
    <row r="369" spans="1:22" s="42" customFormat="1" ht="60" x14ac:dyDescent="0.25">
      <c r="A369" s="67" t="s">
        <v>39</v>
      </c>
      <c r="B369" s="22" t="s">
        <v>677</v>
      </c>
      <c r="C369" s="54" t="s">
        <v>320</v>
      </c>
      <c r="D369" s="47">
        <v>0</v>
      </c>
      <c r="E369" s="47">
        <v>0</v>
      </c>
      <c r="F369" s="45" t="s">
        <v>50</v>
      </c>
      <c r="G369" s="47">
        <v>0</v>
      </c>
      <c r="H369" s="47">
        <v>0</v>
      </c>
      <c r="I369" s="47">
        <f t="shared" si="56"/>
        <v>0.14111050000000003</v>
      </c>
      <c r="J369" s="47">
        <v>0</v>
      </c>
      <c r="K369" s="47">
        <v>0</v>
      </c>
      <c r="L369" s="47">
        <v>0</v>
      </c>
      <c r="M369" s="45">
        <v>0.14111050000000003</v>
      </c>
      <c r="N369" s="47">
        <v>0</v>
      </c>
      <c r="O369" s="45" t="s">
        <v>50</v>
      </c>
      <c r="P369" s="47">
        <v>0</v>
      </c>
      <c r="Q369" s="45" t="s">
        <v>50</v>
      </c>
      <c r="R369" s="45" t="s">
        <v>50</v>
      </c>
      <c r="S369" s="47">
        <f t="shared" si="53"/>
        <v>-0.14111050000000003</v>
      </c>
      <c r="T369" s="47">
        <f t="shared" si="54"/>
        <v>0.14111050000000003</v>
      </c>
      <c r="U369" s="48">
        <v>0</v>
      </c>
      <c r="V369" s="40" t="s">
        <v>443</v>
      </c>
    </row>
    <row r="370" spans="1:22" s="42" customFormat="1" ht="60" x14ac:dyDescent="0.25">
      <c r="A370" s="27" t="s">
        <v>39</v>
      </c>
      <c r="B370" s="22" t="s">
        <v>678</v>
      </c>
      <c r="C370" s="54" t="s">
        <v>349</v>
      </c>
      <c r="D370" s="47">
        <v>0</v>
      </c>
      <c r="E370" s="47">
        <v>0</v>
      </c>
      <c r="F370" s="45" t="s">
        <v>50</v>
      </c>
      <c r="G370" s="47">
        <v>0</v>
      </c>
      <c r="H370" s="47">
        <v>0</v>
      </c>
      <c r="I370" s="47">
        <f t="shared" si="56"/>
        <v>9.22761E-2</v>
      </c>
      <c r="J370" s="47">
        <v>0</v>
      </c>
      <c r="K370" s="47">
        <v>0</v>
      </c>
      <c r="L370" s="47">
        <v>0</v>
      </c>
      <c r="M370" s="45">
        <v>9.22761E-2</v>
      </c>
      <c r="N370" s="47">
        <v>0</v>
      </c>
      <c r="O370" s="45" t="s">
        <v>50</v>
      </c>
      <c r="P370" s="47">
        <v>0</v>
      </c>
      <c r="Q370" s="45" t="s">
        <v>50</v>
      </c>
      <c r="R370" s="45" t="s">
        <v>50</v>
      </c>
      <c r="S370" s="47">
        <f t="shared" si="53"/>
        <v>-9.22761E-2</v>
      </c>
      <c r="T370" s="47">
        <f t="shared" si="54"/>
        <v>9.22761E-2</v>
      </c>
      <c r="U370" s="48">
        <v>0</v>
      </c>
      <c r="V370" s="40" t="s">
        <v>440</v>
      </c>
    </row>
    <row r="371" spans="1:22" s="42" customFormat="1" ht="45" x14ac:dyDescent="0.25">
      <c r="A371" s="27" t="s">
        <v>39</v>
      </c>
      <c r="B371" s="22" t="s">
        <v>679</v>
      </c>
      <c r="C371" s="54" t="s">
        <v>351</v>
      </c>
      <c r="D371" s="47">
        <v>0</v>
      </c>
      <c r="E371" s="47">
        <v>0</v>
      </c>
      <c r="F371" s="45" t="s">
        <v>50</v>
      </c>
      <c r="G371" s="47">
        <v>0</v>
      </c>
      <c r="H371" s="47">
        <v>0</v>
      </c>
      <c r="I371" s="47">
        <f t="shared" si="56"/>
        <v>9.0688910000000011E-2</v>
      </c>
      <c r="J371" s="47">
        <v>0</v>
      </c>
      <c r="K371" s="47">
        <v>0</v>
      </c>
      <c r="L371" s="47">
        <v>0</v>
      </c>
      <c r="M371" s="45">
        <v>9.0688910000000011E-2</v>
      </c>
      <c r="N371" s="47">
        <v>0</v>
      </c>
      <c r="O371" s="45" t="s">
        <v>50</v>
      </c>
      <c r="P371" s="47">
        <v>0</v>
      </c>
      <c r="Q371" s="45" t="s">
        <v>50</v>
      </c>
      <c r="R371" s="45" t="s">
        <v>50</v>
      </c>
      <c r="S371" s="47">
        <f t="shared" si="53"/>
        <v>-9.0688910000000011E-2</v>
      </c>
      <c r="T371" s="47">
        <f t="shared" si="54"/>
        <v>9.0688910000000011E-2</v>
      </c>
      <c r="U371" s="48">
        <v>0</v>
      </c>
      <c r="V371" s="40" t="s">
        <v>441</v>
      </c>
    </row>
    <row r="372" spans="1:22" s="42" customFormat="1" ht="45" x14ac:dyDescent="0.25">
      <c r="A372" s="27" t="s">
        <v>39</v>
      </c>
      <c r="B372" s="22" t="s">
        <v>680</v>
      </c>
      <c r="C372" s="54" t="s">
        <v>574</v>
      </c>
      <c r="D372" s="47">
        <v>0</v>
      </c>
      <c r="E372" s="47">
        <v>0</v>
      </c>
      <c r="F372" s="45" t="s">
        <v>50</v>
      </c>
      <c r="G372" s="47">
        <v>0</v>
      </c>
      <c r="H372" s="47">
        <v>0</v>
      </c>
      <c r="I372" s="47">
        <f t="shared" si="56"/>
        <v>7.646907E-2</v>
      </c>
      <c r="J372" s="47">
        <v>0</v>
      </c>
      <c r="K372" s="47">
        <v>0</v>
      </c>
      <c r="L372" s="47">
        <v>0</v>
      </c>
      <c r="M372" s="45">
        <v>7.646907E-2</v>
      </c>
      <c r="N372" s="47">
        <v>0</v>
      </c>
      <c r="O372" s="45" t="s">
        <v>50</v>
      </c>
      <c r="P372" s="47">
        <v>0</v>
      </c>
      <c r="Q372" s="45" t="s">
        <v>50</v>
      </c>
      <c r="R372" s="45" t="s">
        <v>50</v>
      </c>
      <c r="S372" s="47">
        <f t="shared" si="53"/>
        <v>-7.646907E-2</v>
      </c>
      <c r="T372" s="47">
        <f t="shared" si="54"/>
        <v>7.646907E-2</v>
      </c>
      <c r="U372" s="48">
        <v>0</v>
      </c>
      <c r="V372" s="40" t="s">
        <v>441</v>
      </c>
    </row>
    <row r="373" spans="1:22" s="42" customFormat="1" ht="45" x14ac:dyDescent="0.25">
      <c r="A373" s="27" t="s">
        <v>39</v>
      </c>
      <c r="B373" s="22" t="s">
        <v>681</v>
      </c>
      <c r="C373" s="54" t="s">
        <v>576</v>
      </c>
      <c r="D373" s="47">
        <v>0</v>
      </c>
      <c r="E373" s="47">
        <v>0</v>
      </c>
      <c r="F373" s="45" t="s">
        <v>50</v>
      </c>
      <c r="G373" s="47">
        <v>0</v>
      </c>
      <c r="H373" s="47">
        <v>0</v>
      </c>
      <c r="I373" s="47">
        <f t="shared" si="56"/>
        <v>0.27741635999999997</v>
      </c>
      <c r="J373" s="47">
        <v>0</v>
      </c>
      <c r="K373" s="47">
        <v>0</v>
      </c>
      <c r="L373" s="47">
        <v>0</v>
      </c>
      <c r="M373" s="45">
        <v>0.27741635999999997</v>
      </c>
      <c r="N373" s="47">
        <v>0</v>
      </c>
      <c r="O373" s="45" t="s">
        <v>50</v>
      </c>
      <c r="P373" s="47">
        <v>0</v>
      </c>
      <c r="Q373" s="45" t="s">
        <v>50</v>
      </c>
      <c r="R373" s="45" t="s">
        <v>50</v>
      </c>
      <c r="S373" s="47">
        <f t="shared" si="53"/>
        <v>-0.27741635999999997</v>
      </c>
      <c r="T373" s="47">
        <f t="shared" si="54"/>
        <v>0.27741635999999997</v>
      </c>
      <c r="U373" s="48">
        <v>0</v>
      </c>
      <c r="V373" s="40" t="s">
        <v>443</v>
      </c>
    </row>
    <row r="374" spans="1:22" s="42" customFormat="1" ht="60" x14ac:dyDescent="0.25">
      <c r="A374" s="27" t="s">
        <v>39</v>
      </c>
      <c r="B374" s="22" t="s">
        <v>682</v>
      </c>
      <c r="C374" s="54" t="s">
        <v>578</v>
      </c>
      <c r="D374" s="47">
        <v>0</v>
      </c>
      <c r="E374" s="47">
        <v>0</v>
      </c>
      <c r="F374" s="45" t="s">
        <v>50</v>
      </c>
      <c r="G374" s="47">
        <v>0</v>
      </c>
      <c r="H374" s="47">
        <v>0</v>
      </c>
      <c r="I374" s="47">
        <f t="shared" si="56"/>
        <v>9.0891140000000009E-2</v>
      </c>
      <c r="J374" s="47">
        <v>0</v>
      </c>
      <c r="K374" s="47">
        <v>0</v>
      </c>
      <c r="L374" s="47">
        <v>0</v>
      </c>
      <c r="M374" s="45">
        <v>9.0891140000000009E-2</v>
      </c>
      <c r="N374" s="47">
        <v>0</v>
      </c>
      <c r="O374" s="45" t="s">
        <v>50</v>
      </c>
      <c r="P374" s="47">
        <v>0</v>
      </c>
      <c r="Q374" s="45" t="s">
        <v>50</v>
      </c>
      <c r="R374" s="45" t="s">
        <v>50</v>
      </c>
      <c r="S374" s="47">
        <f t="shared" si="53"/>
        <v>-9.0891140000000009E-2</v>
      </c>
      <c r="T374" s="47">
        <f t="shared" si="54"/>
        <v>9.0891140000000009E-2</v>
      </c>
      <c r="U374" s="48">
        <v>0</v>
      </c>
      <c r="V374" s="40" t="s">
        <v>443</v>
      </c>
    </row>
    <row r="375" spans="1:22" s="42" customFormat="1" ht="45" x14ac:dyDescent="0.25">
      <c r="A375" s="27" t="s">
        <v>39</v>
      </c>
      <c r="B375" s="22" t="s">
        <v>683</v>
      </c>
      <c r="C375" s="54" t="s">
        <v>580</v>
      </c>
      <c r="D375" s="47">
        <v>0</v>
      </c>
      <c r="E375" s="47">
        <v>0</v>
      </c>
      <c r="F375" s="45" t="s">
        <v>50</v>
      </c>
      <c r="G375" s="47">
        <v>0</v>
      </c>
      <c r="H375" s="47">
        <v>0</v>
      </c>
      <c r="I375" s="47">
        <f t="shared" si="56"/>
        <v>0.1535416</v>
      </c>
      <c r="J375" s="47">
        <v>0</v>
      </c>
      <c r="K375" s="47">
        <v>0</v>
      </c>
      <c r="L375" s="47">
        <v>0</v>
      </c>
      <c r="M375" s="45">
        <v>0.1535416</v>
      </c>
      <c r="N375" s="47">
        <v>0</v>
      </c>
      <c r="O375" s="45" t="s">
        <v>50</v>
      </c>
      <c r="P375" s="47">
        <v>0</v>
      </c>
      <c r="Q375" s="45" t="s">
        <v>50</v>
      </c>
      <c r="R375" s="45" t="s">
        <v>50</v>
      </c>
      <c r="S375" s="47">
        <f t="shared" si="53"/>
        <v>-0.1535416</v>
      </c>
      <c r="T375" s="47">
        <f t="shared" si="54"/>
        <v>0.1535416</v>
      </c>
      <c r="U375" s="48">
        <v>0</v>
      </c>
      <c r="V375" s="40" t="s">
        <v>443</v>
      </c>
    </row>
    <row r="376" spans="1:22" s="42" customFormat="1" ht="45" x14ac:dyDescent="0.25">
      <c r="A376" s="27" t="s">
        <v>39</v>
      </c>
      <c r="B376" s="22" t="s">
        <v>684</v>
      </c>
      <c r="C376" s="54" t="s">
        <v>685</v>
      </c>
      <c r="D376" s="47">
        <v>0</v>
      </c>
      <c r="E376" s="47">
        <v>0</v>
      </c>
      <c r="F376" s="45" t="s">
        <v>50</v>
      </c>
      <c r="G376" s="47">
        <v>0</v>
      </c>
      <c r="H376" s="47">
        <v>0</v>
      </c>
      <c r="I376" s="47">
        <f t="shared" si="56"/>
        <v>0.1535416</v>
      </c>
      <c r="J376" s="47">
        <v>0</v>
      </c>
      <c r="K376" s="47">
        <v>0</v>
      </c>
      <c r="L376" s="47">
        <v>0</v>
      </c>
      <c r="M376" s="45">
        <v>0.1535416</v>
      </c>
      <c r="N376" s="47">
        <v>0</v>
      </c>
      <c r="O376" s="45" t="s">
        <v>50</v>
      </c>
      <c r="P376" s="47">
        <v>0</v>
      </c>
      <c r="Q376" s="45" t="s">
        <v>50</v>
      </c>
      <c r="R376" s="45" t="s">
        <v>50</v>
      </c>
      <c r="S376" s="47">
        <f t="shared" si="53"/>
        <v>-0.1535416</v>
      </c>
      <c r="T376" s="47">
        <f t="shared" si="54"/>
        <v>0.1535416</v>
      </c>
      <c r="U376" s="48">
        <v>0</v>
      </c>
      <c r="V376" s="40" t="s">
        <v>443</v>
      </c>
    </row>
    <row r="377" spans="1:22" s="42" customFormat="1" ht="45" x14ac:dyDescent="0.25">
      <c r="A377" s="27" t="s">
        <v>39</v>
      </c>
      <c r="B377" s="22" t="s">
        <v>686</v>
      </c>
      <c r="C377" s="54" t="s">
        <v>687</v>
      </c>
      <c r="D377" s="47">
        <v>0</v>
      </c>
      <c r="E377" s="47">
        <v>0</v>
      </c>
      <c r="F377" s="45" t="s">
        <v>50</v>
      </c>
      <c r="G377" s="47">
        <v>0</v>
      </c>
      <c r="H377" s="47">
        <v>0</v>
      </c>
      <c r="I377" s="47">
        <f t="shared" si="56"/>
        <v>0.1172863</v>
      </c>
      <c r="J377" s="47">
        <v>0</v>
      </c>
      <c r="K377" s="47">
        <v>0</v>
      </c>
      <c r="L377" s="47">
        <v>0</v>
      </c>
      <c r="M377" s="45">
        <v>0.1172863</v>
      </c>
      <c r="N377" s="47">
        <v>0</v>
      </c>
      <c r="O377" s="45" t="s">
        <v>50</v>
      </c>
      <c r="P377" s="47">
        <v>0</v>
      </c>
      <c r="Q377" s="45" t="s">
        <v>50</v>
      </c>
      <c r="R377" s="45" t="s">
        <v>50</v>
      </c>
      <c r="S377" s="47">
        <f t="shared" si="53"/>
        <v>-0.1172863</v>
      </c>
      <c r="T377" s="47">
        <f t="shared" si="54"/>
        <v>0.1172863</v>
      </c>
      <c r="U377" s="48">
        <v>0</v>
      </c>
      <c r="V377" s="40" t="s">
        <v>443</v>
      </c>
    </row>
    <row r="378" spans="1:22" s="42" customFormat="1" ht="45" x14ac:dyDescent="0.25">
      <c r="A378" s="27" t="s">
        <v>39</v>
      </c>
      <c r="B378" s="22" t="s">
        <v>688</v>
      </c>
      <c r="C378" s="54" t="s">
        <v>689</v>
      </c>
      <c r="D378" s="47">
        <v>0</v>
      </c>
      <c r="E378" s="47">
        <v>0</v>
      </c>
      <c r="F378" s="45" t="s">
        <v>50</v>
      </c>
      <c r="G378" s="47">
        <v>0</v>
      </c>
      <c r="H378" s="47">
        <v>0</v>
      </c>
      <c r="I378" s="47">
        <f t="shared" si="56"/>
        <v>0.1535416</v>
      </c>
      <c r="J378" s="47">
        <v>0</v>
      </c>
      <c r="K378" s="47">
        <v>0</v>
      </c>
      <c r="L378" s="47">
        <v>0</v>
      </c>
      <c r="M378" s="45">
        <v>0.1535416</v>
      </c>
      <c r="N378" s="47">
        <v>0</v>
      </c>
      <c r="O378" s="45" t="s">
        <v>50</v>
      </c>
      <c r="P378" s="47">
        <v>0</v>
      </c>
      <c r="Q378" s="45" t="s">
        <v>50</v>
      </c>
      <c r="R378" s="45" t="s">
        <v>50</v>
      </c>
      <c r="S378" s="47">
        <f t="shared" si="53"/>
        <v>-0.1535416</v>
      </c>
      <c r="T378" s="47">
        <f t="shared" si="54"/>
        <v>0.1535416</v>
      </c>
      <c r="U378" s="48">
        <v>0</v>
      </c>
      <c r="V378" s="40" t="s">
        <v>443</v>
      </c>
    </row>
    <row r="379" spans="1:22" s="42" customFormat="1" ht="45" x14ac:dyDescent="0.25">
      <c r="A379" s="27" t="s">
        <v>39</v>
      </c>
      <c r="B379" s="22" t="s">
        <v>690</v>
      </c>
      <c r="C379" s="54" t="s">
        <v>691</v>
      </c>
      <c r="D379" s="47">
        <v>0</v>
      </c>
      <c r="E379" s="47">
        <v>0</v>
      </c>
      <c r="F379" s="45" t="s">
        <v>50</v>
      </c>
      <c r="G379" s="47">
        <v>0</v>
      </c>
      <c r="H379" s="47">
        <v>0</v>
      </c>
      <c r="I379" s="47">
        <f t="shared" si="56"/>
        <v>0.47168401000000004</v>
      </c>
      <c r="J379" s="47">
        <v>0</v>
      </c>
      <c r="K379" s="47">
        <v>0</v>
      </c>
      <c r="L379" s="47">
        <v>0</v>
      </c>
      <c r="M379" s="45">
        <v>0.47168401000000004</v>
      </c>
      <c r="N379" s="47">
        <v>0</v>
      </c>
      <c r="O379" s="45" t="s">
        <v>50</v>
      </c>
      <c r="P379" s="47">
        <v>0</v>
      </c>
      <c r="Q379" s="45" t="s">
        <v>50</v>
      </c>
      <c r="R379" s="45" t="s">
        <v>50</v>
      </c>
      <c r="S379" s="47">
        <f t="shared" si="53"/>
        <v>-0.47168401000000004</v>
      </c>
      <c r="T379" s="47">
        <f t="shared" si="54"/>
        <v>0.47168401000000004</v>
      </c>
      <c r="U379" s="48">
        <v>0</v>
      </c>
      <c r="V379" s="40" t="s">
        <v>443</v>
      </c>
    </row>
    <row r="380" spans="1:22" s="42" customFormat="1" ht="45" x14ac:dyDescent="0.25">
      <c r="A380" s="27" t="s">
        <v>39</v>
      </c>
      <c r="B380" s="22" t="s">
        <v>692</v>
      </c>
      <c r="C380" s="54" t="s">
        <v>693</v>
      </c>
      <c r="D380" s="47">
        <v>0</v>
      </c>
      <c r="E380" s="47">
        <v>0</v>
      </c>
      <c r="F380" s="45" t="s">
        <v>50</v>
      </c>
      <c r="G380" s="47">
        <v>0</v>
      </c>
      <c r="H380" s="47">
        <v>0</v>
      </c>
      <c r="I380" s="47">
        <f t="shared" si="56"/>
        <v>0.17375157000000002</v>
      </c>
      <c r="J380" s="47">
        <v>0</v>
      </c>
      <c r="K380" s="47">
        <v>0</v>
      </c>
      <c r="L380" s="47">
        <v>0</v>
      </c>
      <c r="M380" s="45">
        <v>0.17375157000000002</v>
      </c>
      <c r="N380" s="47">
        <v>0</v>
      </c>
      <c r="O380" s="45" t="s">
        <v>50</v>
      </c>
      <c r="P380" s="47">
        <v>0</v>
      </c>
      <c r="Q380" s="45" t="s">
        <v>50</v>
      </c>
      <c r="R380" s="45" t="s">
        <v>50</v>
      </c>
      <c r="S380" s="47">
        <f t="shared" si="53"/>
        <v>-0.17375157000000002</v>
      </c>
      <c r="T380" s="47">
        <f t="shared" si="54"/>
        <v>0.17375157000000002</v>
      </c>
      <c r="U380" s="48">
        <v>0</v>
      </c>
      <c r="V380" s="40" t="s">
        <v>443</v>
      </c>
    </row>
    <row r="381" spans="1:22" s="42" customFormat="1" ht="90" x14ac:dyDescent="0.25">
      <c r="A381" s="27" t="s">
        <v>39</v>
      </c>
      <c r="B381" s="22" t="s">
        <v>694</v>
      </c>
      <c r="C381" s="54" t="s">
        <v>695</v>
      </c>
      <c r="D381" s="47">
        <v>0</v>
      </c>
      <c r="E381" s="47">
        <v>0</v>
      </c>
      <c r="F381" s="45" t="s">
        <v>50</v>
      </c>
      <c r="G381" s="47">
        <v>0</v>
      </c>
      <c r="H381" s="47">
        <v>0</v>
      </c>
      <c r="I381" s="47">
        <f t="shared" si="56"/>
        <v>0</v>
      </c>
      <c r="J381" s="47">
        <v>0</v>
      </c>
      <c r="K381" s="47">
        <v>0</v>
      </c>
      <c r="L381" s="47">
        <v>0</v>
      </c>
      <c r="M381" s="45">
        <v>0</v>
      </c>
      <c r="N381" s="47">
        <v>0</v>
      </c>
      <c r="O381" s="45" t="s">
        <v>50</v>
      </c>
      <c r="P381" s="47">
        <v>0</v>
      </c>
      <c r="Q381" s="45" t="s">
        <v>50</v>
      </c>
      <c r="R381" s="45" t="s">
        <v>50</v>
      </c>
      <c r="S381" s="47">
        <f t="shared" si="53"/>
        <v>0</v>
      </c>
      <c r="T381" s="47">
        <f t="shared" si="54"/>
        <v>0</v>
      </c>
      <c r="U381" s="48">
        <v>0</v>
      </c>
      <c r="V381" s="40" t="s">
        <v>437</v>
      </c>
    </row>
    <row r="382" spans="1:22" ht="42.75" x14ac:dyDescent="0.25">
      <c r="A382" s="10" t="s">
        <v>40</v>
      </c>
      <c r="B382" s="13" t="s">
        <v>323</v>
      </c>
      <c r="C382" s="14" t="s">
        <v>52</v>
      </c>
      <c r="D382" s="49">
        <v>0</v>
      </c>
      <c r="E382" s="49">
        <v>0</v>
      </c>
      <c r="F382" s="44" t="s">
        <v>50</v>
      </c>
      <c r="G382" s="49">
        <f t="shared" si="50"/>
        <v>0</v>
      </c>
      <c r="H382" s="49">
        <f t="shared" si="51"/>
        <v>0</v>
      </c>
      <c r="I382" s="49">
        <f t="shared" si="56"/>
        <v>0</v>
      </c>
      <c r="J382" s="49">
        <v>0</v>
      </c>
      <c r="K382" s="49">
        <v>0</v>
      </c>
      <c r="L382" s="49">
        <v>0</v>
      </c>
      <c r="M382" s="44">
        <v>0</v>
      </c>
      <c r="N382" s="49">
        <v>0</v>
      </c>
      <c r="O382" s="44" t="s">
        <v>50</v>
      </c>
      <c r="P382" s="49">
        <v>0</v>
      </c>
      <c r="Q382" s="44" t="s">
        <v>50</v>
      </c>
      <c r="R382" s="44" t="s">
        <v>50</v>
      </c>
      <c r="S382" s="49">
        <f t="shared" si="53"/>
        <v>0</v>
      </c>
      <c r="T382" s="49">
        <f t="shared" si="54"/>
        <v>0</v>
      </c>
      <c r="U382" s="37">
        <v>0</v>
      </c>
      <c r="V382" s="38" t="s">
        <v>50</v>
      </c>
    </row>
    <row r="383" spans="1:22" ht="28.5" x14ac:dyDescent="0.25">
      <c r="A383" s="10" t="s">
        <v>41</v>
      </c>
      <c r="B383" s="13" t="s">
        <v>324</v>
      </c>
      <c r="C383" s="14" t="s">
        <v>52</v>
      </c>
      <c r="D383" s="49">
        <v>0</v>
      </c>
      <c r="E383" s="49">
        <f>SUM(E384:E388)</f>
        <v>0.77694914399999992</v>
      </c>
      <c r="F383" s="44" t="s">
        <v>50</v>
      </c>
      <c r="G383" s="49">
        <f t="shared" si="50"/>
        <v>26.66469</v>
      </c>
      <c r="H383" s="49">
        <f t="shared" si="51"/>
        <v>26.66469</v>
      </c>
      <c r="I383" s="49">
        <f t="shared" si="56"/>
        <v>8.6140124199999999</v>
      </c>
      <c r="J383" s="49">
        <v>0</v>
      </c>
      <c r="K383" s="49">
        <f>SUM(K384:K388)</f>
        <v>8.7533330300000003</v>
      </c>
      <c r="L383" s="49">
        <v>19.589690000000001</v>
      </c>
      <c r="M383" s="44">
        <f>SUM(M384:M390)</f>
        <v>-0.13932061000000001</v>
      </c>
      <c r="N383" s="49">
        <v>7.0750000000000002</v>
      </c>
      <c r="O383" s="44" t="s">
        <v>50</v>
      </c>
      <c r="P383" s="49">
        <v>0</v>
      </c>
      <c r="Q383" s="44" t="s">
        <v>50</v>
      </c>
      <c r="R383" s="45" t="s">
        <v>50</v>
      </c>
      <c r="S383" s="49">
        <f t="shared" si="53"/>
        <v>18.050677579999999</v>
      </c>
      <c r="T383" s="49">
        <f t="shared" si="54"/>
        <v>-10.975677580000001</v>
      </c>
      <c r="U383" s="37">
        <f t="shared" si="55"/>
        <v>-56.027826780311486</v>
      </c>
      <c r="V383" s="38" t="s">
        <v>50</v>
      </c>
    </row>
    <row r="384" spans="1:22" ht="330.75" x14ac:dyDescent="0.25">
      <c r="A384" s="60" t="s">
        <v>41</v>
      </c>
      <c r="B384" s="53" t="s">
        <v>433</v>
      </c>
      <c r="C384" s="32" t="s">
        <v>434</v>
      </c>
      <c r="D384" s="47">
        <v>0</v>
      </c>
      <c r="E384" s="47">
        <v>0</v>
      </c>
      <c r="F384" s="45" t="s">
        <v>50</v>
      </c>
      <c r="G384" s="47">
        <f t="shared" si="50"/>
        <v>0</v>
      </c>
      <c r="H384" s="47">
        <f t="shared" si="51"/>
        <v>0</v>
      </c>
      <c r="I384" s="47">
        <f t="shared" si="56"/>
        <v>7.5724056299999996</v>
      </c>
      <c r="J384" s="47">
        <v>0</v>
      </c>
      <c r="K384" s="47">
        <v>7.8349762499999995</v>
      </c>
      <c r="L384" s="47">
        <v>0</v>
      </c>
      <c r="M384" s="45">
        <f>-262.57062/1000</f>
        <v>-0.26257062000000003</v>
      </c>
      <c r="N384" s="47">
        <v>0</v>
      </c>
      <c r="O384" s="45" t="s">
        <v>50</v>
      </c>
      <c r="P384" s="47">
        <v>0</v>
      </c>
      <c r="Q384" s="45" t="s">
        <v>50</v>
      </c>
      <c r="R384" s="45" t="s">
        <v>50</v>
      </c>
      <c r="S384" s="47">
        <f t="shared" si="53"/>
        <v>-7.5724056299999996</v>
      </c>
      <c r="T384" s="47">
        <f t="shared" si="54"/>
        <v>7.5724056299999996</v>
      </c>
      <c r="U384" s="48">
        <v>0</v>
      </c>
      <c r="V384" s="40" t="s">
        <v>439</v>
      </c>
    </row>
    <row r="385" spans="1:22" s="42" customFormat="1" ht="31.5" x14ac:dyDescent="0.25">
      <c r="A385" s="61" t="s">
        <v>41</v>
      </c>
      <c r="B385" s="53" t="s">
        <v>325</v>
      </c>
      <c r="C385" s="20" t="s">
        <v>431</v>
      </c>
      <c r="D385" s="47">
        <v>0</v>
      </c>
      <c r="E385" s="47">
        <v>0</v>
      </c>
      <c r="F385" s="45" t="s">
        <v>50</v>
      </c>
      <c r="G385" s="47">
        <f t="shared" ref="G385" si="57">H385</f>
        <v>0.7</v>
      </c>
      <c r="H385" s="47">
        <f t="shared" ref="H385" si="58">J385+L385+N385+P385</f>
        <v>0.7</v>
      </c>
      <c r="I385" s="47">
        <f t="shared" si="56"/>
        <v>0</v>
      </c>
      <c r="J385" s="47">
        <v>0</v>
      </c>
      <c r="K385" s="47">
        <v>0</v>
      </c>
      <c r="L385" s="47">
        <v>0.7</v>
      </c>
      <c r="M385" s="45">
        <v>0</v>
      </c>
      <c r="N385" s="47">
        <v>0</v>
      </c>
      <c r="O385" s="45" t="s">
        <v>50</v>
      </c>
      <c r="P385" s="47">
        <v>0</v>
      </c>
      <c r="Q385" s="45" t="s">
        <v>50</v>
      </c>
      <c r="R385" s="45" t="s">
        <v>50</v>
      </c>
      <c r="S385" s="47">
        <f t="shared" si="53"/>
        <v>0.7</v>
      </c>
      <c r="T385" s="47">
        <f t="shared" si="54"/>
        <v>-0.7</v>
      </c>
      <c r="U385" s="48">
        <f t="shared" si="55"/>
        <v>-100</v>
      </c>
      <c r="V385" s="46" t="s">
        <v>50</v>
      </c>
    </row>
    <row r="386" spans="1:22" ht="135" x14ac:dyDescent="0.25">
      <c r="A386" s="61" t="s">
        <v>41</v>
      </c>
      <c r="B386" s="22" t="s">
        <v>326</v>
      </c>
      <c r="C386" s="43" t="s">
        <v>327</v>
      </c>
      <c r="D386" s="47">
        <v>0</v>
      </c>
      <c r="E386" s="47">
        <v>0</v>
      </c>
      <c r="F386" s="45" t="s">
        <v>50</v>
      </c>
      <c r="G386" s="47">
        <f t="shared" si="50"/>
        <v>5.629690000000001</v>
      </c>
      <c r="H386" s="47">
        <f t="shared" si="51"/>
        <v>5.629690000000001</v>
      </c>
      <c r="I386" s="47">
        <f t="shared" si="56"/>
        <v>0.27089915999999997</v>
      </c>
      <c r="J386" s="47">
        <v>0</v>
      </c>
      <c r="K386" s="47">
        <f>270.89916/1000</f>
        <v>0.27089915999999997</v>
      </c>
      <c r="L386" s="47">
        <v>5.5496900000000009</v>
      </c>
      <c r="M386" s="45">
        <v>0</v>
      </c>
      <c r="N386" s="47">
        <v>0.08</v>
      </c>
      <c r="O386" s="45" t="s">
        <v>50</v>
      </c>
      <c r="P386" s="47">
        <v>0</v>
      </c>
      <c r="Q386" s="45" t="s">
        <v>50</v>
      </c>
      <c r="R386" s="45" t="s">
        <v>50</v>
      </c>
      <c r="S386" s="47">
        <f t="shared" si="53"/>
        <v>5.3587908400000011</v>
      </c>
      <c r="T386" s="47">
        <f t="shared" si="54"/>
        <v>-5.278790840000001</v>
      </c>
      <c r="U386" s="48">
        <f t="shared" si="55"/>
        <v>-95.11866140270898</v>
      </c>
      <c r="V386" s="41" t="s">
        <v>719</v>
      </c>
    </row>
    <row r="387" spans="1:22" ht="150" x14ac:dyDescent="0.25">
      <c r="A387" s="61" t="s">
        <v>41</v>
      </c>
      <c r="B387" s="62" t="s">
        <v>328</v>
      </c>
      <c r="C387" s="43" t="s">
        <v>329</v>
      </c>
      <c r="D387" s="47">
        <v>0</v>
      </c>
      <c r="E387" s="47">
        <v>0</v>
      </c>
      <c r="F387" s="45" t="s">
        <v>50</v>
      </c>
      <c r="G387" s="47">
        <f t="shared" si="50"/>
        <v>20.335000000000001</v>
      </c>
      <c r="H387" s="47">
        <f t="shared" si="51"/>
        <v>20.335000000000001</v>
      </c>
      <c r="I387" s="47">
        <f t="shared" si="56"/>
        <v>0</v>
      </c>
      <c r="J387" s="47">
        <v>0</v>
      </c>
      <c r="K387" s="47">
        <v>0</v>
      </c>
      <c r="L387" s="47">
        <v>13.34</v>
      </c>
      <c r="M387" s="45">
        <v>0</v>
      </c>
      <c r="N387" s="47">
        <v>6.9950000000000001</v>
      </c>
      <c r="O387" s="45" t="s">
        <v>50</v>
      </c>
      <c r="P387" s="47">
        <v>0</v>
      </c>
      <c r="Q387" s="45" t="s">
        <v>50</v>
      </c>
      <c r="R387" s="45" t="s">
        <v>50</v>
      </c>
      <c r="S387" s="47">
        <f t="shared" si="53"/>
        <v>20.335000000000001</v>
      </c>
      <c r="T387" s="47">
        <f t="shared" si="54"/>
        <v>-13.34</v>
      </c>
      <c r="U387" s="48">
        <f t="shared" si="55"/>
        <v>-100</v>
      </c>
      <c r="V387" s="41" t="s">
        <v>444</v>
      </c>
    </row>
    <row r="388" spans="1:22" ht="36" customHeight="1" x14ac:dyDescent="0.25">
      <c r="A388" s="60" t="s">
        <v>41</v>
      </c>
      <c r="B388" s="22" t="s">
        <v>435</v>
      </c>
      <c r="C388" s="32" t="s">
        <v>432</v>
      </c>
      <c r="D388" s="47">
        <v>0</v>
      </c>
      <c r="E388" s="47">
        <f>647457.62*1.2/1000000</f>
        <v>0.77694914399999992</v>
      </c>
      <c r="F388" s="45" t="s">
        <v>50</v>
      </c>
      <c r="G388" s="47">
        <f t="shared" si="50"/>
        <v>0</v>
      </c>
      <c r="H388" s="47">
        <f t="shared" si="51"/>
        <v>0</v>
      </c>
      <c r="I388" s="47">
        <f t="shared" si="56"/>
        <v>0.64745762000000007</v>
      </c>
      <c r="J388" s="47">
        <v>0</v>
      </c>
      <c r="K388" s="47">
        <f>647.45762/1000</f>
        <v>0.64745762000000007</v>
      </c>
      <c r="L388" s="47">
        <v>0</v>
      </c>
      <c r="M388" s="45">
        <v>0</v>
      </c>
      <c r="N388" s="47">
        <v>0</v>
      </c>
      <c r="O388" s="45" t="s">
        <v>50</v>
      </c>
      <c r="P388" s="47">
        <v>0</v>
      </c>
      <c r="Q388" s="45" t="s">
        <v>50</v>
      </c>
      <c r="R388" s="45" t="s">
        <v>50</v>
      </c>
      <c r="S388" s="47">
        <f t="shared" si="53"/>
        <v>-0.64745762000000007</v>
      </c>
      <c r="T388" s="47">
        <f t="shared" si="54"/>
        <v>0.64745762000000007</v>
      </c>
      <c r="U388" s="48">
        <v>0</v>
      </c>
      <c r="V388" s="46" t="s">
        <v>50</v>
      </c>
    </row>
    <row r="389" spans="1:22" x14ac:dyDescent="0.25">
      <c r="A389" s="67" t="s">
        <v>41</v>
      </c>
      <c r="B389" s="22" t="s">
        <v>696</v>
      </c>
      <c r="C389" s="54" t="s">
        <v>697</v>
      </c>
      <c r="D389" s="47">
        <v>0</v>
      </c>
      <c r="E389" s="47">
        <v>0</v>
      </c>
      <c r="F389" s="45" t="s">
        <v>50</v>
      </c>
      <c r="G389" s="47">
        <v>0</v>
      </c>
      <c r="H389" s="47">
        <v>0</v>
      </c>
      <c r="I389" s="47">
        <f t="shared" si="56"/>
        <v>0.12325001000000001</v>
      </c>
      <c r="J389" s="47">
        <v>0</v>
      </c>
      <c r="K389" s="47">
        <v>0</v>
      </c>
      <c r="L389" s="47">
        <v>0</v>
      </c>
      <c r="M389" s="46">
        <f>123.25001/1000</f>
        <v>0.12325001000000001</v>
      </c>
      <c r="N389" s="47">
        <v>0</v>
      </c>
      <c r="O389" s="45" t="s">
        <v>50</v>
      </c>
      <c r="P389" s="47">
        <v>0</v>
      </c>
      <c r="Q389" s="45" t="s">
        <v>50</v>
      </c>
      <c r="R389" s="45" t="s">
        <v>50</v>
      </c>
      <c r="S389" s="47">
        <f t="shared" si="53"/>
        <v>-0.12325001000000001</v>
      </c>
      <c r="T389" s="47">
        <f t="shared" si="54"/>
        <v>0.12325001000000001</v>
      </c>
      <c r="U389" s="48">
        <v>0</v>
      </c>
      <c r="V389" s="46" t="s">
        <v>50</v>
      </c>
    </row>
  </sheetData>
  <customSheetViews>
    <customSheetView guid="{500C2F4F-1743-499A-A051-20565DBF52B2}" scale="80" showPageBreaks="1" printArea="1" view="pageBreakPreview">
      <selection activeCell="H15" sqref="H15:Q15"/>
      <colBreaks count="1" manualBreakCount="1">
        <brk id="9" max="20" man="1"/>
      </colBreaks>
      <pageMargins left="0.78740157480314965" right="0.39370078740157483" top="0.78740157480314965" bottom="0.78740157480314965" header="0.51181102362204722" footer="0.51181102362204722"/>
      <printOptions horizontalCentered="1"/>
      <pageSetup paperSize="9" scale="80" fitToHeight="0" orientation="landscape" r:id="rId1"/>
      <headerFooter alignWithMargins="0"/>
    </customSheetView>
  </customSheetViews>
  <mergeCells count="33">
    <mergeCell ref="C12:C15"/>
    <mergeCell ref="V12:V15"/>
    <mergeCell ref="T12:U14"/>
    <mergeCell ref="P13:Q14"/>
    <mergeCell ref="R12:S12"/>
    <mergeCell ref="E12:E15"/>
    <mergeCell ref="F12:G12"/>
    <mergeCell ref="A4:V4"/>
    <mergeCell ref="A5:V5"/>
    <mergeCell ref="A7:V7"/>
    <mergeCell ref="A8:V8"/>
    <mergeCell ref="A10:V10"/>
    <mergeCell ref="V218:V224"/>
    <mergeCell ref="V225:V227"/>
    <mergeCell ref="U248:U250"/>
    <mergeCell ref="V248:V250"/>
    <mergeCell ref="M248:M250"/>
    <mergeCell ref="V145:V148"/>
    <mergeCell ref="A11:V11"/>
    <mergeCell ref="A12:A15"/>
    <mergeCell ref="B12:B15"/>
    <mergeCell ref="L13:M14"/>
    <mergeCell ref="N13:O14"/>
    <mergeCell ref="H12:Q12"/>
    <mergeCell ref="V25:V92"/>
    <mergeCell ref="D12:D15"/>
    <mergeCell ref="H13:I14"/>
    <mergeCell ref="J13:K14"/>
    <mergeCell ref="V130:V144"/>
    <mergeCell ref="R13:R15"/>
    <mergeCell ref="S13:S15"/>
    <mergeCell ref="F13:F15"/>
    <mergeCell ref="G13:G15"/>
  </mergeCells>
  <printOptions horizontalCentered="1"/>
  <pageMargins left="0.78740157480314965" right="0.39370078740157483" top="0.78740157480314965" bottom="0.78740157480314965" header="0.51181102362204722" footer="0.51181102362204722"/>
  <pageSetup paperSize="9" scale="80" fitToHeight="0" orientation="landscape" r:id="rId2"/>
  <headerFooter alignWithMargins="0"/>
  <colBreaks count="1" manualBreakCount="1">
    <brk id="9" max="2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12квОсв</vt:lpstr>
      <vt:lpstr>'12квОсв'!Область_печати</vt:lpstr>
    </vt:vector>
  </TitlesOfParts>
  <Company>Datanium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Kudryashov_YM</dc:creator>
  <cp:lastModifiedBy>Кадомская С.Н.</cp:lastModifiedBy>
  <cp:lastPrinted>2018-06-19T11:44:26Z</cp:lastPrinted>
  <dcterms:created xsi:type="dcterms:W3CDTF">2009-07-27T10:10:26Z</dcterms:created>
  <dcterms:modified xsi:type="dcterms:W3CDTF">2019-08-09T12:27:19Z</dcterms:modified>
</cp:coreProperties>
</file>