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3950" yWindow="75" windowWidth="14430" windowHeight="13800" tabRatio="796"/>
  </bookViews>
  <sheets>
    <sheet name="10квФ" sheetId="10" r:id="rId1"/>
  </sheets>
  <definedNames>
    <definedName name="_xlnm._FilterDatabase" localSheetId="0" hidden="1">'10квФ'!$A$16:$W$388</definedName>
    <definedName name="Z_500C2F4F_1743_499A_A051_20565DBF52B2_.wvu.PrintArea" localSheetId="0" hidden="1">'10квФ'!$A$1:$T$16</definedName>
    <definedName name="_xlnm.Print_Area" localSheetId="0">'10квФ'!$A$1:$T$16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S252" i="10" l="1"/>
  <c r="S253" i="10"/>
  <c r="S254" i="10"/>
  <c r="S274" i="10"/>
  <c r="S275" i="10"/>
  <c r="S276" i="10"/>
  <c r="S277" i="10"/>
  <c r="S278" i="10"/>
  <c r="S279" i="10"/>
  <c r="S280" i="10"/>
  <c r="S281" i="10"/>
  <c r="S282" i="10"/>
  <c r="S283" i="10"/>
  <c r="S284" i="10"/>
  <c r="S285" i="10"/>
  <c r="S286" i="10"/>
  <c r="S287" i="10"/>
  <c r="S288" i="10"/>
  <c r="S289" i="10"/>
  <c r="S290" i="10"/>
  <c r="S291" i="10"/>
  <c r="S292" i="10"/>
  <c r="S293" i="10"/>
  <c r="S294" i="10"/>
  <c r="S295" i="10"/>
  <c r="S327" i="10"/>
  <c r="S328" i="10"/>
  <c r="S329" i="10"/>
  <c r="S343" i="10"/>
  <c r="S344" i="10"/>
  <c r="S345" i="10"/>
  <c r="S346" i="10"/>
  <c r="S347" i="10"/>
  <c r="S348" i="10"/>
  <c r="S349" i="10"/>
  <c r="S350" i="10"/>
  <c r="S351" i="10"/>
  <c r="S352" i="10"/>
  <c r="S353" i="10"/>
  <c r="S354" i="10"/>
  <c r="S355" i="10"/>
  <c r="S356" i="10"/>
  <c r="S357" i="10"/>
  <c r="S384" i="10"/>
  <c r="S385" i="10"/>
  <c r="S386" i="10"/>
  <c r="S251" i="10"/>
  <c r="S250" i="10"/>
  <c r="S249" i="10"/>
  <c r="S248" i="10"/>
  <c r="S107" i="10"/>
  <c r="S166" i="10"/>
  <c r="S167" i="10"/>
  <c r="S198" i="10"/>
  <c r="S199" i="10"/>
  <c r="S209" i="10"/>
  <c r="S210" i="10"/>
  <c r="S217" i="10"/>
  <c r="S225" i="10"/>
  <c r="S242" i="10"/>
  <c r="S243" i="10"/>
  <c r="S244" i="10"/>
  <c r="S245" i="10"/>
  <c r="S246" i="10"/>
  <c r="S247" i="10"/>
  <c r="H61" i="10" l="1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60" i="10"/>
  <c r="R24" i="10" l="1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52" i="10"/>
  <c r="R153" i="10"/>
  <c r="R154" i="10"/>
  <c r="R155" i="10"/>
  <c r="R156" i="10"/>
  <c r="R157" i="10"/>
  <c r="R158" i="10"/>
  <c r="R159" i="10"/>
  <c r="R160" i="10"/>
  <c r="R161" i="10"/>
  <c r="R162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4" i="10"/>
  <c r="R315" i="10"/>
  <c r="R316" i="10"/>
  <c r="R317" i="10"/>
  <c r="R318" i="10"/>
  <c r="R319" i="10"/>
  <c r="R320" i="10"/>
  <c r="R321" i="10"/>
  <c r="R322" i="10"/>
  <c r="R323" i="10"/>
  <c r="R325" i="10"/>
  <c r="R327" i="10"/>
  <c r="R328" i="10"/>
  <c r="R329" i="10"/>
  <c r="R330" i="10"/>
  <c r="R331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8" i="10"/>
  <c r="R379" i="10"/>
  <c r="R380" i="10"/>
  <c r="R381" i="10"/>
  <c r="R383" i="10"/>
  <c r="R384" i="10"/>
  <c r="R385" i="10"/>
  <c r="R386" i="10"/>
  <c r="R387" i="10"/>
  <c r="R388" i="10"/>
  <c r="Q82" i="10" l="1"/>
  <c r="Q83" i="10"/>
  <c r="Q84" i="10"/>
  <c r="Q85" i="10"/>
  <c r="Q86" i="10"/>
  <c r="Q87" i="10"/>
  <c r="Q88" i="10"/>
  <c r="Q89" i="10"/>
  <c r="Q90" i="10"/>
  <c r="Q91" i="10"/>
  <c r="Q92" i="10"/>
  <c r="L59" i="10"/>
  <c r="H24" i="10" l="1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52" i="10"/>
  <c r="H153" i="10"/>
  <c r="H154" i="10"/>
  <c r="H155" i="10"/>
  <c r="H156" i="10"/>
  <c r="H157" i="10"/>
  <c r="H158" i="10"/>
  <c r="H159" i="10"/>
  <c r="H160" i="10"/>
  <c r="H161" i="10"/>
  <c r="H162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4" i="10"/>
  <c r="H315" i="10"/>
  <c r="H316" i="10"/>
  <c r="H317" i="10"/>
  <c r="H318" i="10"/>
  <c r="H319" i="10"/>
  <c r="H320" i="10"/>
  <c r="H321" i="10"/>
  <c r="H322" i="10"/>
  <c r="H323" i="10"/>
  <c r="H325" i="10"/>
  <c r="H327" i="10"/>
  <c r="H328" i="10"/>
  <c r="H329" i="10"/>
  <c r="H330" i="10"/>
  <c r="H331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8" i="10"/>
  <c r="H379" i="10"/>
  <c r="H380" i="10"/>
  <c r="H381" i="10"/>
  <c r="H383" i="10"/>
  <c r="H384" i="10"/>
  <c r="H385" i="10"/>
  <c r="H386" i="10"/>
  <c r="H387" i="10"/>
  <c r="H388" i="10"/>
  <c r="J163" i="10"/>
  <c r="J22" i="10" l="1"/>
  <c r="J382" i="10"/>
  <c r="J334" i="10"/>
  <c r="J333" i="10"/>
  <c r="J332" i="10"/>
  <c r="J326" i="10"/>
  <c r="J151" i="10"/>
  <c r="J127" i="10"/>
  <c r="J106" i="10"/>
  <c r="J313" i="10"/>
  <c r="J377" i="10"/>
  <c r="J376" i="10"/>
  <c r="J375" i="10"/>
  <c r="J374" i="10"/>
  <c r="J373" i="10"/>
  <c r="J372" i="10"/>
  <c r="J312" i="10"/>
  <c r="J311" i="10"/>
  <c r="J272" i="10"/>
  <c r="J271" i="10"/>
  <c r="J270" i="10"/>
  <c r="H374" i="10" l="1"/>
  <c r="R374" i="10"/>
  <c r="H313" i="10"/>
  <c r="R313" i="10"/>
  <c r="H375" i="10"/>
  <c r="R375" i="10"/>
  <c r="H272" i="10"/>
  <c r="R272" i="10"/>
  <c r="H373" i="10"/>
  <c r="R373" i="10"/>
  <c r="H377" i="10"/>
  <c r="R377" i="10"/>
  <c r="H311" i="10"/>
  <c r="R311" i="10"/>
  <c r="H270" i="10"/>
  <c r="R270" i="10"/>
  <c r="H312" i="10"/>
  <c r="R312" i="10"/>
  <c r="H271" i="10"/>
  <c r="R271" i="10"/>
  <c r="R372" i="10"/>
  <c r="H376" i="10"/>
  <c r="R376" i="10"/>
  <c r="J335" i="10"/>
  <c r="H372" i="10"/>
  <c r="J324" i="10"/>
  <c r="J23" i="10"/>
  <c r="J20" i="10"/>
  <c r="J229" i="10"/>
  <c r="J105" i="10"/>
  <c r="J21" i="10" l="1"/>
  <c r="J228" i="10"/>
  <c r="J25" i="10"/>
  <c r="J18" i="10" l="1"/>
  <c r="I382" i="10" l="1"/>
  <c r="I23" i="10" s="1"/>
  <c r="I335" i="10"/>
  <c r="I21" i="10" s="1"/>
  <c r="I326" i="10"/>
  <c r="I324" i="10" s="1"/>
  <c r="I229" i="10"/>
  <c r="I228" i="10" s="1"/>
  <c r="I163" i="10"/>
  <c r="I151" i="10"/>
  <c r="I127" i="10"/>
  <c r="I106" i="10"/>
  <c r="I59" i="10"/>
  <c r="I43" i="10"/>
  <c r="I22" i="10"/>
  <c r="I150" i="10" l="1"/>
  <c r="I149" i="10" s="1"/>
  <c r="I19" i="10" s="1"/>
  <c r="I105" i="10"/>
  <c r="Q121" i="10"/>
  <c r="Q122" i="10"/>
  <c r="Q123" i="10"/>
  <c r="Q124" i="10"/>
  <c r="Q125" i="10"/>
  <c r="Q126" i="10"/>
  <c r="Q140" i="10"/>
  <c r="Q141" i="10"/>
  <c r="Q142" i="10"/>
  <c r="Q143" i="10"/>
  <c r="Q144" i="10"/>
  <c r="Q148" i="10"/>
  <c r="Q179" i="10"/>
  <c r="Q180" i="10"/>
  <c r="Q181" i="10"/>
  <c r="Q182" i="10"/>
  <c r="Q183" i="10"/>
  <c r="Q208" i="10"/>
  <c r="Q219" i="10"/>
  <c r="Q220" i="10"/>
  <c r="Q221" i="10"/>
  <c r="Q222" i="10"/>
  <c r="Q223" i="10"/>
  <c r="Q224" i="10"/>
  <c r="Q226" i="10"/>
  <c r="Q227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302" i="10"/>
  <c r="Q303" i="10"/>
  <c r="Q304" i="10"/>
  <c r="Q305" i="10"/>
  <c r="Q306" i="10"/>
  <c r="Q307" i="10"/>
  <c r="Q308" i="10"/>
  <c r="Q309" i="10"/>
  <c r="Q310" i="10"/>
  <c r="Q311" i="10"/>
  <c r="Q312" i="10"/>
  <c r="Q313" i="10"/>
  <c r="Q361" i="10"/>
  <c r="Q362" i="10"/>
  <c r="Q363" i="10"/>
  <c r="Q364" i="10"/>
  <c r="Q365" i="10"/>
  <c r="Q366" i="10"/>
  <c r="Q367" i="10"/>
  <c r="Q368" i="10"/>
  <c r="Q369" i="10"/>
  <c r="Q370" i="10"/>
  <c r="Q371" i="10"/>
  <c r="Q372" i="10"/>
  <c r="Q373" i="10"/>
  <c r="Q374" i="10"/>
  <c r="Q375" i="10"/>
  <c r="Q376" i="10"/>
  <c r="Q377" i="10"/>
  <c r="Q378" i="10"/>
  <c r="Q379" i="10"/>
  <c r="Q380" i="10"/>
  <c r="Q388" i="10"/>
  <c r="L335" i="10"/>
  <c r="L326" i="10"/>
  <c r="S326" i="10" s="1"/>
  <c r="L382" i="10"/>
  <c r="L229" i="10"/>
  <c r="L163" i="10"/>
  <c r="L106" i="10"/>
  <c r="S106" i="10" s="1"/>
  <c r="G384" i="10"/>
  <c r="D384" i="10" s="1"/>
  <c r="F384" i="10" s="1"/>
  <c r="H335" i="10" l="1"/>
  <c r="H163" i="10"/>
  <c r="H229" i="10"/>
  <c r="H106" i="10"/>
  <c r="R106" i="10"/>
  <c r="R326" i="10"/>
  <c r="L23" i="10"/>
  <c r="S23" i="10" s="1"/>
  <c r="H382" i="10"/>
  <c r="L324" i="10"/>
  <c r="S324" i="10" s="1"/>
  <c r="H326" i="10"/>
  <c r="Q384" i="10"/>
  <c r="L22" i="10"/>
  <c r="H324" i="10" l="1"/>
  <c r="R324" i="10"/>
  <c r="H22" i="10"/>
  <c r="R22" i="10"/>
  <c r="H23" i="10"/>
  <c r="R23" i="10"/>
  <c r="E22" i="10"/>
  <c r="K382" i="10"/>
  <c r="S382" i="10" s="1"/>
  <c r="M382" i="10"/>
  <c r="O382" i="10"/>
  <c r="E387" i="10"/>
  <c r="E382" i="10" s="1"/>
  <c r="E23" i="10" s="1"/>
  <c r="R382" i="10" l="1"/>
  <c r="L21" i="10"/>
  <c r="S21" i="10" s="1"/>
  <c r="L334" i="10"/>
  <c r="L333" i="10"/>
  <c r="L332" i="10"/>
  <c r="L228" i="10"/>
  <c r="S228" i="10" s="1"/>
  <c r="L151" i="10"/>
  <c r="L127" i="10"/>
  <c r="L43" i="10"/>
  <c r="L27" i="10"/>
  <c r="E356" i="10"/>
  <c r="E355" i="10"/>
  <c r="E354" i="10"/>
  <c r="E353" i="10"/>
  <c r="E352" i="10"/>
  <c r="E351" i="10"/>
  <c r="E349" i="10"/>
  <c r="E348" i="10"/>
  <c r="E347" i="10"/>
  <c r="E346" i="10"/>
  <c r="E345" i="10"/>
  <c r="E344" i="10"/>
  <c r="E343" i="10"/>
  <c r="E342" i="10"/>
  <c r="F342" i="10" s="1"/>
  <c r="Q342" i="10" s="1"/>
  <c r="E341" i="10"/>
  <c r="F341" i="10" s="1"/>
  <c r="Q341" i="10" s="1"/>
  <c r="E340" i="10"/>
  <c r="F340" i="10" s="1"/>
  <c r="Q340" i="10" s="1"/>
  <c r="E339" i="10"/>
  <c r="F339" i="10" s="1"/>
  <c r="Q339" i="10" s="1"/>
  <c r="E338" i="10"/>
  <c r="F338" i="10" s="1"/>
  <c r="Q338" i="10" s="1"/>
  <c r="E337" i="10"/>
  <c r="F337" i="10" s="1"/>
  <c r="Q337" i="10" s="1"/>
  <c r="E336" i="10"/>
  <c r="F336" i="10" s="1"/>
  <c r="Q336" i="10" s="1"/>
  <c r="E300" i="10"/>
  <c r="E299" i="10"/>
  <c r="E295" i="10"/>
  <c r="E294" i="10"/>
  <c r="E293" i="10"/>
  <c r="E292" i="10"/>
  <c r="E285" i="10"/>
  <c r="E284" i="10"/>
  <c r="E283" i="10"/>
  <c r="E276" i="10"/>
  <c r="E275" i="10"/>
  <c r="E274" i="10"/>
  <c r="E255" i="10"/>
  <c r="E254" i="10"/>
  <c r="E253" i="10"/>
  <c r="E248" i="10"/>
  <c r="E247" i="10"/>
  <c r="E246" i="10"/>
  <c r="E245" i="10"/>
  <c r="E244" i="10"/>
  <c r="E243" i="10"/>
  <c r="E242" i="10"/>
  <c r="E238" i="10"/>
  <c r="F238" i="10" s="1"/>
  <c r="Q238" i="10" s="1"/>
  <c r="E237" i="10"/>
  <c r="F237" i="10" s="1"/>
  <c r="Q237" i="10" s="1"/>
  <c r="E236" i="10"/>
  <c r="F236" i="10" s="1"/>
  <c r="Q236" i="10" s="1"/>
  <c r="E235" i="10"/>
  <c r="F235" i="10" s="1"/>
  <c r="Q235" i="10" s="1"/>
  <c r="E234" i="10"/>
  <c r="F234" i="10" s="1"/>
  <c r="Q234" i="10" s="1"/>
  <c r="E233" i="10"/>
  <c r="F233" i="10" s="1"/>
  <c r="Q233" i="10" s="1"/>
  <c r="E232" i="10"/>
  <c r="F232" i="10" s="1"/>
  <c r="Q232" i="10" s="1"/>
  <c r="E231" i="10"/>
  <c r="F231" i="10" s="1"/>
  <c r="Q231" i="10" s="1"/>
  <c r="E230" i="10"/>
  <c r="F230" i="10" s="1"/>
  <c r="Q230" i="10" s="1"/>
  <c r="E165" i="10"/>
  <c r="E164" i="10"/>
  <c r="F164" i="10" s="1"/>
  <c r="Q164" i="10" s="1"/>
  <c r="E129" i="10"/>
  <c r="F129" i="10" s="1"/>
  <c r="Q129" i="10" s="1"/>
  <c r="E128" i="10"/>
  <c r="F128" i="10" s="1"/>
  <c r="Q128" i="10" s="1"/>
  <c r="E113" i="10"/>
  <c r="E74" i="10"/>
  <c r="F74" i="10" s="1"/>
  <c r="Q74" i="10" s="1"/>
  <c r="E73" i="10"/>
  <c r="F73" i="10" s="1"/>
  <c r="Q73" i="10" s="1"/>
  <c r="E72" i="10"/>
  <c r="F72" i="10" s="1"/>
  <c r="Q72" i="10" s="1"/>
  <c r="E71" i="10"/>
  <c r="F71" i="10" s="1"/>
  <c r="Q71" i="10" s="1"/>
  <c r="E70" i="10"/>
  <c r="F70" i="10" s="1"/>
  <c r="Q70" i="10" s="1"/>
  <c r="E69" i="10"/>
  <c r="F69" i="10" s="1"/>
  <c r="Q69" i="10" s="1"/>
  <c r="E68" i="10"/>
  <c r="F68" i="10" s="1"/>
  <c r="Q68" i="10" s="1"/>
  <c r="E67" i="10"/>
  <c r="F67" i="10" s="1"/>
  <c r="Q67" i="10" s="1"/>
  <c r="E66" i="10"/>
  <c r="F66" i="10" s="1"/>
  <c r="Q66" i="10" s="1"/>
  <c r="E65" i="10"/>
  <c r="F65" i="10" s="1"/>
  <c r="Q65" i="10" s="1"/>
  <c r="E64" i="10"/>
  <c r="F64" i="10" s="1"/>
  <c r="Q64" i="10" s="1"/>
  <c r="E63" i="10"/>
  <c r="F63" i="10" s="1"/>
  <c r="Q63" i="10" s="1"/>
  <c r="E62" i="10"/>
  <c r="F62" i="10" s="1"/>
  <c r="Q62" i="10" s="1"/>
  <c r="E61" i="10"/>
  <c r="F61" i="10" s="1"/>
  <c r="Q61" i="10" s="1"/>
  <c r="E60" i="10"/>
  <c r="F60" i="10" s="1"/>
  <c r="Q60" i="10" s="1"/>
  <c r="E51" i="10"/>
  <c r="F51" i="10" s="1"/>
  <c r="Q51" i="10" s="1"/>
  <c r="E50" i="10"/>
  <c r="F50" i="10" s="1"/>
  <c r="Q50" i="10" s="1"/>
  <c r="E49" i="10"/>
  <c r="F49" i="10" s="1"/>
  <c r="Q49" i="10" s="1"/>
  <c r="E48" i="10"/>
  <c r="F48" i="10" s="1"/>
  <c r="Q48" i="10" s="1"/>
  <c r="E47" i="10"/>
  <c r="F47" i="10" s="1"/>
  <c r="Q47" i="10" s="1"/>
  <c r="E46" i="10"/>
  <c r="F46" i="10" s="1"/>
  <c r="Q46" i="10" s="1"/>
  <c r="E45" i="10"/>
  <c r="F45" i="10" s="1"/>
  <c r="Q45" i="10" s="1"/>
  <c r="E44" i="10"/>
  <c r="F44" i="10" s="1"/>
  <c r="Q44" i="10" s="1"/>
  <c r="E35" i="10"/>
  <c r="F35" i="10" s="1"/>
  <c r="Q35" i="10" s="1"/>
  <c r="E34" i="10"/>
  <c r="F34" i="10" s="1"/>
  <c r="Q34" i="10" s="1"/>
  <c r="E33" i="10"/>
  <c r="F33" i="10" s="1"/>
  <c r="Q33" i="10" s="1"/>
  <c r="E32" i="10"/>
  <c r="F32" i="10" s="1"/>
  <c r="Q32" i="10" s="1"/>
  <c r="E31" i="10"/>
  <c r="F31" i="10" s="1"/>
  <c r="Q31" i="10" s="1"/>
  <c r="E30" i="10"/>
  <c r="F30" i="10" s="1"/>
  <c r="Q30" i="10" s="1"/>
  <c r="E29" i="10"/>
  <c r="F29" i="10" s="1"/>
  <c r="Q29" i="10" s="1"/>
  <c r="E28" i="10"/>
  <c r="F28" i="10" s="1"/>
  <c r="Q28" i="10" s="1"/>
  <c r="H228" i="10" l="1"/>
  <c r="R228" i="10"/>
  <c r="H21" i="10"/>
  <c r="R21" i="10"/>
  <c r="H332" i="10"/>
  <c r="R151" i="10"/>
  <c r="H127" i="10"/>
  <c r="L150" i="10"/>
  <c r="L149" i="10" s="1"/>
  <c r="L19" i="10" s="1"/>
  <c r="H151" i="10"/>
  <c r="I334" i="10"/>
  <c r="R334" i="10" s="1"/>
  <c r="H334" i="10"/>
  <c r="I333" i="10"/>
  <c r="R333" i="10" s="1"/>
  <c r="H333" i="10"/>
  <c r="L20" i="10"/>
  <c r="I332" i="10"/>
  <c r="R332" i="10" s="1"/>
  <c r="L105" i="10"/>
  <c r="S105" i="10" s="1"/>
  <c r="L26" i="10"/>
  <c r="S26" i="10" s="1"/>
  <c r="J59" i="10"/>
  <c r="K59" i="10"/>
  <c r="M59" i="10"/>
  <c r="O59" i="10"/>
  <c r="H105" i="10" l="1"/>
  <c r="R105" i="10"/>
  <c r="H26" i="10"/>
  <c r="R26" i="10"/>
  <c r="H20" i="10"/>
  <c r="H59" i="10"/>
  <c r="R59" i="10"/>
  <c r="I20" i="10"/>
  <c r="R20" i="10" s="1"/>
  <c r="L25" i="10"/>
  <c r="E59" i="10"/>
  <c r="L18" i="10" l="1"/>
  <c r="H25" i="10"/>
  <c r="J43" i="10"/>
  <c r="K43" i="10"/>
  <c r="M43" i="10"/>
  <c r="O43" i="10"/>
  <c r="H43" i="10" l="1"/>
  <c r="R43" i="10"/>
  <c r="L17" i="10"/>
  <c r="H18" i="10"/>
  <c r="E43" i="10"/>
  <c r="J27" i="10" l="1"/>
  <c r="H27" i="10" s="1"/>
  <c r="E27" i="10" l="1"/>
  <c r="E26" i="10" s="1"/>
  <c r="K127" i="10" l="1"/>
  <c r="M127" i="10"/>
  <c r="O127" i="10"/>
  <c r="E127" i="10"/>
  <c r="K335" i="10"/>
  <c r="S335" i="10" s="1"/>
  <c r="M335" i="10"/>
  <c r="O335" i="10"/>
  <c r="E335" i="10"/>
  <c r="K229" i="10"/>
  <c r="S229" i="10" s="1"/>
  <c r="M229" i="10"/>
  <c r="O229" i="10"/>
  <c r="E229" i="10"/>
  <c r="K163" i="10"/>
  <c r="S163" i="10" s="1"/>
  <c r="M163" i="10"/>
  <c r="O163" i="10"/>
  <c r="E163" i="10"/>
  <c r="G239" i="10"/>
  <c r="R163" i="10" l="1"/>
  <c r="R229" i="10"/>
  <c r="R335" i="10"/>
  <c r="R127" i="10"/>
  <c r="J150" i="10"/>
  <c r="S150" i="10" s="1"/>
  <c r="D239" i="10"/>
  <c r="F239" i="10" s="1"/>
  <c r="Q239" i="10" s="1"/>
  <c r="H150" i="10" l="1"/>
  <c r="R150" i="10"/>
  <c r="J149" i="10"/>
  <c r="S149" i="10" s="1"/>
  <c r="E151" i="10"/>
  <c r="E21" i="10"/>
  <c r="E228" i="10"/>
  <c r="E106" i="10"/>
  <c r="R149" i="10" l="1"/>
  <c r="J19" i="10"/>
  <c r="S19" i="10" s="1"/>
  <c r="H149" i="10"/>
  <c r="E150" i="10"/>
  <c r="E149" i="10" s="1"/>
  <c r="E19" i="10" s="1"/>
  <c r="E105" i="10"/>
  <c r="E25" i="10" s="1"/>
  <c r="E18" i="10" s="1"/>
  <c r="H19" i="10" l="1"/>
  <c r="R19" i="10"/>
  <c r="J17" i="10"/>
  <c r="H17" i="10" l="1"/>
  <c r="I27" i="10"/>
  <c r="O27" i="10"/>
  <c r="M27" i="10"/>
  <c r="K27" i="10"/>
  <c r="D40" i="10"/>
  <c r="F40" i="10" s="1"/>
  <c r="D75" i="10"/>
  <c r="F75" i="10" s="1"/>
  <c r="D76" i="10"/>
  <c r="F76" i="10" s="1"/>
  <c r="D77" i="10"/>
  <c r="F77" i="10" s="1"/>
  <c r="D78" i="10"/>
  <c r="F78" i="10" s="1"/>
  <c r="R27" i="10" l="1"/>
  <c r="I25" i="10"/>
  <c r="Q40" i="10"/>
  <c r="Q75" i="10"/>
  <c r="Q76" i="10"/>
  <c r="Q77" i="10"/>
  <c r="Q78" i="10"/>
  <c r="E324" i="10"/>
  <c r="E326" i="10"/>
  <c r="E332" i="10"/>
  <c r="E20" i="10" s="1"/>
  <c r="E17" i="10" s="1"/>
  <c r="E333" i="10"/>
  <c r="E334" i="10"/>
  <c r="R25" i="10" l="1"/>
  <c r="S25" i="10"/>
  <c r="I18" i="10"/>
  <c r="G56" i="10"/>
  <c r="R18" i="10" l="1"/>
  <c r="S18" i="10"/>
  <c r="I17" i="10"/>
  <c r="D56" i="10"/>
  <c r="R17" i="10" l="1"/>
  <c r="S17" i="10"/>
  <c r="F56" i="10"/>
  <c r="Q56" i="10" s="1"/>
  <c r="G146" i="10"/>
  <c r="G18" i="10"/>
  <c r="G19" i="10"/>
  <c r="G20" i="10"/>
  <c r="G21" i="10"/>
  <c r="G22" i="10"/>
  <c r="G23" i="10"/>
  <c r="G24" i="10"/>
  <c r="G25" i="10"/>
  <c r="G26" i="10"/>
  <c r="G36" i="10"/>
  <c r="G37" i="10"/>
  <c r="G38" i="10"/>
  <c r="G39" i="10"/>
  <c r="G41" i="10"/>
  <c r="G42" i="10"/>
  <c r="G52" i="10"/>
  <c r="G53" i="10"/>
  <c r="G54" i="10"/>
  <c r="G55" i="10"/>
  <c r="G57" i="10"/>
  <c r="G58" i="10"/>
  <c r="G79" i="10"/>
  <c r="G80" i="10"/>
  <c r="G81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30" i="10"/>
  <c r="G131" i="10"/>
  <c r="G132" i="10"/>
  <c r="G133" i="10"/>
  <c r="G134" i="10"/>
  <c r="G135" i="10"/>
  <c r="G136" i="10"/>
  <c r="G137" i="10"/>
  <c r="G138" i="10"/>
  <c r="G139" i="10"/>
  <c r="G145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84" i="10"/>
  <c r="G185" i="10"/>
  <c r="G186" i="10"/>
  <c r="G187" i="10"/>
  <c r="G188" i="10"/>
  <c r="G189" i="10"/>
  <c r="G190" i="10"/>
  <c r="G191" i="10"/>
  <c r="G192" i="10"/>
  <c r="G193" i="10"/>
  <c r="G194" i="10"/>
  <c r="G195" i="10"/>
  <c r="G196" i="10"/>
  <c r="G197" i="10"/>
  <c r="G198" i="10"/>
  <c r="G199" i="10"/>
  <c r="G200" i="10"/>
  <c r="G201" i="10"/>
  <c r="G202" i="10"/>
  <c r="G203" i="10"/>
  <c r="G204" i="10"/>
  <c r="G205" i="10"/>
  <c r="G206" i="10"/>
  <c r="G207" i="10"/>
  <c r="G209" i="10"/>
  <c r="G210" i="10"/>
  <c r="G211" i="10"/>
  <c r="G212" i="10"/>
  <c r="G213" i="10"/>
  <c r="G214" i="10"/>
  <c r="G215" i="10"/>
  <c r="G216" i="10"/>
  <c r="G217" i="10"/>
  <c r="G218" i="10"/>
  <c r="G225" i="10"/>
  <c r="G228" i="10"/>
  <c r="G240" i="10"/>
  <c r="G241" i="10"/>
  <c r="G242" i="10"/>
  <c r="G243" i="10"/>
  <c r="G244" i="10"/>
  <c r="G245" i="10"/>
  <c r="G246" i="10"/>
  <c r="G247" i="10"/>
  <c r="G248" i="10"/>
  <c r="G249" i="10"/>
  <c r="G250" i="10"/>
  <c r="G251" i="10"/>
  <c r="G252" i="10"/>
  <c r="G253" i="10"/>
  <c r="G254" i="10"/>
  <c r="G255" i="10"/>
  <c r="G256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G292" i="10"/>
  <c r="G293" i="10"/>
  <c r="G294" i="10"/>
  <c r="G295" i="10"/>
  <c r="G296" i="10"/>
  <c r="G297" i="10"/>
  <c r="G298" i="10"/>
  <c r="G299" i="10"/>
  <c r="G300" i="10"/>
  <c r="G301" i="10"/>
  <c r="G314" i="10"/>
  <c r="G315" i="10"/>
  <c r="G316" i="10"/>
  <c r="G317" i="10"/>
  <c r="G318" i="10"/>
  <c r="G319" i="10"/>
  <c r="G320" i="10"/>
  <c r="G321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81" i="10"/>
  <c r="G383" i="10"/>
  <c r="G385" i="10"/>
  <c r="G386" i="10"/>
  <c r="G387" i="10"/>
  <c r="G17" i="10"/>
  <c r="G147" i="10"/>
  <c r="G382" i="10" l="1"/>
  <c r="D382" i="10" s="1"/>
  <c r="G59" i="10"/>
  <c r="D59" i="10" s="1"/>
  <c r="F59" i="10" s="1"/>
  <c r="Q59" i="10" s="1"/>
  <c r="G43" i="10"/>
  <c r="D43" i="10" s="1"/>
  <c r="F43" i="10" s="1"/>
  <c r="Q43" i="10" s="1"/>
  <c r="G27" i="10"/>
  <c r="D27" i="10" s="1"/>
  <c r="F27" i="10" s="1"/>
  <c r="Q27" i="10" s="1"/>
  <c r="G335" i="10"/>
  <c r="D335" i="10" s="1"/>
  <c r="F335" i="10" s="1"/>
  <c r="Q335" i="10" s="1"/>
  <c r="G127" i="10"/>
  <c r="D127" i="10" s="1"/>
  <c r="F127" i="10" s="1"/>
  <c r="Q127" i="10" s="1"/>
  <c r="G163" i="10"/>
  <c r="D163" i="10" s="1"/>
  <c r="F163" i="10" s="1"/>
  <c r="Q163" i="10" s="1"/>
  <c r="G229" i="10"/>
  <c r="D229" i="10" s="1"/>
  <c r="F229" i="10" s="1"/>
  <c r="Q229" i="10" s="1"/>
  <c r="D17" i="10"/>
  <c r="D147" i="10"/>
  <c r="D381" i="10"/>
  <c r="D353" i="10"/>
  <c r="D345" i="10"/>
  <c r="D387" i="10"/>
  <c r="D359" i="10"/>
  <c r="D355" i="10"/>
  <c r="D351" i="10"/>
  <c r="D347" i="10"/>
  <c r="D343" i="10"/>
  <c r="F343" i="10" s="1"/>
  <c r="Q343" i="10" s="1"/>
  <c r="D332" i="10"/>
  <c r="D328" i="10"/>
  <c r="D324" i="10"/>
  <c r="D320" i="10"/>
  <c r="D316" i="10"/>
  <c r="D300" i="10"/>
  <c r="D296" i="10"/>
  <c r="D292" i="10"/>
  <c r="D288" i="10"/>
  <c r="D284" i="10"/>
  <c r="D280" i="10"/>
  <c r="D276" i="10"/>
  <c r="D255" i="10"/>
  <c r="D251" i="10"/>
  <c r="D247" i="10"/>
  <c r="D243" i="10"/>
  <c r="D218" i="10"/>
  <c r="D214" i="10"/>
  <c r="D210" i="10"/>
  <c r="D205" i="10"/>
  <c r="D201" i="10"/>
  <c r="D197" i="10"/>
  <c r="D193" i="10"/>
  <c r="D189" i="10"/>
  <c r="D185" i="10"/>
  <c r="D176" i="10"/>
  <c r="D172" i="10"/>
  <c r="D168" i="10"/>
  <c r="D159" i="10"/>
  <c r="D155" i="10"/>
  <c r="D151" i="10"/>
  <c r="D139" i="10"/>
  <c r="D135" i="10"/>
  <c r="D131" i="10"/>
  <c r="D120" i="10"/>
  <c r="D116" i="10"/>
  <c r="D112" i="10"/>
  <c r="D108" i="10"/>
  <c r="D104" i="10"/>
  <c r="D100" i="10"/>
  <c r="D96" i="10"/>
  <c r="D81" i="10"/>
  <c r="D58" i="10"/>
  <c r="D53" i="10"/>
  <c r="D41" i="10"/>
  <c r="D36" i="10"/>
  <c r="F36" i="10" s="1"/>
  <c r="Q36" i="10" s="1"/>
  <c r="D24" i="10"/>
  <c r="D20" i="10"/>
  <c r="D386" i="10"/>
  <c r="D358" i="10"/>
  <c r="D354" i="10"/>
  <c r="D350" i="10"/>
  <c r="D346" i="10"/>
  <c r="D331" i="10"/>
  <c r="D327" i="10"/>
  <c r="D323" i="10"/>
  <c r="D319" i="10"/>
  <c r="D315" i="10"/>
  <c r="D299" i="10"/>
  <c r="D295" i="10"/>
  <c r="D291" i="10"/>
  <c r="D287" i="10"/>
  <c r="D283" i="10"/>
  <c r="D279" i="10"/>
  <c r="D275" i="10"/>
  <c r="D254" i="10"/>
  <c r="D250" i="10"/>
  <c r="D246" i="10"/>
  <c r="D242" i="10"/>
  <c r="D217" i="10"/>
  <c r="D213" i="10"/>
  <c r="D209" i="10"/>
  <c r="D204" i="10"/>
  <c r="D200" i="10"/>
  <c r="D196" i="10"/>
  <c r="D192" i="10"/>
  <c r="D188" i="10"/>
  <c r="D184" i="10"/>
  <c r="D175" i="10"/>
  <c r="D171" i="10"/>
  <c r="D167" i="10"/>
  <c r="D162" i="10"/>
  <c r="D158" i="10"/>
  <c r="D154" i="10"/>
  <c r="D150" i="10"/>
  <c r="D138" i="10"/>
  <c r="D134" i="10"/>
  <c r="D130" i="10"/>
  <c r="F130" i="10" s="1"/>
  <c r="Q130" i="10" s="1"/>
  <c r="D119" i="10"/>
  <c r="D115" i="10"/>
  <c r="D111" i="10"/>
  <c r="D107" i="10"/>
  <c r="D103" i="10"/>
  <c r="D99" i="10"/>
  <c r="D95" i="10"/>
  <c r="D80" i="10"/>
  <c r="D57" i="10"/>
  <c r="D52" i="10"/>
  <c r="F52" i="10" s="1"/>
  <c r="Q52" i="10" s="1"/>
  <c r="D39" i="10"/>
  <c r="D23" i="10"/>
  <c r="D19" i="10"/>
  <c r="D385" i="10"/>
  <c r="D357" i="10"/>
  <c r="D349" i="10"/>
  <c r="D334" i="10"/>
  <c r="D330" i="10"/>
  <c r="D326" i="10"/>
  <c r="D322" i="10"/>
  <c r="D318" i="10"/>
  <c r="D314" i="10"/>
  <c r="D298" i="10"/>
  <c r="D294" i="10"/>
  <c r="D290" i="10"/>
  <c r="D286" i="10"/>
  <c r="D282" i="10"/>
  <c r="D278" i="10"/>
  <c r="D274" i="10"/>
  <c r="D253" i="10"/>
  <c r="D249" i="10"/>
  <c r="D245" i="10"/>
  <c r="D241" i="10"/>
  <c r="D228" i="10"/>
  <c r="D216" i="10"/>
  <c r="D212" i="10"/>
  <c r="D207" i="10"/>
  <c r="D203" i="10"/>
  <c r="D199" i="10"/>
  <c r="D195" i="10"/>
  <c r="D191" i="10"/>
  <c r="D187" i="10"/>
  <c r="D178" i="10"/>
  <c r="D174" i="10"/>
  <c r="D170" i="10"/>
  <c r="D166" i="10"/>
  <c r="D161" i="10"/>
  <c r="D157" i="10"/>
  <c r="D153" i="10"/>
  <c r="D149" i="10"/>
  <c r="D137" i="10"/>
  <c r="D133" i="10"/>
  <c r="D118" i="10"/>
  <c r="D114" i="10"/>
  <c r="D110" i="10"/>
  <c r="D106" i="10"/>
  <c r="D102" i="10"/>
  <c r="D98" i="10"/>
  <c r="D94" i="10"/>
  <c r="D79" i="10"/>
  <c r="F79" i="10" s="1"/>
  <c r="Q79" i="10" s="1"/>
  <c r="D55" i="10"/>
  <c r="D38" i="10"/>
  <c r="D26" i="10"/>
  <c r="D22" i="10"/>
  <c r="D18" i="10"/>
  <c r="D383" i="10"/>
  <c r="D360" i="10"/>
  <c r="D356" i="10"/>
  <c r="D352" i="10"/>
  <c r="D348" i="10"/>
  <c r="D344" i="10"/>
  <c r="D333" i="10"/>
  <c r="D329" i="10"/>
  <c r="D325" i="10"/>
  <c r="D321" i="10"/>
  <c r="D317" i="10"/>
  <c r="D301" i="10"/>
  <c r="D297" i="10"/>
  <c r="D293" i="10"/>
  <c r="D289" i="10"/>
  <c r="D285" i="10"/>
  <c r="D281" i="10"/>
  <c r="D277" i="10"/>
  <c r="D256" i="10"/>
  <c r="D252" i="10"/>
  <c r="D248" i="10"/>
  <c r="D244" i="10"/>
  <c r="D240" i="10"/>
  <c r="F240" i="10" s="1"/>
  <c r="Q240" i="10" s="1"/>
  <c r="D225" i="10"/>
  <c r="D215" i="10"/>
  <c r="D211" i="10"/>
  <c r="D206" i="10"/>
  <c r="D202" i="10"/>
  <c r="D198" i="10"/>
  <c r="D194" i="10"/>
  <c r="D190" i="10"/>
  <c r="D186" i="10"/>
  <c r="D177" i="10"/>
  <c r="D173" i="10"/>
  <c r="D169" i="10"/>
  <c r="D165" i="10"/>
  <c r="F165" i="10" s="1"/>
  <c r="Q165" i="10" s="1"/>
  <c r="D160" i="10"/>
  <c r="D156" i="10"/>
  <c r="D152" i="10"/>
  <c r="D145" i="10"/>
  <c r="D136" i="10"/>
  <c r="D132" i="10"/>
  <c r="D117" i="10"/>
  <c r="D113" i="10"/>
  <c r="D109" i="10"/>
  <c r="D105" i="10"/>
  <c r="D101" i="10"/>
  <c r="D97" i="10"/>
  <c r="D93" i="10"/>
  <c r="D54" i="10"/>
  <c r="D42" i="10"/>
  <c r="D37" i="10"/>
  <c r="D25" i="10"/>
  <c r="D21" i="10"/>
  <c r="D146" i="10"/>
  <c r="F202" i="10" l="1"/>
  <c r="Q202" i="10" s="1"/>
  <c r="F252" i="10"/>
  <c r="Q252" i="10" s="1"/>
  <c r="F285" i="10"/>
  <c r="Q285" i="10" s="1"/>
  <c r="F329" i="10"/>
  <c r="Q329" i="10" s="1"/>
  <c r="F191" i="10"/>
  <c r="Q191" i="10" s="1"/>
  <c r="F241" i="10"/>
  <c r="Q241" i="10" s="1"/>
  <c r="F290" i="10"/>
  <c r="Q290" i="10" s="1"/>
  <c r="F318" i="10"/>
  <c r="Q318" i="10" s="1"/>
  <c r="F188" i="10"/>
  <c r="Q188" i="10" s="1"/>
  <c r="F242" i="10"/>
  <c r="Q242" i="10" s="1"/>
  <c r="F275" i="10"/>
  <c r="Q275" i="10" s="1"/>
  <c r="F291" i="10"/>
  <c r="Q291" i="10" s="1"/>
  <c r="F319" i="10"/>
  <c r="Q319" i="10" s="1"/>
  <c r="F346" i="10"/>
  <c r="Q346" i="10" s="1"/>
  <c r="F176" i="10"/>
  <c r="Q176" i="10" s="1"/>
  <c r="F197" i="10"/>
  <c r="Q197" i="10" s="1"/>
  <c r="F251" i="10"/>
  <c r="Q251" i="10" s="1"/>
  <c r="F284" i="10"/>
  <c r="Q284" i="10" s="1"/>
  <c r="F300" i="10"/>
  <c r="Q300" i="10" s="1"/>
  <c r="F328" i="10"/>
  <c r="Q328" i="10" s="1"/>
  <c r="F351" i="10"/>
  <c r="Q351" i="10" s="1"/>
  <c r="F387" i="10"/>
  <c r="Q387" i="10" s="1"/>
  <c r="F169" i="10"/>
  <c r="Q169" i="10" s="1"/>
  <c r="F190" i="10"/>
  <c r="Q190" i="10" s="1"/>
  <c r="F256" i="10"/>
  <c r="Q256" i="10" s="1"/>
  <c r="F289" i="10"/>
  <c r="Q289" i="10" s="1"/>
  <c r="F317" i="10"/>
  <c r="Q317" i="10" s="1"/>
  <c r="F333" i="10"/>
  <c r="Q333" i="10" s="1"/>
  <c r="F356" i="10"/>
  <c r="Q356" i="10" s="1"/>
  <c r="F174" i="10"/>
  <c r="Q174" i="10" s="1"/>
  <c r="F195" i="10"/>
  <c r="Q195" i="10" s="1"/>
  <c r="F212" i="10"/>
  <c r="Q212" i="10" s="1"/>
  <c r="F278" i="10"/>
  <c r="Q278" i="10" s="1"/>
  <c r="F294" i="10"/>
  <c r="Q294" i="10" s="1"/>
  <c r="F322" i="10"/>
  <c r="Q322" i="10" s="1"/>
  <c r="F349" i="10"/>
  <c r="Q349" i="10" s="1"/>
  <c r="F192" i="10"/>
  <c r="Q192" i="10" s="1"/>
  <c r="F209" i="10"/>
  <c r="Q209" i="10" s="1"/>
  <c r="F246" i="10"/>
  <c r="Q246" i="10" s="1"/>
  <c r="F279" i="10"/>
  <c r="Q279" i="10" s="1"/>
  <c r="F295" i="10"/>
  <c r="Q295" i="10" s="1"/>
  <c r="F350" i="10"/>
  <c r="Q350" i="10" s="1"/>
  <c r="F386" i="10"/>
  <c r="Q386" i="10" s="1"/>
  <c r="F201" i="10"/>
  <c r="Q201" i="10" s="1"/>
  <c r="F288" i="10"/>
  <c r="Q288" i="10" s="1"/>
  <c r="F173" i="10"/>
  <c r="Q173" i="10" s="1"/>
  <c r="F194" i="10"/>
  <c r="Q194" i="10" s="1"/>
  <c r="F211" i="10"/>
  <c r="Q211" i="10" s="1"/>
  <c r="F244" i="10"/>
  <c r="Q244" i="10" s="1"/>
  <c r="F277" i="10"/>
  <c r="Q277" i="10" s="1"/>
  <c r="F293" i="10"/>
  <c r="Q293" i="10" s="1"/>
  <c r="F321" i="10"/>
  <c r="Q321" i="10" s="1"/>
  <c r="F344" i="10"/>
  <c r="Q344" i="10" s="1"/>
  <c r="F360" i="10"/>
  <c r="Q360" i="10" s="1"/>
  <c r="F178" i="10"/>
  <c r="Q178" i="10" s="1"/>
  <c r="F199" i="10"/>
  <c r="Q199" i="10" s="1"/>
  <c r="F216" i="10"/>
  <c r="Q216" i="10" s="1"/>
  <c r="F249" i="10"/>
  <c r="Q249" i="10" s="1"/>
  <c r="F282" i="10"/>
  <c r="Q282" i="10" s="1"/>
  <c r="F298" i="10"/>
  <c r="Q298" i="10" s="1"/>
  <c r="F326" i="10"/>
  <c r="Q326" i="10" s="1"/>
  <c r="F357" i="10"/>
  <c r="Q357" i="10" s="1"/>
  <c r="F175" i="10"/>
  <c r="Q175" i="10" s="1"/>
  <c r="F196" i="10"/>
  <c r="Q196" i="10" s="1"/>
  <c r="F213" i="10"/>
  <c r="Q213" i="10" s="1"/>
  <c r="F250" i="10"/>
  <c r="Q250" i="10" s="1"/>
  <c r="F283" i="10"/>
  <c r="Q283" i="10" s="1"/>
  <c r="F299" i="10"/>
  <c r="Q299" i="10" s="1"/>
  <c r="F327" i="10"/>
  <c r="Q327" i="10" s="1"/>
  <c r="F354" i="10"/>
  <c r="Q354" i="10" s="1"/>
  <c r="F168" i="10"/>
  <c r="Q168" i="10" s="1"/>
  <c r="F189" i="10"/>
  <c r="Q189" i="10" s="1"/>
  <c r="F205" i="10"/>
  <c r="Q205" i="10" s="1"/>
  <c r="F243" i="10"/>
  <c r="Q243" i="10" s="1"/>
  <c r="F276" i="10"/>
  <c r="Q276" i="10" s="1"/>
  <c r="F292" i="10"/>
  <c r="Q292" i="10" s="1"/>
  <c r="F320" i="10"/>
  <c r="Q320" i="10" s="1"/>
  <c r="F359" i="10"/>
  <c r="Q359" i="10" s="1"/>
  <c r="F353" i="10"/>
  <c r="Q353" i="10" s="1"/>
  <c r="F177" i="10"/>
  <c r="Q177" i="10" s="1"/>
  <c r="F198" i="10"/>
  <c r="Q198" i="10" s="1"/>
  <c r="F215" i="10"/>
  <c r="Q215" i="10" s="1"/>
  <c r="F248" i="10"/>
  <c r="Q248" i="10" s="1"/>
  <c r="F281" i="10"/>
  <c r="Q281" i="10" s="1"/>
  <c r="F297" i="10"/>
  <c r="Q297" i="10" s="1"/>
  <c r="F325" i="10"/>
  <c r="Q325" i="10" s="1"/>
  <c r="F348" i="10"/>
  <c r="Q348" i="10" s="1"/>
  <c r="F383" i="10"/>
  <c r="Q383" i="10" s="1"/>
  <c r="F187" i="10"/>
  <c r="Q187" i="10" s="1"/>
  <c r="F203" i="10"/>
  <c r="Q203" i="10" s="1"/>
  <c r="F228" i="10"/>
  <c r="Q228" i="10" s="1"/>
  <c r="F253" i="10"/>
  <c r="Q253" i="10" s="1"/>
  <c r="F286" i="10"/>
  <c r="Q286" i="10" s="1"/>
  <c r="F314" i="10"/>
  <c r="Q314" i="10" s="1"/>
  <c r="F330" i="10"/>
  <c r="Q330" i="10" s="1"/>
  <c r="F385" i="10"/>
  <c r="Q385" i="10" s="1"/>
  <c r="F184" i="10"/>
  <c r="Q184" i="10" s="1"/>
  <c r="F200" i="10"/>
  <c r="Q200" i="10" s="1"/>
  <c r="F217" i="10"/>
  <c r="Q217" i="10" s="1"/>
  <c r="F254" i="10"/>
  <c r="Q254" i="10" s="1"/>
  <c r="F287" i="10"/>
  <c r="Q287" i="10" s="1"/>
  <c r="F315" i="10"/>
  <c r="Q315" i="10" s="1"/>
  <c r="F331" i="10"/>
  <c r="Q331" i="10" s="1"/>
  <c r="F358" i="10"/>
  <c r="Q358" i="10" s="1"/>
  <c r="F172" i="10"/>
  <c r="Q172" i="10" s="1"/>
  <c r="F193" i="10"/>
  <c r="Q193" i="10" s="1"/>
  <c r="F210" i="10"/>
  <c r="Q210" i="10" s="1"/>
  <c r="F247" i="10"/>
  <c r="Q247" i="10" s="1"/>
  <c r="F280" i="10"/>
  <c r="Q280" i="10" s="1"/>
  <c r="F296" i="10"/>
  <c r="Q296" i="10" s="1"/>
  <c r="F324" i="10"/>
  <c r="Q324" i="10" s="1"/>
  <c r="F347" i="10"/>
  <c r="Q347" i="10" s="1"/>
  <c r="F381" i="10"/>
  <c r="Q381" i="10" s="1"/>
  <c r="F186" i="10"/>
  <c r="Q186" i="10" s="1"/>
  <c r="F225" i="10"/>
  <c r="Q225" i="10" s="1"/>
  <c r="F301" i="10"/>
  <c r="Q301" i="10" s="1"/>
  <c r="F352" i="10"/>
  <c r="Q352" i="10" s="1"/>
  <c r="F170" i="10"/>
  <c r="Q170" i="10" s="1"/>
  <c r="F207" i="10"/>
  <c r="Q207" i="10" s="1"/>
  <c r="F274" i="10"/>
  <c r="Q274" i="10" s="1"/>
  <c r="F334" i="10"/>
  <c r="Q334" i="10" s="1"/>
  <c r="F204" i="10"/>
  <c r="Q204" i="10" s="1"/>
  <c r="F214" i="10"/>
  <c r="Q214" i="10" s="1"/>
  <c r="F206" i="10"/>
  <c r="Q206" i="10" s="1"/>
  <c r="F245" i="10"/>
  <c r="Q245" i="10" s="1"/>
  <c r="F171" i="10"/>
  <c r="Q171" i="10" s="1"/>
  <c r="F323" i="10"/>
  <c r="Q323" i="10" s="1"/>
  <c r="F185" i="10"/>
  <c r="Q185" i="10" s="1"/>
  <c r="F218" i="10"/>
  <c r="Q218" i="10" s="1"/>
  <c r="F255" i="10"/>
  <c r="Q255" i="10" s="1"/>
  <c r="F316" i="10"/>
  <c r="Q316" i="10" s="1"/>
  <c r="F332" i="10"/>
  <c r="Q332" i="10" s="1"/>
  <c r="F355" i="10"/>
  <c r="Q355" i="10" s="1"/>
  <c r="F345" i="10"/>
  <c r="Q345" i="10" s="1"/>
  <c r="F37" i="10"/>
  <c r="Q37" i="10" s="1"/>
  <c r="F97" i="10"/>
  <c r="Q97" i="10" s="1"/>
  <c r="F136" i="10"/>
  <c r="Q136" i="10" s="1"/>
  <c r="F160" i="10"/>
  <c r="Q160" i="10" s="1"/>
  <c r="F98" i="10"/>
  <c r="Q98" i="10" s="1"/>
  <c r="F114" i="10"/>
  <c r="Q114" i="10" s="1"/>
  <c r="F166" i="10"/>
  <c r="Q166" i="10" s="1"/>
  <c r="F99" i="10"/>
  <c r="Q99" i="10" s="1"/>
  <c r="F162" i="10"/>
  <c r="Q162" i="10" s="1"/>
  <c r="F21" i="10"/>
  <c r="Q21" i="10" s="1"/>
  <c r="F54" i="10"/>
  <c r="Q54" i="10" s="1"/>
  <c r="F105" i="10"/>
  <c r="Q105" i="10" s="1"/>
  <c r="F152" i="10"/>
  <c r="Q152" i="10" s="1"/>
  <c r="F22" i="10"/>
  <c r="Q22" i="10" s="1"/>
  <c r="F106" i="10"/>
  <c r="Q106" i="10" s="1"/>
  <c r="F133" i="10"/>
  <c r="Q133" i="10" s="1"/>
  <c r="F157" i="10"/>
  <c r="Q157" i="10" s="1"/>
  <c r="F23" i="10"/>
  <c r="Q23" i="10" s="1"/>
  <c r="F80" i="10"/>
  <c r="Q80" i="10" s="1"/>
  <c r="F107" i="10"/>
  <c r="Q107" i="10" s="1"/>
  <c r="F154" i="10"/>
  <c r="Q154" i="10" s="1"/>
  <c r="F41" i="10"/>
  <c r="Q41" i="10" s="1"/>
  <c r="F96" i="10"/>
  <c r="Q96" i="10" s="1"/>
  <c r="F112" i="10"/>
  <c r="Q112" i="10" s="1"/>
  <c r="F135" i="10"/>
  <c r="Q135" i="10" s="1"/>
  <c r="F159" i="10"/>
  <c r="Q159" i="10" s="1"/>
  <c r="F25" i="10"/>
  <c r="Q25" i="10" s="1"/>
  <c r="F93" i="10"/>
  <c r="Q93" i="10" s="1"/>
  <c r="F109" i="10"/>
  <c r="Q109" i="10" s="1"/>
  <c r="F132" i="10"/>
  <c r="Q132" i="10" s="1"/>
  <c r="F156" i="10"/>
  <c r="Q156" i="10" s="1"/>
  <c r="F26" i="10"/>
  <c r="Q26" i="10" s="1"/>
  <c r="F94" i="10"/>
  <c r="Q94" i="10" s="1"/>
  <c r="F110" i="10"/>
  <c r="Q110" i="10" s="1"/>
  <c r="F137" i="10"/>
  <c r="Q137" i="10" s="1"/>
  <c r="F161" i="10"/>
  <c r="Q161" i="10" s="1"/>
  <c r="F39" i="10"/>
  <c r="Q39" i="10" s="1"/>
  <c r="F95" i="10"/>
  <c r="Q95" i="10" s="1"/>
  <c r="F111" i="10"/>
  <c r="Q111" i="10" s="1"/>
  <c r="F134" i="10"/>
  <c r="Q134" i="10" s="1"/>
  <c r="F158" i="10"/>
  <c r="Q158" i="10" s="1"/>
  <c r="F20" i="10"/>
  <c r="Q20" i="10" s="1"/>
  <c r="F53" i="10"/>
  <c r="Q53" i="10" s="1"/>
  <c r="F100" i="10"/>
  <c r="Q100" i="10" s="1"/>
  <c r="F116" i="10"/>
  <c r="Q116" i="10" s="1"/>
  <c r="F139" i="10"/>
  <c r="Q139" i="10" s="1"/>
  <c r="F113" i="10"/>
  <c r="Q113" i="10" s="1"/>
  <c r="F38" i="10"/>
  <c r="Q38" i="10" s="1"/>
  <c r="F149" i="10"/>
  <c r="Q149" i="10" s="1"/>
  <c r="F115" i="10"/>
  <c r="Q115" i="10" s="1"/>
  <c r="F138" i="10"/>
  <c r="Q138" i="10" s="1"/>
  <c r="F24" i="10"/>
  <c r="Q24" i="10" s="1"/>
  <c r="F58" i="10"/>
  <c r="Q58" i="10" s="1"/>
  <c r="F104" i="10"/>
  <c r="Q104" i="10" s="1"/>
  <c r="F120" i="10"/>
  <c r="Q120" i="10" s="1"/>
  <c r="F151" i="10"/>
  <c r="Q151" i="10" s="1"/>
  <c r="F146" i="10"/>
  <c r="Q146" i="10" s="1"/>
  <c r="F42" i="10"/>
  <c r="Q42" i="10" s="1"/>
  <c r="F101" i="10"/>
  <c r="Q101" i="10" s="1"/>
  <c r="F117" i="10"/>
  <c r="Q117" i="10" s="1"/>
  <c r="F145" i="10"/>
  <c r="Q145" i="10" s="1"/>
  <c r="F18" i="10"/>
  <c r="Q18" i="10" s="1"/>
  <c r="F55" i="10"/>
  <c r="Q55" i="10" s="1"/>
  <c r="F102" i="10"/>
  <c r="Q102" i="10" s="1"/>
  <c r="F118" i="10"/>
  <c r="Q118" i="10" s="1"/>
  <c r="F153" i="10"/>
  <c r="Q153" i="10" s="1"/>
  <c r="F19" i="10"/>
  <c r="Q19" i="10" s="1"/>
  <c r="F57" i="10"/>
  <c r="Q57" i="10" s="1"/>
  <c r="F103" i="10"/>
  <c r="Q103" i="10" s="1"/>
  <c r="F119" i="10"/>
  <c r="Q119" i="10" s="1"/>
  <c r="F150" i="10"/>
  <c r="Q150" i="10" s="1"/>
  <c r="F167" i="10"/>
  <c r="Q167" i="10" s="1"/>
  <c r="F81" i="10"/>
  <c r="Q81" i="10" s="1"/>
  <c r="F108" i="10"/>
  <c r="Q108" i="10" s="1"/>
  <c r="F131" i="10"/>
  <c r="Q131" i="10" s="1"/>
  <c r="F155" i="10"/>
  <c r="Q155" i="10" s="1"/>
  <c r="F147" i="10"/>
  <c r="Q147" i="10" s="1"/>
  <c r="F17" i="10"/>
  <c r="Q17" i="10" s="1"/>
  <c r="B16" i="10"/>
  <c r="C16" i="10" s="1"/>
  <c r="D16" i="10" s="1"/>
  <c r="F382" i="10" l="1"/>
  <c r="Q382" i="10" s="1"/>
  <c r="E16" i="10"/>
  <c r="F16" i="10" s="1"/>
  <c r="G16" i="10" s="1"/>
  <c r="H16" i="10" s="1"/>
  <c r="I16" i="10" s="1"/>
  <c r="J16" i="10" s="1"/>
  <c r="K16" i="10" s="1"/>
  <c r="L16" i="10" s="1"/>
  <c r="M16" i="10" s="1"/>
  <c r="N16" i="10" s="1"/>
  <c r="O16" i="10" s="1"/>
  <c r="P16" i="10" s="1"/>
  <c r="Q16" i="10" s="1"/>
  <c r="R16" i="10" s="1"/>
  <c r="S16" i="10" s="1"/>
  <c r="T16" i="10" s="1"/>
</calcChain>
</file>

<file path=xl/sharedStrings.xml><?xml version="1.0" encoding="utf-8"?>
<sst xmlns="http://schemas.openxmlformats.org/spreadsheetml/2006/main" count="2171" uniqueCount="718">
  <si>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</si>
  <si>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</si>
  <si>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</si>
  <si>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</si>
  <si>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</si>
  <si>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</si>
  <si>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 xml:space="preserve"> Наименование инвестиционного проекта (группы инвестиционных проектов)</t>
  </si>
  <si>
    <t xml:space="preserve">Всего </t>
  </si>
  <si>
    <t>Номер группы инвестиционных проектов</t>
  </si>
  <si>
    <t xml:space="preserve">    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</si>
  <si>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</si>
  <si>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</si>
  <si>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</si>
  <si>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</si>
  <si>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</si>
  <si>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</si>
  <si>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</si>
  <si>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</si>
  <si>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</si>
  <si>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</si>
  <si>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</si>
  <si>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</si>
  <si>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</si>
  <si>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</si>
  <si>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</si>
  <si>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</si>
  <si>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</si>
  <si>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</si>
  <si>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</si>
  <si>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</si>
  <si>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</si>
  <si>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</si>
  <si>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</si>
  <si>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</si>
  <si>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</si>
  <si>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</si>
  <si>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</si>
  <si>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</si>
  <si>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</si>
  <si>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</si>
  <si>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</si>
  <si>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</si>
  <si>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Приложение  № 10</t>
  </si>
  <si>
    <t>Форма 10.  Отчет об исполнении плана финансирования капитальных вложений по инвестиционным проектам инвестиционной программы (квартальный)</t>
  </si>
  <si>
    <t>от « 25 » апреля 2018 г. № 320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</si>
  <si>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</si>
  <si>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</si>
  <si>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</si>
  <si>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нд</t>
  </si>
  <si>
    <t>Год раскрытия информации: 2019 год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</si>
  <si>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</si>
  <si>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</si>
  <si>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</si>
  <si>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</si>
  <si>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</si>
  <si>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</si>
  <si>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</si>
  <si>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</si>
  <si>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</si>
  <si>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</si>
  <si>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</si>
  <si>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</si>
  <si>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</si>
  <si>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</si>
  <si>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</si>
  <si>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</si>
  <si>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</si>
  <si>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</si>
  <si>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</si>
  <si>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</si>
  <si>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</si>
  <si>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</si>
  <si>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</si>
  <si>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</si>
  <si>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</si>
  <si>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</si>
  <si>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</si>
  <si>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</si>
  <si>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</si>
  <si>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</si>
  <si>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</si>
  <si>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</si>
  <si>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</si>
  <si>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</si>
  <si>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</si>
  <si>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</si>
  <si>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</si>
  <si>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</si>
  <si>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</si>
  <si>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</si>
  <si>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</si>
  <si>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</si>
  <si>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</si>
  <si>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</si>
  <si>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</si>
  <si>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</si>
  <si>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</si>
  <si>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</si>
  <si>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</si>
  <si>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</si>
  <si>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</si>
  <si>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</si>
  <si>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</si>
  <si>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</si>
  <si>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</si>
  <si>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</si>
  <si>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</si>
  <si>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</si>
  <si>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</si>
  <si>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</si>
  <si>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</si>
  <si>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</si>
  <si>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</si>
  <si>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</si>
  <si>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</si>
  <si>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</si>
  <si>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</si>
  <si>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</si>
  <si>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</si>
  <si>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</si>
  <si>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</si>
  <si>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</si>
  <si>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</si>
  <si>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</si>
  <si>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</si>
  <si>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</si>
  <si>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</si>
  <si>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</si>
  <si>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</si>
  <si>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</si>
  <si>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</si>
  <si>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</si>
  <si>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</si>
  <si>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</si>
  <si>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</si>
  <si>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</si>
  <si>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</si>
  <si>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</si>
  <si>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</si>
  <si>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</si>
  <si>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</si>
  <si>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</si>
  <si>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</si>
  <si>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</si>
  <si>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</si>
  <si>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</si>
  <si>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</si>
  <si>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</si>
  <si>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</si>
  <si>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</si>
  <si>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</si>
  <si>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</si>
  <si>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</si>
  <si>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</si>
  <si>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</si>
  <si>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</si>
  <si>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</si>
  <si>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</si>
  <si>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</si>
  <si>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</si>
  <si>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</si>
  <si>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</si>
  <si>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</si>
  <si>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</si>
  <si>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</si>
  <si>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</si>
  <si>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</si>
  <si>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</si>
  <si>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</si>
  <si>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</si>
  <si>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</si>
  <si>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</si>
  <si>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</si>
  <si>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</si>
  <si>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</si>
  <si>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</si>
  <si>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</si>
  <si>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</si>
  <si>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</si>
  <si>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</si>
  <si>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</si>
  <si>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</si>
  <si>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</si>
  <si>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</si>
  <si>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</si>
  <si>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</si>
  <si>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</si>
  <si>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</si>
  <si>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</si>
  <si>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</si>
  <si>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</si>
  <si>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</si>
  <si>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</si>
  <si>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</si>
  <si>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</si>
  <si>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</si>
  <si>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</si>
  <si>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</si>
  <si>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</si>
  <si>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</si>
  <si>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</si>
  <si>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</si>
  <si>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</si>
  <si>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</si>
  <si>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</si>
  <si>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</si>
  <si>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</si>
  <si>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</si>
  <si>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</si>
  <si>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</si>
  <si>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</si>
  <si>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</si>
  <si>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</si>
  <si>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</si>
  <si>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</si>
  <si>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</si>
  <si>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</si>
  <si>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</si>
  <si>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</si>
  <si>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</si>
  <si>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</si>
  <si>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</si>
  <si>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</si>
  <si>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</si>
  <si>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</si>
  <si>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</si>
  <si>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</si>
  <si>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</si>
  <si>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</si>
  <si>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</si>
  <si>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</si>
  <si>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</si>
  <si>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</si>
  <si>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</si>
  <si>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</si>
  <si>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</si>
  <si>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</si>
  <si>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</si>
  <si>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</si>
  <si>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</si>
  <si>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</si>
  <si>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</si>
  <si>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</si>
  <si>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</si>
  <si>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</si>
  <si>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</si>
  <si>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</si>
  <si>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</si>
  <si>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</si>
  <si>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</si>
  <si>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</si>
  <si>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</si>
  <si>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</si>
  <si>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</si>
  <si>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</si>
  <si>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</si>
  <si>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</si>
  <si>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</si>
  <si>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</si>
  <si>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</si>
  <si>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</si>
  <si>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</si>
  <si>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</si>
  <si>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</si>
  <si>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</si>
  <si>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</si>
  <si>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</si>
  <si>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</si>
  <si>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</si>
  <si>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</si>
  <si>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</si>
  <si>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</si>
  <si>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</si>
  <si>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</si>
  <si>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</si>
  <si>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</si>
  <si>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</si>
  <si>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</si>
  <si>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</si>
  <si>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</si>
  <si>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</si>
  <si>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</si>
  <si>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</si>
  <si>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</si>
  <si>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</si>
  <si>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</si>
  <si>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</si>
  <si>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</si>
  <si>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</si>
  <si>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</si>
  <si>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</si>
  <si>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</si>
  <si>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</si>
  <si>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</si>
  <si>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</si>
  <si>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</si>
  <si>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</si>
  <si>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</si>
  <si>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</si>
  <si>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</si>
  <si>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</si>
  <si>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</si>
  <si>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</si>
  <si>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</si>
  <si>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</si>
  <si>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</si>
  <si>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</si>
  <si>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</si>
  <si>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</si>
  <si>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</si>
  <si>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</si>
  <si>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</si>
  <si>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</si>
  <si>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</si>
  <si>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</si>
  <si>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</si>
  <si>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</si>
  <si>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</si>
  <si>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</si>
  <si>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</si>
  <si>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</si>
  <si>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</si>
  <si>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</si>
  <si>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</si>
  <si>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Модернизация программного обеспечения НИС21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</si>
  <si>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</si>
  <si>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</si>
  <si>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</si>
  <si>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</si>
  <si>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Отчет о реализации инвестиционной программы акционерного общества  "Воронежская горэлектросеть"</t>
  </si>
  <si>
    <t xml:space="preserve">Фактический объем финансирования капитальных вложений на  01.01. 2019 года, млн. рублей 
(с НДС) </t>
  </si>
  <si>
    <t>Финансирование капитальных вложений 2019 года , млн. рублей (с НДС)</t>
  </si>
  <si>
    <t xml:space="preserve">Остаток финансирования капитальных вложений 
на  01.01.2019 года   в прогнозных ценах соответствующих лет,  млн. рублей (с НДС) 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</si>
  <si>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</si>
  <si>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</si>
  <si>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</si>
  <si>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</si>
  <si>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</si>
  <si>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</si>
  <si>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</si>
  <si>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</si>
  <si>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</si>
  <si>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</si>
  <si>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</si>
  <si>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</si>
  <si>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</si>
  <si>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</si>
  <si>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</si>
  <si>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</si>
  <si>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</si>
  <si>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</si>
  <si>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</si>
  <si>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</si>
  <si>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</si>
  <si>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</si>
  <si>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</si>
  <si>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</si>
  <si>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</si>
  <si>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</si>
  <si>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</si>
  <si>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</si>
  <si>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</si>
  <si>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</si>
  <si>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</si>
  <si>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</si>
  <si>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</si>
  <si>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</si>
  <si>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</si>
  <si>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</si>
  <si>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</si>
  <si>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</si>
  <si>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</si>
  <si>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</si>
  <si>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</si>
  <si>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</si>
  <si>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</si>
  <si>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</si>
  <si>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</si>
  <si>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</si>
  <si>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</si>
  <si>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</si>
  <si>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</si>
  <si>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</si>
  <si>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</si>
  <si>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</si>
  <si>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</si>
  <si>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</si>
  <si>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</si>
  <si>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</si>
  <si>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</si>
  <si>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</si>
  <si>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</si>
  <si>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</si>
  <si>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</si>
  <si>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</si>
  <si>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</si>
  <si>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</si>
  <si>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</si>
  <si>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</si>
  <si>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</si>
  <si>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</si>
  <si>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</si>
  <si>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</si>
  <si>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</si>
  <si>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</si>
  <si>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</si>
  <si>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</si>
  <si>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</si>
  <si>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</si>
  <si>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</si>
  <si>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</si>
  <si>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</si>
  <si>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</si>
  <si>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</si>
  <si>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</si>
  <si>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</si>
  <si>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</si>
  <si>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</si>
  <si>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</si>
  <si>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</si>
  <si>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</si>
  <si>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</si>
  <si>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</si>
  <si>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</si>
  <si>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</si>
  <si>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</si>
  <si>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</si>
  <si>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</si>
  <si>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E_19/1.3.10нис</t>
  </si>
  <si>
    <t>E_19/1.3.12.3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</si>
  <si>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</si>
  <si>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</si>
  <si>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КЛ-0,4 КВ ТП-1693 до ж/д 131 ул.9 Января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</si>
  <si>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</si>
  <si>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</si>
  <si>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Объект переходящий по инвестиционной программе 2015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</si>
  <si>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</si>
  <si>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</si>
  <si>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Ликвидация последствий аварии.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</si>
  <si>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</si>
  <si>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</si>
  <si>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</si>
  <si>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</si>
  <si>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</si>
  <si>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</si>
  <si>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</si>
  <si>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</si>
  <si>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</si>
  <si>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</si>
  <si>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</si>
  <si>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</si>
  <si>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</si>
  <si>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</si>
  <si>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</si>
  <si>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</si>
  <si>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</si>
  <si>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</si>
  <si>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</si>
  <si>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</si>
  <si>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</si>
  <si>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</si>
  <si>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</si>
  <si>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</si>
  <si>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</si>
  <si>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</si>
  <si>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</si>
  <si>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</si>
  <si>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</si>
  <si>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</si>
  <si>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</si>
  <si>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Строительство ВЛ-0,4 кВ для технологического присоединения. Новое строительство (протяженность 22,6 км)</t>
  </si>
  <si>
    <t>Строительство КЛ-0,4 кВ для технологического присоединения. Новое строительство (протяженность 14,00 км)</t>
  </si>
  <si>
    <t>Строительство КЛ-6,10 кВ для технологического присоединения. Новое строительство (протяженность 13,10 км)</t>
  </si>
  <si>
    <t>Строительство ТП  для технологического присоединения. Новое строительство (трансформаторная мощность 1,6 мВА)</t>
  </si>
  <si>
    <t>Стр-во КТП 1х250 взамен КТП-869 (трансформаторная мощность 0,25 МВА)</t>
  </si>
  <si>
    <t>F_15/2.2.5.5</t>
  </si>
  <si>
    <t>Прокладка КЛ от ТП-1256 до места соед. С КЛ в сторону ТП-676 (протяженность по трассе 1,10км)</t>
  </si>
  <si>
    <t>H_17/2.1.3.1</t>
  </si>
  <si>
    <t>Реконструкция КЛ 0,4 кВ ТП-224Н - ул. Чайковского, Щ.1</t>
  </si>
  <si>
    <t>E_18/1.1.2.18</t>
  </si>
  <si>
    <t>Реконструкция КЛ 6,10кВ РП-7 ТП-20 (до муфты)</t>
  </si>
  <si>
    <t>I_18/1.1.3.20</t>
  </si>
  <si>
    <t>ТП-1007 КЛ-1(ОАО "Центрторг") Генерала Лизюкова,62</t>
  </si>
  <si>
    <t>F_15/1.1.3.28</t>
  </si>
  <si>
    <t>H_17/1.1.4.14</t>
  </si>
  <si>
    <t>Реконструкция КЛ 6,10кВ РП-28-ТП-896</t>
  </si>
  <si>
    <t>I_18/1.1.3.22</t>
  </si>
  <si>
    <t xml:space="preserve">Вынос КЛ-6кВ: ТП-1093-ТП-1757, ТП-1098-ТП-1757, ТП-1196-ТП-1757 из зоны стр-ва Корольковой, 59,61 </t>
  </si>
  <si>
    <t>H_17/1.1.4.15</t>
  </si>
  <si>
    <t>Вынос КТП-1622 п.Репное (Когтев С.А.)</t>
  </si>
  <si>
    <t>G_16/1.3.7.8</t>
  </si>
  <si>
    <t>Платонова 15 вынос КЛ-6 кВ ТП-140-ТП-1239,ТП-19-ТП-1239(Воронежбетон)</t>
  </si>
  <si>
    <t>F_15/1.1.3.29</t>
  </si>
  <si>
    <t>Реконструкция КЛ 6,10кВ РП-21-ТП-751</t>
  </si>
  <si>
    <t>I_18/1.1.3.23</t>
  </si>
  <si>
    <t>Реконструкция КЛ 0,4 кВ ТП-10</t>
  </si>
  <si>
    <t>E_18/1.1.2.19</t>
  </si>
  <si>
    <t>Строительство КЛ-0,4 кВ ТП-1095 КЛ-1 кВ, ул. Новосибирская, д. 39 (ИП Леньков А.А.)</t>
  </si>
  <si>
    <t>I_18/2.2.7.34</t>
  </si>
  <si>
    <t>Строительство КЛ-0,4 кВ ТП-218А, ул. Шишкова, 65</t>
  </si>
  <si>
    <t>I_18/2.2.7.26</t>
  </si>
  <si>
    <t>Строительство КЛ-0,4 кВ ТП-222  КЛ-1 кВ, ул. Мира, д. 3 9Сорокин А.В.)</t>
  </si>
  <si>
    <t>I_18/2.2.7.35</t>
  </si>
  <si>
    <t>Строительство КЛ-0,4 кВ ТП-282 КЛ-1 кВ, Московский пр. 7</t>
  </si>
  <si>
    <t>I_18/2.2.7.27</t>
  </si>
  <si>
    <t>Реконструкция низковольтного оборудования в ТП-339</t>
  </si>
  <si>
    <t>I_18/1.5.25.А.</t>
  </si>
  <si>
    <t>Строительство КЛ-0,4 кВ ТП-396, ул. Брусилова, д. 4Е(ООО Фрегат)</t>
  </si>
  <si>
    <t>I_18/2.2.7.36</t>
  </si>
  <si>
    <t>Реконструкция низковольтногооборудования в ТП-910</t>
  </si>
  <si>
    <t>I_18/1.5.16.А.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</si>
  <si>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</si>
  <si>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</si>
  <si>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</si>
  <si>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</si>
  <si>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</si>
  <si>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</si>
  <si>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</si>
  <si>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</si>
  <si>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</si>
  <si>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</si>
  <si>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</si>
  <si>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</si>
  <si>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</si>
  <si>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</si>
  <si>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</si>
  <si>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</si>
  <si>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</si>
  <si>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</si>
  <si>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КЛ-6-10 кВ для технологического присоединения. Новое строительство (протяженность 4,036 км)</t>
  </si>
  <si>
    <t>E_18/00033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</si>
  <si>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</si>
  <si>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</si>
  <si>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</si>
  <si>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</si>
  <si>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</si>
  <si>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</si>
  <si>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КЛ-10 кВ для технологического присоединения. Новое строительство (протяженность -  2,819 км)</t>
  </si>
  <si>
    <t>H_17/00081</t>
  </si>
  <si>
    <t xml:space="preserve">Выполнение проектных работ для технологического присоединения. Новое строительство </t>
  </si>
  <si>
    <t>E_18/00032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</si>
  <si>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</si>
  <si>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</si>
  <si>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ТП с одним трансформатором 0,63 МВА. по договору Т.П. (до 670 кВт) №1017 от 18.08.2014</t>
  </si>
  <si>
    <t>E_18/00012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</si>
  <si>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</si>
  <si>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</si>
  <si>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</si>
  <si>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</si>
  <si>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</si>
  <si>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</si>
  <si>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</si>
  <si>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</si>
  <si>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</si>
  <si>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</si>
  <si>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</si>
  <si>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</si>
  <si>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</si>
  <si>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</si>
  <si>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</si>
  <si>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</si>
  <si>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>Выполнение проектных работ по договору Т.П. (от 150 до 670 кВт) №750 от 11.06.2014</t>
  </si>
  <si>
    <t>E_18/00053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</si>
  <si>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</si>
  <si>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</si>
  <si>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</si>
  <si>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</si>
  <si>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>за 1 полугодие 2019 года</t>
  </si>
  <si>
    <t>Реконструкция ВЛ-0,4кВ для технологического присоединения от ТП-728 (протяженность по трассе 0,159 км)</t>
  </si>
  <si>
    <t>Реконструкция ВЛ-0,4кВ для технологического присоединения от ТП-201А (протяженность по трассе 0,088км)</t>
  </si>
  <si>
    <t>ТП-1188, ул. Минская, 43/3</t>
  </si>
  <si>
    <t>E_19/2.1.16</t>
  </si>
  <si>
    <t>ТП-218А ул.Шишкова 65(11-432) Киоск (ИП Маслов Е.В.)</t>
  </si>
  <si>
    <t>E_19/2.1.17</t>
  </si>
  <si>
    <t>ТП-65 КЛ-1 кВ ул.Краснознаменная 90 (ООО Дизайн)</t>
  </si>
  <si>
    <t>E_19/2.1.18</t>
  </si>
  <si>
    <t>Реконструкция ВЛ-0,4кВ для технологического присоединения от ТП-19 (протяженность по трассе 0,120км)</t>
  </si>
  <si>
    <t>E_19/2.1.19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</si>
  <si>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</si>
  <si>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</si>
  <si>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</si>
  <si>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</si>
  <si>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</si>
  <si>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</si>
  <si>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</si>
  <si>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</si>
  <si>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</si>
  <si>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</si>
  <si>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</si>
  <si>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</si>
  <si>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</si>
  <si>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</si>
  <si>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</si>
  <si>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</si>
  <si>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</si>
  <si>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</si>
  <si>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</si>
  <si>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</si>
  <si>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</si>
  <si>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</si>
  <si>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</si>
  <si>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</si>
  <si>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</si>
  <si>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</si>
  <si>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</si>
  <si>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</si>
  <si>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</si>
  <si>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</si>
  <si>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</si>
  <si>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</si>
  <si>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</si>
  <si>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E_19/1.3.5.5.А</t>
  </si>
  <si>
    <t>Реконструкция высоковольтного оборудования (замена трансформатора 1х250) ТП-1721(б/у)</t>
  </si>
  <si>
    <t>E_19/1.3.5.6.А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</si>
  <si>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</si>
  <si>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</si>
  <si>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</si>
  <si>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E_19/1.1.2.12</t>
  </si>
  <si>
    <t>E_19/1.1.2.13</t>
  </si>
  <si>
    <t>E_19/1.1.2.14</t>
  </si>
  <si>
    <t>E_19/1.1.2.15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</si>
  <si>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</si>
  <si>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</si>
  <si>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</si>
  <si>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</si>
  <si>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</si>
  <si>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</si>
  <si>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</si>
  <si>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</si>
  <si>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</si>
  <si>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</si>
  <si>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</si>
  <si>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</si>
  <si>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ТП-460 - до ж/д 36 ул.Пирогова (протяженностью 0,265км)</t>
  </si>
  <si>
    <t>E_19/1.1.2.20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</si>
  <si>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</si>
  <si>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</si>
  <si>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</si>
  <si>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</si>
  <si>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</si>
  <si>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</si>
  <si>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</si>
  <si>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</si>
  <si>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</si>
  <si>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</si>
  <si>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</si>
  <si>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</si>
  <si>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</si>
  <si>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</si>
  <si>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</si>
  <si>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</si>
  <si>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</si>
  <si>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</si>
  <si>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</si>
  <si>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ТП-1882-ТП-305, ТП-1882-ТП-339, Московский пр. 38 9МБОУ гимназия им. Никитина)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</si>
  <si>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</si>
  <si>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</si>
  <si>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</si>
  <si>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</si>
  <si>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I_18/1.1.3.24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</si>
  <si>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</si>
  <si>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</si>
  <si>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</si>
  <si>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</si>
  <si>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</si>
  <si>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</si>
  <si>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</si>
  <si>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</si>
  <si>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</si>
  <si>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</si>
  <si>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Прокладка КЛ-10 кВ сеч.3х120 ТП-480 до БКТП-34Н</t>
  </si>
  <si>
    <t>ТП-19, ул. Ремесленная Гора, 13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</si>
  <si>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</si>
  <si>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</si>
  <si>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</si>
  <si>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</si>
  <si>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</si>
  <si>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</si>
  <si>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</si>
  <si>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</si>
  <si>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</si>
  <si>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E_19/2.1.20</t>
  </si>
  <si>
    <t>Вынос КЛ-0,4кВ ТП-1823 -до опоры №23 в ст.  ж/д 5 пер.Старинный (протяженностью 0,070км)</t>
  </si>
  <si>
    <t>E_19/2.1.21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</si>
  <si>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</si>
  <si>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</si>
  <si>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</si>
  <si>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E_19/2.1.23</t>
  </si>
  <si>
    <t>Вынос КЛ-6кВ ТП-1823 до М-7 в ТП-1451(протяженностью 0,0932км)</t>
  </si>
  <si>
    <t>E_19/2.1.24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</si>
  <si>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</si>
  <si>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</si>
  <si>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</si>
  <si>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</si>
  <si>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</si>
  <si>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</si>
  <si>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</si>
  <si>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</si>
  <si>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</si>
  <si>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</si>
  <si>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</si>
  <si>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</si>
  <si>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</si>
  <si>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J_19/00020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</si>
  <si>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</si>
  <si>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</si>
  <si>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</si>
  <si>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</si>
  <si>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</si>
  <si>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</si>
  <si>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</si>
  <si>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J_19/00021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</si>
  <si>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</si>
  <si>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По фактически заключенным договорам  на технологическое присоединение.</t>
  </si>
  <si>
    <t>Объект переходящий по инвестиционной программе 2016 года.</t>
  </si>
  <si>
    <t>Уточнение ПСД, увеличение стоимости работ.</t>
  </si>
  <si>
    <t>Перенос сроков приобретения оборудования  года в связи с проведением торговых процедур.</t>
  </si>
  <si>
    <t>Перенос сроков приобретения автотранспорта  в связи с проведением торговых процедур.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</si>
</sst>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0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5">
    <xf numFmtId="0" fontId="0" fillId="0" borderId="0" xfId="0"/>
    <xf numFmtId="0" fontId="9" fillId="0" borderId="0" xfId="37" applyFont="1" applyAlignment="1">
      <alignment horizontal="right"/>
    </xf>
    <xf numFmtId="0" fontId="9" fillId="0" borderId="0" xfId="37" applyFont="1"/>
    <xf numFmtId="0" fontId="9" fillId="0" borderId="0" xfId="37" applyFont="1" applyBorder="1"/>
    <xf numFmtId="0" fontId="29" fillId="0" borderId="0" xfId="54" applyFont="1" applyAlignment="1">
      <alignment vertical="center"/>
    </xf>
    <xf numFmtId="0" fontId="31" fillId="0" borderId="0" xfId="37" applyFont="1" applyAlignment="1">
      <alignment horizontal="right"/>
    </xf>
    <xf numFmtId="0" fontId="29" fillId="0" borderId="0" xfId="54" applyFont="1" applyAlignment="1">
      <alignment horizontal="center" vertical="center"/>
    </xf>
    <xf numFmtId="0" fontId="31" fillId="0" borderId="0" xfId="37" applyFont="1" applyFill="1" applyAlignment="1">
      <alignment wrapText="1"/>
    </xf>
    <xf numFmtId="0" fontId="31" fillId="0" borderId="0" xfId="37" applyFont="1" applyFill="1" applyBorder="1" applyAlignment="1">
      <alignment horizontal="center"/>
    </xf>
    <xf numFmtId="0" fontId="31" fillId="0" borderId="0" xfId="37" applyFont="1" applyFill="1" applyBorder="1" applyAlignment="1"/>
    <xf numFmtId="0" fontId="31" fillId="0" borderId="0" xfId="0" applyFont="1" applyFill="1" applyAlignment="1"/>
    <xf numFmtId="0" fontId="37" fillId="24" borderId="10" xfId="0" quotePrefix="1" applyFont="1" applyFill="1" applyBorder="1" applyAlignment="1">
      <alignment horizontal="center" vertical="top"/>
    </xf>
    <xf numFmtId="0" fontId="37" fillId="24" borderId="10" xfId="0" applyFont="1" applyFill="1" applyBorder="1" applyAlignment="1">
      <alignment vertical="center" wrapText="1"/>
    </xf>
    <xf numFmtId="1" fontId="37" fillId="24" borderId="10" xfId="0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1" fontId="37" fillId="24" borderId="10" xfId="0" applyNumberFormat="1" applyFont="1" applyFill="1" applyBorder="1" applyAlignment="1">
      <alignment vertical="center" wrapText="1"/>
    </xf>
    <xf numFmtId="1" fontId="38" fillId="24" borderId="10" xfId="37" quotePrefix="1" applyNumberFormat="1" applyFont="1" applyFill="1" applyBorder="1" applyAlignment="1">
      <alignment horizontal="center" vertical="center"/>
    </xf>
    <xf numFmtId="1" fontId="38" fillId="24" borderId="10" xfId="37" applyNumberFormat="1" applyFont="1" applyFill="1" applyBorder="1" applyAlignment="1">
      <alignment vertical="center" wrapText="1"/>
    </xf>
    <xf numFmtId="1" fontId="38" fillId="24" borderId="10" xfId="37" applyNumberFormat="1" applyFont="1" applyFill="1" applyBorder="1" applyAlignment="1">
      <alignment vertical="center"/>
    </xf>
    <xf numFmtId="0" fontId="36" fillId="24" borderId="10" xfId="0" quotePrefix="1" applyFont="1" applyFill="1" applyBorder="1" applyAlignment="1">
      <alignment horizontal="center" vertical="top"/>
    </xf>
    <xf numFmtId="0" fontId="35" fillId="24" borderId="10" xfId="0" applyFont="1" applyFill="1" applyBorder="1" applyAlignment="1">
      <alignment vertical="top" wrapText="1"/>
    </xf>
    <xf numFmtId="1" fontId="36" fillId="24" borderId="10" xfId="0" applyNumberFormat="1" applyFont="1" applyFill="1" applyBorder="1" applyAlignment="1">
      <alignment vertical="top"/>
    </xf>
    <xf numFmtId="1" fontId="35" fillId="24" borderId="10" xfId="37" quotePrefix="1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wrapText="1"/>
    </xf>
    <xf numFmtId="1" fontId="36" fillId="24" borderId="10" xfId="0" applyNumberFormat="1" applyFont="1" applyFill="1" applyBorder="1"/>
    <xf numFmtId="0" fontId="37" fillId="24" borderId="11" xfId="0" quotePrefix="1" applyFont="1" applyFill="1" applyBorder="1" applyAlignment="1">
      <alignment horizontal="center" vertical="top"/>
    </xf>
    <xf numFmtId="0" fontId="37" fillId="24" borderId="11" xfId="0" applyFont="1" applyFill="1" applyBorder="1" applyAlignment="1">
      <alignment vertical="top" wrapText="1"/>
    </xf>
    <xf numFmtId="1" fontId="37" fillId="24" borderId="11" xfId="0" applyNumberFormat="1" applyFont="1" applyFill="1" applyBorder="1" applyAlignment="1">
      <alignment vertical="center" wrapText="1"/>
    </xf>
    <xf numFmtId="0" fontId="35" fillId="24" borderId="10" xfId="0" quotePrefix="1" applyFont="1" applyFill="1" applyBorder="1" applyAlignment="1">
      <alignment horizontal="center"/>
    </xf>
    <xf numFmtId="1" fontId="35" fillId="24" borderId="10" xfId="0" applyNumberFormat="1" applyFont="1" applyFill="1" applyBorder="1"/>
    <xf numFmtId="0" fontId="36" fillId="24" borderId="10" xfId="0" quotePrefix="1" applyFont="1" applyFill="1" applyBorder="1" applyAlignment="1">
      <alignment horizontal="center"/>
    </xf>
    <xf numFmtId="0" fontId="36" fillId="24" borderId="10" xfId="0" applyFont="1" applyFill="1" applyBorder="1" applyAlignment="1">
      <alignment wrapText="1"/>
    </xf>
    <xf numFmtId="1" fontId="36" fillId="24" borderId="10" xfId="0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/>
    </xf>
    <xf numFmtId="0" fontId="36" fillId="24" borderId="10" xfId="0" applyFont="1" applyFill="1" applyBorder="1" applyAlignment="1">
      <alignment vertical="top" wrapText="1"/>
    </xf>
    <xf numFmtId="0" fontId="35" fillId="24" borderId="0" xfId="37" applyFont="1" applyFill="1"/>
    <xf numFmtId="167" fontId="38" fillId="24" borderId="10" xfId="37" applyNumberFormat="1" applyFont="1" applyFill="1" applyBorder="1" applyAlignment="1">
      <alignment horizontal="right"/>
    </xf>
    <xf numFmtId="0" fontId="35" fillId="24" borderId="10" xfId="37" applyFont="1" applyFill="1" applyBorder="1"/>
    <xf numFmtId="167" fontId="35" fillId="24" borderId="10" xfId="37" applyNumberFormat="1" applyFont="1" applyFill="1" applyBorder="1"/>
    <xf numFmtId="167" fontId="38" fillId="24" borderId="10" xfId="37" applyNumberFormat="1" applyFont="1" applyFill="1" applyBorder="1"/>
    <xf numFmtId="0" fontId="38" fillId="24" borderId="10" xfId="37" applyFont="1" applyFill="1" applyBorder="1"/>
    <xf numFmtId="0" fontId="35" fillId="24" borderId="10" xfId="37" applyFont="1" applyFill="1" applyBorder="1" applyAlignment="1">
      <alignment vertical="center" wrapText="1"/>
    </xf>
    <xf numFmtId="0" fontId="35" fillId="24" borderId="10" xfId="0" applyFont="1" applyFill="1" applyBorder="1" applyAlignment="1">
      <alignment vertical="center" wrapText="1"/>
    </xf>
    <xf numFmtId="0" fontId="35" fillId="24" borderId="0" xfId="37" applyFont="1" applyFill="1" applyBorder="1" applyAlignment="1">
      <alignment horizontal="center"/>
    </xf>
    <xf numFmtId="0" fontId="36" fillId="24" borderId="0" xfId="54" applyFont="1" applyFill="1" applyAlignment="1">
      <alignment horizontal="center" vertical="center"/>
    </xf>
    <xf numFmtId="167" fontId="35" fillId="24" borderId="0" xfId="37" applyNumberFormat="1" applyFont="1" applyFill="1"/>
    <xf numFmtId="168" fontId="35" fillId="24" borderId="10" xfId="37" applyNumberFormat="1" applyFont="1" applyFill="1" applyBorder="1"/>
    <xf numFmtId="0" fontId="35" fillId="24" borderId="10" xfId="0" applyFont="1" applyFill="1" applyBorder="1" applyAlignment="1">
      <alignment horizontal="left" vertical="top" wrapText="1"/>
    </xf>
    <xf numFmtId="0" fontId="36" fillId="24" borderId="10" xfId="0" applyFont="1" applyFill="1" applyBorder="1" applyAlignment="1">
      <alignment vertical="top"/>
    </xf>
    <xf numFmtId="0" fontId="35" fillId="24" borderId="10" xfId="0" applyFont="1" applyFill="1" applyBorder="1"/>
    <xf numFmtId="0" fontId="36" fillId="24" borderId="10" xfId="0" applyFont="1" applyFill="1" applyBorder="1"/>
    <xf numFmtId="1" fontId="9" fillId="24" borderId="10" xfId="37" quotePrefix="1" applyNumberFormat="1" applyFont="1" applyFill="1" applyBorder="1" applyAlignment="1">
      <alignment horizontal="center" vertical="center"/>
    </xf>
    <xf numFmtId="0" fontId="9" fillId="24" borderId="0" xfId="37" applyFont="1" applyFill="1"/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4" fontId="38" fillId="24" borderId="10" xfId="37" applyNumberFormat="1" applyFont="1" applyFill="1" applyBorder="1"/>
    <xf numFmtId="0" fontId="35" fillId="24" borderId="10" xfId="37" applyFont="1" applyFill="1" applyBorder="1" applyAlignment="1">
      <alignment horizontal="center" vertical="center" wrapText="1"/>
    </xf>
    <xf numFmtId="1" fontId="36" fillId="24" borderId="11" xfId="0" applyNumberFormat="1" applyFont="1" applyFill="1" applyBorder="1" applyAlignment="1">
      <alignment vertical="center" wrapText="1"/>
    </xf>
    <xf numFmtId="4" fontId="35" fillId="24" borderId="0" xfId="37" applyNumberFormat="1" applyFont="1" applyFill="1"/>
    <xf numFmtId="167" fontId="35" fillId="24" borderId="0" xfId="37" applyNumberFormat="1" applyFont="1" applyFill="1" applyBorder="1" applyAlignment="1">
      <alignment horizontal="center"/>
    </xf>
    <xf numFmtId="0" fontId="36" fillId="24" borderId="11" xfId="0" quotePrefix="1" applyFont="1" applyFill="1" applyBorder="1" applyAlignment="1">
      <alignment horizontal="center" vertical="top"/>
    </xf>
    <xf numFmtId="0" fontId="36" fillId="24" borderId="11" xfId="0" applyFont="1" applyFill="1" applyBorder="1" applyAlignment="1">
      <alignment vertical="top" wrapText="1"/>
    </xf>
    <xf numFmtId="0" fontId="35" fillId="24" borderId="10" xfId="37" applyFont="1" applyFill="1" applyBorder="1" applyAlignment="1">
      <alignment horizontal="center" vertical="center" wrapText="1"/>
    </xf>
    <xf numFmtId="2" fontId="35" fillId="24" borderId="10" xfId="37" quotePrefix="1" applyNumberFormat="1" applyFont="1" applyFill="1" applyBorder="1" applyAlignment="1">
      <alignment horizontal="center" vertical="center" wrapText="1"/>
    </xf>
    <xf numFmtId="1" fontId="9" fillId="24" borderId="10" xfId="37" applyNumberFormat="1" applyFont="1" applyFill="1" applyBorder="1" applyAlignment="1">
      <alignment vertical="center" wrapText="1"/>
    </xf>
    <xf numFmtId="2" fontId="36" fillId="24" borderId="10" xfId="0" quotePrefix="1" applyNumberFormat="1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wrapText="1"/>
    </xf>
    <xf numFmtId="4" fontId="35" fillId="24" borderId="10" xfId="37" applyNumberFormat="1" applyFont="1" applyFill="1" applyBorder="1"/>
    <xf numFmtId="0" fontId="35" fillId="24" borderId="10" xfId="37" applyFont="1" applyFill="1" applyBorder="1" applyAlignment="1">
      <alignment horizontal="center" vertical="center" wrapText="1"/>
    </xf>
    <xf numFmtId="0" fontId="31" fillId="24" borderId="0" xfId="37" applyFont="1" applyFill="1" applyBorder="1" applyAlignment="1">
      <alignment horizontal="center"/>
    </xf>
    <xf numFmtId="0" fontId="29" fillId="24" borderId="0" xfId="54" applyFont="1" applyFill="1" applyAlignment="1">
      <alignment horizontal="center" vertical="center"/>
    </xf>
    <xf numFmtId="0" fontId="9" fillId="24" borderId="10" xfId="37" applyFont="1" applyFill="1" applyBorder="1" applyAlignment="1">
      <alignment horizontal="center" vertical="center" wrapText="1"/>
    </xf>
    <xf numFmtId="0" fontId="35" fillId="24" borderId="10" xfId="37" applyFont="1" applyFill="1" applyBorder="1" applyAlignment="1">
      <alignment horizontal="center" vertical="center" wrapText="1"/>
    </xf>
    <xf numFmtId="167" fontId="35" fillId="24" borderId="15" xfId="37" applyNumberFormat="1" applyFont="1" applyFill="1" applyBorder="1" applyAlignment="1">
      <alignment horizontal="right" wrapText="1"/>
    </xf>
    <xf numFmtId="1" fontId="9" fillId="24" borderId="10" xfId="37" quotePrefix="1" applyNumberFormat="1" applyFill="1" applyBorder="1" applyAlignment="1">
      <alignment horizontal="center" vertical="center"/>
    </xf>
    <xf numFmtId="1" fontId="9" fillId="24" borderId="10" xfId="37" applyNumberFormat="1" applyFill="1" applyBorder="1" applyAlignment="1">
      <alignment vertical="center"/>
    </xf>
    <xf numFmtId="167" fontId="35" fillId="24" borderId="11" xfId="37" applyNumberFormat="1" applyFont="1" applyFill="1" applyBorder="1" applyAlignment="1">
      <alignment vertical="center" wrapText="1"/>
    </xf>
    <xf numFmtId="167" fontId="35" fillId="24" borderId="14" xfId="37" applyNumberFormat="1" applyFont="1" applyFill="1" applyBorder="1" applyAlignment="1">
      <alignment vertical="center" wrapText="1"/>
    </xf>
    <xf numFmtId="167" fontId="35" fillId="24" borderId="13" xfId="37" applyNumberFormat="1" applyFont="1" applyFill="1" applyBorder="1" applyAlignment="1">
      <alignment vertical="center" wrapText="1"/>
    </xf>
    <xf numFmtId="0" fontId="35" fillId="24" borderId="11" xfId="37" applyFont="1" applyFill="1" applyBorder="1" applyAlignment="1">
      <alignment horizontal="center" vertical="center" wrapText="1"/>
    </xf>
    <xf numFmtId="0" fontId="35" fillId="24" borderId="14" xfId="37" applyFont="1" applyFill="1" applyBorder="1" applyAlignment="1">
      <alignment horizontal="center" vertical="center" wrapText="1"/>
    </xf>
    <xf numFmtId="0" fontId="35" fillId="24" borderId="13" xfId="37" applyFont="1" applyFill="1" applyBorder="1" applyAlignment="1">
      <alignment horizontal="center" vertical="center" wrapText="1"/>
    </xf>
    <xf numFmtId="0" fontId="31" fillId="24" borderId="0" xfId="37" applyFont="1" applyFill="1" applyBorder="1" applyAlignment="1">
      <alignment horizontal="center"/>
    </xf>
    <xf numFmtId="0" fontId="31" fillId="24" borderId="0" xfId="37" applyFont="1" applyFill="1" applyAlignment="1">
      <alignment horizontal="center" wrapText="1"/>
    </xf>
    <xf numFmtId="0" fontId="29" fillId="24" borderId="0" xfId="54" applyFont="1" applyFill="1" applyAlignment="1">
      <alignment horizontal="center" vertical="center"/>
    </xf>
    <xf numFmtId="0" fontId="31" fillId="24" borderId="0" xfId="0" applyFont="1" applyFill="1" applyAlignment="1">
      <alignment horizontal="center"/>
    </xf>
    <xf numFmtId="0" fontId="35" fillId="24" borderId="10" xfId="37" applyFont="1" applyFill="1" applyBorder="1" applyAlignment="1">
      <alignment horizontal="center" vertical="center" wrapText="1"/>
    </xf>
    <xf numFmtId="0" fontId="31" fillId="24" borderId="16" xfId="37" applyFont="1" applyFill="1" applyBorder="1" applyAlignment="1">
      <alignment horizontal="center"/>
    </xf>
    <xf numFmtId="0" fontId="35" fillId="24" borderId="12" xfId="37" applyFont="1" applyFill="1" applyBorder="1" applyAlignment="1">
      <alignment horizontal="center" vertical="center" wrapText="1"/>
    </xf>
    <xf numFmtId="0" fontId="35" fillId="24" borderId="15" xfId="37" applyFont="1" applyFill="1" applyBorder="1" applyAlignment="1">
      <alignment horizontal="center" vertical="center" wrapText="1"/>
    </xf>
    <xf numFmtId="0" fontId="9" fillId="24" borderId="10" xfId="37" applyFont="1" applyFill="1" applyBorder="1" applyAlignment="1">
      <alignment horizontal="center" vertical="center" wrapText="1"/>
    </xf>
    <xf numFmtId="0" fontId="35" fillId="24" borderId="17" xfId="37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4" fontId="35" fillId="24" borderId="11" xfId="37" applyNumberFormat="1" applyFont="1" applyFill="1" applyBorder="1" applyAlignment="1">
      <alignment vertical="center" wrapText="1"/>
    </xf>
    <xf numFmtId="4" fontId="35" fillId="24" borderId="14" xfId="37" applyNumberFormat="1" applyFont="1" applyFill="1" applyBorder="1" applyAlignment="1">
      <alignment vertical="center" wrapText="1"/>
    </xf>
    <xf numFmtId="4" fontId="35" fillId="24" borderId="13" xfId="37" applyNumberFormat="1" applyFont="1" applyFill="1" applyBorder="1" applyAlignment="1">
      <alignment vertical="center" wrapText="1"/>
    </xf>
    <xf numFmtId="0" fontId="39" fillId="24" borderId="11" xfId="45" applyFont="1" applyFill="1" applyBorder="1" applyAlignment="1">
      <alignment horizontal="center" vertical="center" wrapText="1"/>
    </xf>
    <xf numFmtId="0" fontId="39" fillId="24" borderId="14" xfId="45" applyFont="1" applyFill="1" applyBorder="1" applyAlignment="1">
      <alignment horizontal="center" vertical="center" wrapText="1"/>
    </xf>
    <xf numFmtId="0" fontId="39" fillId="24" borderId="13" xfId="45" applyFont="1" applyFill="1" applyBorder="1" applyAlignment="1">
      <alignment horizontal="center" vertical="center" wrapText="1"/>
    </xf>
    <xf numFmtId="0" fontId="35" fillId="24" borderId="11" xfId="37" applyFont="1" applyFill="1" applyBorder="1" applyAlignment="1">
      <alignment vertical="center" wrapText="1"/>
    </xf>
    <xf numFmtId="0" fontId="35" fillId="24" borderId="14" xfId="37" applyFont="1" applyFill="1" applyBorder="1" applyAlignment="1">
      <alignment vertical="center" wrapText="1"/>
    </xf>
    <xf numFmtId="0" fontId="35" fillId="24" borderId="13" xfId="37" applyFont="1" applyFill="1" applyBorder="1" applyAlignment="1">
      <alignment vertical="center" wrapText="1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8"/>
  <sheetViews>
    <sheetView tabSelected="1" zoomScaleNormal="100" zoomScaleSheetLayoutView="80" workbookViewId="0">
      <selection activeCell="I20" sqref="I20"/>
    </sheetView>
  </sheetViews>
  <sheetFormatPr defaultRowHeight="15.75" x14ac:dyDescent="0.25"/>
  <cols>
    <col min="1" max="1" width="10.375" style="53" customWidth="1"/>
    <col min="2" max="2" width="58.75" style="36" customWidth="1"/>
    <col min="3" max="3" width="12.625" style="36" customWidth="1"/>
    <col min="4" max="4" width="15.125" style="36" customWidth="1"/>
    <col min="5" max="6" width="16.75" style="36" customWidth="1"/>
    <col min="7" max="7" width="9.625" style="36" customWidth="1"/>
    <col min="8" max="8" width="12.5" style="36" customWidth="1"/>
    <col min="9" max="9" width="9.625" style="36" customWidth="1"/>
    <col min="10" max="10" width="10.875" style="36" customWidth="1"/>
    <col min="11" max="16" width="9.625" style="36" customWidth="1"/>
    <col min="17" max="17" width="15.75" style="36" customWidth="1"/>
    <col min="18" max="18" width="12.5" style="36" customWidth="1"/>
    <col min="19" max="19" width="10.375" style="36" customWidth="1"/>
    <col min="20" max="20" width="37.75" style="36" customWidth="1"/>
    <col min="21" max="22" width="10.625" style="2" customWidth="1"/>
    <col min="23" max="23" width="12.125" style="2" customWidth="1"/>
    <col min="24" max="24" width="10.625" style="2" customWidth="1"/>
    <col min="25" max="25" width="22.75" style="2" customWidth="1"/>
    <col min="26" max="63" width="10.625" style="2" customWidth="1"/>
    <col min="64" max="64" width="12.125" style="2" customWidth="1"/>
    <col min="65" max="65" width="11.5" style="2" customWidth="1"/>
    <col min="66" max="66" width="14.125" style="2" customWidth="1"/>
    <col min="67" max="67" width="15.125" style="2" customWidth="1"/>
    <col min="68" max="68" width="13" style="2" customWidth="1"/>
    <col min="69" max="69" width="11.75" style="2" customWidth="1"/>
    <col min="70" max="70" width="17.5" style="2" customWidth="1"/>
    <col min="71" max="16384" width="9" style="2"/>
  </cols>
  <sheetData>
    <row r="1" spans="1:23" ht="18.75" customHeight="1" x14ac:dyDescent="0.25">
      <c r="T1" s="54" t="s">
        <v>42</v>
      </c>
      <c r="V1" s="1"/>
    </row>
    <row r="2" spans="1:23" ht="18.75" customHeight="1" x14ac:dyDescent="0.25">
      <c r="E2" s="46"/>
      <c r="T2" s="55" t="s">
        <v>0</v>
      </c>
      <c r="V2" s="1"/>
    </row>
    <row r="3" spans="1:23" ht="18.75" customHeight="1" x14ac:dyDescent="0.25">
      <c r="E3" s="59"/>
      <c r="T3" s="55" t="s">
        <v>44</v>
      </c>
      <c r="V3" s="1"/>
    </row>
    <row r="4" spans="1:23" s="3" customFormat="1" ht="17.25" customHeight="1" x14ac:dyDescent="0.3">
      <c r="A4" s="83" t="s">
        <v>43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9"/>
      <c r="V4" s="9"/>
    </row>
    <row r="5" spans="1:23" s="3" customFormat="1" ht="20.25" customHeight="1" x14ac:dyDescent="0.3">
      <c r="A5" s="84" t="s">
        <v>567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7"/>
      <c r="V5" s="7"/>
      <c r="W5" s="7"/>
    </row>
    <row r="6" spans="1:23" s="3" customFormat="1" ht="19.5" customHeight="1" x14ac:dyDescent="0.3">
      <c r="A6" s="70"/>
      <c r="B6" s="44"/>
      <c r="C6" s="44"/>
      <c r="D6" s="44"/>
      <c r="E6" s="60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8"/>
      <c r="V6" s="8"/>
    </row>
    <row r="7" spans="1:23" s="3" customFormat="1" ht="18.75" customHeight="1" x14ac:dyDescent="0.3">
      <c r="A7" s="84" t="s">
        <v>329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7"/>
      <c r="V7" s="7"/>
    </row>
    <row r="8" spans="1:23" ht="18.75" customHeight="1" x14ac:dyDescent="0.25">
      <c r="A8" s="85" t="s">
        <v>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4"/>
      <c r="V8" s="4"/>
    </row>
    <row r="9" spans="1:23" ht="23.25" customHeight="1" x14ac:dyDescent="0.25">
      <c r="A9" s="71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6"/>
      <c r="V9" s="6"/>
    </row>
    <row r="10" spans="1:23" ht="24" customHeight="1" x14ac:dyDescent="0.3">
      <c r="A10" s="86" t="s">
        <v>49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10"/>
      <c r="V10" s="10"/>
    </row>
    <row r="11" spans="1:23" ht="23.25" customHeight="1" x14ac:dyDescent="0.3">
      <c r="J11" s="46"/>
      <c r="R11" s="46"/>
      <c r="S11" s="46"/>
      <c r="V11" s="5"/>
    </row>
    <row r="12" spans="1:23" ht="19.5" customHeight="1" x14ac:dyDescent="0.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9"/>
      <c r="V12" s="9"/>
    </row>
    <row r="13" spans="1:23" ht="84.75" customHeight="1" x14ac:dyDescent="0.25">
      <c r="A13" s="91" t="s">
        <v>8</v>
      </c>
      <c r="B13" s="87" t="s">
        <v>6</v>
      </c>
      <c r="C13" s="87" t="s">
        <v>1</v>
      </c>
      <c r="D13" s="80" t="s">
        <v>45</v>
      </c>
      <c r="E13" s="80" t="s">
        <v>330</v>
      </c>
      <c r="F13" s="80" t="s">
        <v>332</v>
      </c>
      <c r="G13" s="89" t="s">
        <v>331</v>
      </c>
      <c r="H13" s="92"/>
      <c r="I13" s="92"/>
      <c r="J13" s="92"/>
      <c r="K13" s="92"/>
      <c r="L13" s="92"/>
      <c r="M13" s="92"/>
      <c r="N13" s="92"/>
      <c r="O13" s="92"/>
      <c r="P13" s="90"/>
      <c r="Q13" s="80" t="s">
        <v>46</v>
      </c>
      <c r="R13" s="87" t="s">
        <v>41</v>
      </c>
      <c r="S13" s="87"/>
      <c r="T13" s="87" t="s">
        <v>2</v>
      </c>
      <c r="U13" s="3"/>
      <c r="V13" s="3"/>
    </row>
    <row r="14" spans="1:23" ht="69" customHeight="1" x14ac:dyDescent="0.25">
      <c r="A14" s="91"/>
      <c r="B14" s="87"/>
      <c r="C14" s="87"/>
      <c r="D14" s="81"/>
      <c r="E14" s="81"/>
      <c r="F14" s="81"/>
      <c r="G14" s="89" t="s">
        <v>7</v>
      </c>
      <c r="H14" s="90"/>
      <c r="I14" s="89" t="s">
        <v>10</v>
      </c>
      <c r="J14" s="90"/>
      <c r="K14" s="89" t="s">
        <v>11</v>
      </c>
      <c r="L14" s="90"/>
      <c r="M14" s="89" t="s">
        <v>12</v>
      </c>
      <c r="N14" s="90"/>
      <c r="O14" s="89" t="s">
        <v>13</v>
      </c>
      <c r="P14" s="90"/>
      <c r="Q14" s="81"/>
      <c r="R14" s="87" t="s">
        <v>47</v>
      </c>
      <c r="S14" s="87" t="s">
        <v>3</v>
      </c>
      <c r="T14" s="87"/>
    </row>
    <row r="15" spans="1:23" ht="32.25" customHeight="1" x14ac:dyDescent="0.25">
      <c r="A15" s="91"/>
      <c r="B15" s="87"/>
      <c r="C15" s="87"/>
      <c r="D15" s="82"/>
      <c r="E15" s="82"/>
      <c r="F15" s="82"/>
      <c r="G15" s="69" t="s">
        <v>4</v>
      </c>
      <c r="H15" s="73" t="s">
        <v>5</v>
      </c>
      <c r="I15" s="69" t="s">
        <v>4</v>
      </c>
      <c r="J15" s="73" t="s">
        <v>5</v>
      </c>
      <c r="K15" s="69" t="s">
        <v>4</v>
      </c>
      <c r="L15" s="69" t="s">
        <v>5</v>
      </c>
      <c r="M15" s="69" t="s">
        <v>4</v>
      </c>
      <c r="N15" s="69" t="s">
        <v>5</v>
      </c>
      <c r="O15" s="69" t="s">
        <v>4</v>
      </c>
      <c r="P15" s="69" t="s">
        <v>5</v>
      </c>
      <c r="Q15" s="82"/>
      <c r="R15" s="87"/>
      <c r="S15" s="87"/>
      <c r="T15" s="87"/>
    </row>
    <row r="16" spans="1:23" x14ac:dyDescent="0.25">
      <c r="A16" s="72">
        <v>1</v>
      </c>
      <c r="B16" s="69">
        <f>A16+1</f>
        <v>2</v>
      </c>
      <c r="C16" s="69">
        <f t="shared" ref="C16:T16" si="0">B16+1</f>
        <v>3</v>
      </c>
      <c r="D16" s="69">
        <f t="shared" si="0"/>
        <v>4</v>
      </c>
      <c r="E16" s="69">
        <f>D16+1</f>
        <v>5</v>
      </c>
      <c r="F16" s="69">
        <f t="shared" si="0"/>
        <v>6</v>
      </c>
      <c r="G16" s="69">
        <f>F16+1</f>
        <v>7</v>
      </c>
      <c r="H16" s="73">
        <f t="shared" si="0"/>
        <v>8</v>
      </c>
      <c r="I16" s="69">
        <f>H16+1</f>
        <v>9</v>
      </c>
      <c r="J16" s="73">
        <f>I16+1</f>
        <v>10</v>
      </c>
      <c r="K16" s="69">
        <f>J16+1</f>
        <v>11</v>
      </c>
      <c r="L16" s="69">
        <f t="shared" si="0"/>
        <v>12</v>
      </c>
      <c r="M16" s="69">
        <f t="shared" si="0"/>
        <v>13</v>
      </c>
      <c r="N16" s="69">
        <f t="shared" si="0"/>
        <v>14</v>
      </c>
      <c r="O16" s="69">
        <f>N16+1</f>
        <v>15</v>
      </c>
      <c r="P16" s="69">
        <f t="shared" si="0"/>
        <v>16</v>
      </c>
      <c r="Q16" s="69">
        <f t="shared" si="0"/>
        <v>17</v>
      </c>
      <c r="R16" s="63">
        <f t="shared" si="0"/>
        <v>18</v>
      </c>
      <c r="S16" s="63">
        <f t="shared" si="0"/>
        <v>19</v>
      </c>
      <c r="T16" s="57">
        <f t="shared" si="0"/>
        <v>20</v>
      </c>
    </row>
    <row r="17" spans="1:20" x14ac:dyDescent="0.25">
      <c r="A17" s="11" t="s">
        <v>50</v>
      </c>
      <c r="B17" s="12" t="s">
        <v>14</v>
      </c>
      <c r="C17" s="13" t="s">
        <v>51</v>
      </c>
      <c r="D17" s="40">
        <f t="shared" ref="D17:D127" si="1">G17</f>
        <v>357.37922237134421</v>
      </c>
      <c r="E17" s="40">
        <f>E18+E19+E20+E21+E22+E23</f>
        <v>56.503586196000001</v>
      </c>
      <c r="F17" s="40">
        <f>D17-E17</f>
        <v>300.8756361753442</v>
      </c>
      <c r="G17" s="40">
        <f t="shared" ref="G17:G26" si="2">I17+K17+M17+O17</f>
        <v>357.37922237134421</v>
      </c>
      <c r="H17" s="40">
        <f>J17+L17</f>
        <v>82.111433880000007</v>
      </c>
      <c r="I17" s="40">
        <f>I18+I19+I20+I21+I22+I23</f>
        <v>18.733407767776271</v>
      </c>
      <c r="J17" s="40">
        <f>J18+J19+J20+J21+J22+J23</f>
        <v>43.817229384000001</v>
      </c>
      <c r="K17" s="40">
        <v>152.40319615218593</v>
      </c>
      <c r="L17" s="40">
        <f>L18+L19+L20+L21+L22+L23</f>
        <v>38.294204496000006</v>
      </c>
      <c r="M17" s="40">
        <v>110.31511682695201</v>
      </c>
      <c r="N17" s="41" t="s">
        <v>48</v>
      </c>
      <c r="O17" s="40">
        <v>75.927501624429993</v>
      </c>
      <c r="P17" s="41" t="s">
        <v>48</v>
      </c>
      <c r="Q17" s="40">
        <f t="shared" ref="Q17:Q80" si="3">F17-H17</f>
        <v>218.76420229534421</v>
      </c>
      <c r="R17" s="40">
        <f>(J17+L17)-(I17+K17)</f>
        <v>-89.025170039962191</v>
      </c>
      <c r="S17" s="56">
        <f>(J17+L17)/(I17+K17)*100-100</f>
        <v>-52.019946639584958</v>
      </c>
      <c r="T17" s="41" t="s">
        <v>48</v>
      </c>
    </row>
    <row r="18" spans="1:20" x14ac:dyDescent="0.25">
      <c r="A18" s="11" t="s">
        <v>52</v>
      </c>
      <c r="B18" s="12" t="s">
        <v>53</v>
      </c>
      <c r="C18" s="13" t="s">
        <v>51</v>
      </c>
      <c r="D18" s="40">
        <f t="shared" si="1"/>
        <v>117.61570819332815</v>
      </c>
      <c r="E18" s="40">
        <f>E25</f>
        <v>47.874384720000002</v>
      </c>
      <c r="F18" s="40">
        <f t="shared" ref="F18:F81" si="4">D18-E18</f>
        <v>69.741323473328151</v>
      </c>
      <c r="G18" s="40">
        <f t="shared" si="2"/>
        <v>117.61570819332815</v>
      </c>
      <c r="H18" s="40">
        <f t="shared" ref="H18:H59" si="5">J18+L18</f>
        <v>34.614088752000001</v>
      </c>
      <c r="I18" s="40">
        <f>I25</f>
        <v>8.1927327372000001</v>
      </c>
      <c r="J18" s="40">
        <f>J25</f>
        <v>11.085451164</v>
      </c>
      <c r="K18" s="40">
        <v>32.420619958152002</v>
      </c>
      <c r="L18" s="40">
        <f>L25</f>
        <v>23.528637588000002</v>
      </c>
      <c r="M18" s="40">
        <v>32.420619958152002</v>
      </c>
      <c r="N18" s="41" t="s">
        <v>48</v>
      </c>
      <c r="O18" s="40">
        <v>44.581735539824145</v>
      </c>
      <c r="P18" s="41" t="s">
        <v>48</v>
      </c>
      <c r="Q18" s="40">
        <f t="shared" si="3"/>
        <v>35.127234721328151</v>
      </c>
      <c r="R18" s="40">
        <f t="shared" ref="R18:R81" si="6">(J18+L18)-(I18+K18)</f>
        <v>-5.9992639433520054</v>
      </c>
      <c r="S18" s="56">
        <f t="shared" ref="S18:S26" si="7">(J18+L18)/(I18+K18)*100-100</f>
        <v>-14.771654013283637</v>
      </c>
      <c r="T18" s="41" t="s">
        <v>48</v>
      </c>
    </row>
    <row r="19" spans="1:20" ht="28.5" x14ac:dyDescent="0.25">
      <c r="A19" s="11" t="s">
        <v>54</v>
      </c>
      <c r="B19" s="12" t="s">
        <v>55</v>
      </c>
      <c r="C19" s="13" t="s">
        <v>51</v>
      </c>
      <c r="D19" s="40">
        <f t="shared" si="1"/>
        <v>173.60681453056273</v>
      </c>
      <c r="E19" s="40">
        <f>E149</f>
        <v>6.7060424879999996</v>
      </c>
      <c r="F19" s="40">
        <f t="shared" si="4"/>
        <v>166.90077204256272</v>
      </c>
      <c r="G19" s="40">
        <f t="shared" si="2"/>
        <v>173.60681453056273</v>
      </c>
      <c r="H19" s="40">
        <f t="shared" si="5"/>
        <v>33.737498868000003</v>
      </c>
      <c r="I19" s="40">
        <f>I149</f>
        <v>8.425155793627118</v>
      </c>
      <c r="J19" s="40">
        <f>J149</f>
        <v>21.888615204000001</v>
      </c>
      <c r="K19" s="40">
        <v>91.259208350644073</v>
      </c>
      <c r="L19" s="40">
        <f>L149</f>
        <v>11.848883664000002</v>
      </c>
      <c r="M19" s="40">
        <v>46.703335721410184</v>
      </c>
      <c r="N19" s="41" t="s">
        <v>48</v>
      </c>
      <c r="O19" s="40">
        <v>27.219114664881356</v>
      </c>
      <c r="P19" s="41" t="s">
        <v>48</v>
      </c>
      <c r="Q19" s="40">
        <f t="shared" si="3"/>
        <v>133.16327317456273</v>
      </c>
      <c r="R19" s="40">
        <f t="shared" si="6"/>
        <v>-65.946865276271183</v>
      </c>
      <c r="S19" s="56">
        <f t="shared" si="7"/>
        <v>-66.155676311309577</v>
      </c>
      <c r="T19" s="41" t="s">
        <v>48</v>
      </c>
    </row>
    <row r="20" spans="1:20" ht="42.75" x14ac:dyDescent="0.25">
      <c r="A20" s="11" t="s">
        <v>56</v>
      </c>
      <c r="B20" s="12" t="s">
        <v>57</v>
      </c>
      <c r="C20" s="13" t="s">
        <v>51</v>
      </c>
      <c r="D20" s="40">
        <f t="shared" si="1"/>
        <v>0</v>
      </c>
      <c r="E20" s="40">
        <f>E332</f>
        <v>0</v>
      </c>
      <c r="F20" s="40">
        <f t="shared" si="4"/>
        <v>0</v>
      </c>
      <c r="G20" s="40">
        <f t="shared" si="2"/>
        <v>0</v>
      </c>
      <c r="H20" s="40">
        <f t="shared" si="5"/>
        <v>0</v>
      </c>
      <c r="I20" s="40">
        <f>I332</f>
        <v>0</v>
      </c>
      <c r="J20" s="40">
        <f>J332</f>
        <v>0</v>
      </c>
      <c r="K20" s="40">
        <v>0</v>
      </c>
      <c r="L20" s="40">
        <f>L332</f>
        <v>0</v>
      </c>
      <c r="M20" s="40">
        <v>0</v>
      </c>
      <c r="N20" s="41" t="s">
        <v>48</v>
      </c>
      <c r="O20" s="40">
        <v>0</v>
      </c>
      <c r="P20" s="41" t="s">
        <v>48</v>
      </c>
      <c r="Q20" s="40">
        <f t="shared" si="3"/>
        <v>0</v>
      </c>
      <c r="R20" s="40">
        <f t="shared" si="6"/>
        <v>0</v>
      </c>
      <c r="S20" s="56">
        <v>0</v>
      </c>
      <c r="T20" s="41" t="s">
        <v>48</v>
      </c>
    </row>
    <row r="21" spans="1:20" ht="28.5" x14ac:dyDescent="0.25">
      <c r="A21" s="11" t="s">
        <v>58</v>
      </c>
      <c r="B21" s="12" t="s">
        <v>59</v>
      </c>
      <c r="C21" s="13" t="s">
        <v>51</v>
      </c>
      <c r="D21" s="40">
        <f t="shared" si="1"/>
        <v>34.15907164745331</v>
      </c>
      <c r="E21" s="40">
        <f>E335</f>
        <v>1.1462098439999999</v>
      </c>
      <c r="F21" s="40">
        <f t="shared" si="4"/>
        <v>33.012861803453312</v>
      </c>
      <c r="G21" s="40">
        <f t="shared" si="2"/>
        <v>34.15907164745331</v>
      </c>
      <c r="H21" s="40">
        <f t="shared" si="5"/>
        <v>4.1999805000000006</v>
      </c>
      <c r="I21" s="40">
        <f>I335</f>
        <v>2.1155192369491527</v>
      </c>
      <c r="J21" s="40">
        <f>J335</f>
        <v>1.1161125240000001</v>
      </c>
      <c r="K21" s="40">
        <v>5.215739843389831</v>
      </c>
      <c r="L21" s="40">
        <f>L335</f>
        <v>3.0838679760000005</v>
      </c>
      <c r="M21" s="40">
        <v>22.701161147389833</v>
      </c>
      <c r="N21" s="41" t="s">
        <v>48</v>
      </c>
      <c r="O21" s="40">
        <v>4.1266514197244906</v>
      </c>
      <c r="P21" s="41" t="s">
        <v>48</v>
      </c>
      <c r="Q21" s="40">
        <f t="shared" si="3"/>
        <v>28.81288130345331</v>
      </c>
      <c r="R21" s="40">
        <f t="shared" si="6"/>
        <v>-3.1312785803389831</v>
      </c>
      <c r="S21" s="56">
        <f t="shared" si="7"/>
        <v>-42.711334383700418</v>
      </c>
      <c r="T21" s="41" t="s">
        <v>48</v>
      </c>
    </row>
    <row r="22" spans="1:20" ht="28.5" x14ac:dyDescent="0.25">
      <c r="A22" s="11" t="s">
        <v>60</v>
      </c>
      <c r="B22" s="12" t="s">
        <v>61</v>
      </c>
      <c r="C22" s="13" t="s">
        <v>51</v>
      </c>
      <c r="D22" s="40">
        <f t="shared" si="1"/>
        <v>0</v>
      </c>
      <c r="E22" s="40">
        <f>E381</f>
        <v>0</v>
      </c>
      <c r="F22" s="40">
        <f t="shared" si="4"/>
        <v>0</v>
      </c>
      <c r="G22" s="40">
        <f t="shared" si="2"/>
        <v>0</v>
      </c>
      <c r="H22" s="40">
        <f t="shared" si="5"/>
        <v>0</v>
      </c>
      <c r="I22" s="40">
        <f t="shared" ref="I22" si="8">I336</f>
        <v>0</v>
      </c>
      <c r="J22" s="40">
        <f t="shared" ref="J22:L22" si="9">J336</f>
        <v>0</v>
      </c>
      <c r="K22" s="40">
        <v>0</v>
      </c>
      <c r="L22" s="40">
        <f t="shared" si="9"/>
        <v>0</v>
      </c>
      <c r="M22" s="40">
        <v>0</v>
      </c>
      <c r="N22" s="41" t="s">
        <v>48</v>
      </c>
      <c r="O22" s="40">
        <v>0</v>
      </c>
      <c r="P22" s="41" t="s">
        <v>48</v>
      </c>
      <c r="Q22" s="40">
        <f t="shared" si="3"/>
        <v>0</v>
      </c>
      <c r="R22" s="40">
        <f t="shared" si="6"/>
        <v>0</v>
      </c>
      <c r="S22" s="56">
        <v>0</v>
      </c>
      <c r="T22" s="41" t="s">
        <v>48</v>
      </c>
    </row>
    <row r="23" spans="1:20" x14ac:dyDescent="0.25">
      <c r="A23" s="11" t="s">
        <v>62</v>
      </c>
      <c r="B23" s="12" t="s">
        <v>63</v>
      </c>
      <c r="C23" s="13" t="s">
        <v>51</v>
      </c>
      <c r="D23" s="40">
        <f t="shared" si="1"/>
        <v>31.997627999999999</v>
      </c>
      <c r="E23" s="40">
        <f>E382</f>
        <v>0.77694914399999992</v>
      </c>
      <c r="F23" s="40">
        <f t="shared" si="4"/>
        <v>31.220678855999999</v>
      </c>
      <c r="G23" s="40">
        <f t="shared" si="2"/>
        <v>31.997627999999999</v>
      </c>
      <c r="H23" s="40">
        <f t="shared" si="5"/>
        <v>9.5598657599999992</v>
      </c>
      <c r="I23" s="40">
        <f>I382</f>
        <v>0</v>
      </c>
      <c r="J23" s="40">
        <f>J382</f>
        <v>9.727050492</v>
      </c>
      <c r="K23" s="40">
        <v>23.507628</v>
      </c>
      <c r="L23" s="40">
        <f>L382</f>
        <v>-0.16718473200000003</v>
      </c>
      <c r="M23" s="40">
        <v>8.49</v>
      </c>
      <c r="N23" s="41" t="s">
        <v>48</v>
      </c>
      <c r="O23" s="40">
        <v>0</v>
      </c>
      <c r="P23" s="41" t="s">
        <v>48</v>
      </c>
      <c r="Q23" s="40">
        <f t="shared" si="3"/>
        <v>21.660813095999998</v>
      </c>
      <c r="R23" s="40">
        <f t="shared" si="6"/>
        <v>-13.947762240000001</v>
      </c>
      <c r="S23" s="56">
        <f t="shared" si="7"/>
        <v>-59.332920531156951</v>
      </c>
      <c r="T23" s="41" t="s">
        <v>48</v>
      </c>
    </row>
    <row r="24" spans="1:20" x14ac:dyDescent="0.25">
      <c r="A24" s="11" t="s">
        <v>64</v>
      </c>
      <c r="B24" s="12" t="s">
        <v>65</v>
      </c>
      <c r="C24" s="13" t="s">
        <v>51</v>
      </c>
      <c r="D24" s="40">
        <f t="shared" si="1"/>
        <v>0</v>
      </c>
      <c r="E24" s="40">
        <v>0</v>
      </c>
      <c r="F24" s="40">
        <f t="shared" si="4"/>
        <v>0</v>
      </c>
      <c r="G24" s="40">
        <f t="shared" si="2"/>
        <v>0</v>
      </c>
      <c r="H24" s="40">
        <f t="shared" si="5"/>
        <v>0</v>
      </c>
      <c r="I24" s="37">
        <v>0</v>
      </c>
      <c r="J24" s="40">
        <v>0</v>
      </c>
      <c r="K24" s="37">
        <v>0</v>
      </c>
      <c r="L24" s="40">
        <v>0</v>
      </c>
      <c r="M24" s="37">
        <v>0</v>
      </c>
      <c r="N24" s="41" t="s">
        <v>48</v>
      </c>
      <c r="O24" s="37">
        <v>0</v>
      </c>
      <c r="P24" s="41" t="s">
        <v>48</v>
      </c>
      <c r="Q24" s="40">
        <f t="shared" si="3"/>
        <v>0</v>
      </c>
      <c r="R24" s="40">
        <f t="shared" si="6"/>
        <v>0</v>
      </c>
      <c r="S24" s="56">
        <v>0</v>
      </c>
      <c r="T24" s="41" t="s">
        <v>48</v>
      </c>
    </row>
    <row r="25" spans="1:20" ht="15.75" customHeight="1" x14ac:dyDescent="0.25">
      <c r="A25" s="11" t="s">
        <v>15</v>
      </c>
      <c r="B25" s="14" t="s">
        <v>66</v>
      </c>
      <c r="C25" s="15" t="s">
        <v>51</v>
      </c>
      <c r="D25" s="40">
        <f t="shared" si="1"/>
        <v>117.61570819332815</v>
      </c>
      <c r="E25" s="40">
        <f>E26+E93+E96+E105</f>
        <v>47.874384720000002</v>
      </c>
      <c r="F25" s="40">
        <f t="shared" si="4"/>
        <v>69.741323473328151</v>
      </c>
      <c r="G25" s="40">
        <f t="shared" si="2"/>
        <v>117.61570819332815</v>
      </c>
      <c r="H25" s="40">
        <f t="shared" si="5"/>
        <v>34.614088752000001</v>
      </c>
      <c r="I25" s="40">
        <f>I26+I93+I96+I105</f>
        <v>8.1927327372000001</v>
      </c>
      <c r="J25" s="40">
        <f>J26+J105</f>
        <v>11.085451164</v>
      </c>
      <c r="K25" s="40">
        <v>32.420619958152002</v>
      </c>
      <c r="L25" s="40">
        <f>L26+L93+L96+L105</f>
        <v>23.528637588000002</v>
      </c>
      <c r="M25" s="40">
        <v>32.420619958152002</v>
      </c>
      <c r="N25" s="41" t="s">
        <v>48</v>
      </c>
      <c r="O25" s="40">
        <v>44.581735539824145</v>
      </c>
      <c r="P25" s="41" t="s">
        <v>48</v>
      </c>
      <c r="Q25" s="40">
        <f t="shared" si="3"/>
        <v>35.127234721328151</v>
      </c>
      <c r="R25" s="40">
        <f t="shared" si="6"/>
        <v>-5.9992639433520054</v>
      </c>
      <c r="S25" s="56">
        <f t="shared" si="7"/>
        <v>-14.771654013283637</v>
      </c>
      <c r="T25" s="99" t="s">
        <v>712</v>
      </c>
    </row>
    <row r="26" spans="1:20" ht="28.5" x14ac:dyDescent="0.25">
      <c r="A26" s="11" t="s">
        <v>16</v>
      </c>
      <c r="B26" s="14" t="s">
        <v>67</v>
      </c>
      <c r="C26" s="15" t="s">
        <v>51</v>
      </c>
      <c r="D26" s="40">
        <f t="shared" si="1"/>
        <v>110.74178237134416</v>
      </c>
      <c r="E26" s="40">
        <f>E27+E43+E59</f>
        <v>47.737404900000001</v>
      </c>
      <c r="F26" s="40">
        <f t="shared" si="4"/>
        <v>63.004377471344156</v>
      </c>
      <c r="G26" s="40">
        <f t="shared" si="2"/>
        <v>110.74178237134416</v>
      </c>
      <c r="H26" s="40">
        <f t="shared" si="5"/>
        <v>33.320828448</v>
      </c>
      <c r="I26" s="40">
        <v>8.0417722596000001</v>
      </c>
      <c r="J26" s="40">
        <v>10.079964540000001</v>
      </c>
      <c r="K26" s="40">
        <v>32.420619958152002</v>
      </c>
      <c r="L26" s="40">
        <f>L27+L43+L59</f>
        <v>23.240863908000001</v>
      </c>
      <c r="M26" s="40">
        <v>32.420619958152002</v>
      </c>
      <c r="N26" s="41" t="s">
        <v>48</v>
      </c>
      <c r="O26" s="40">
        <v>37.858770195440144</v>
      </c>
      <c r="P26" s="41" t="s">
        <v>48</v>
      </c>
      <c r="Q26" s="40">
        <f t="shared" si="3"/>
        <v>29.683549023344156</v>
      </c>
      <c r="R26" s="40">
        <f t="shared" si="6"/>
        <v>-7.141563769752004</v>
      </c>
      <c r="S26" s="56">
        <f t="shared" si="7"/>
        <v>-17.649880242668388</v>
      </c>
      <c r="T26" s="100"/>
    </row>
    <row r="27" spans="1:20" ht="42.75" x14ac:dyDescent="0.25">
      <c r="A27" s="11" t="s">
        <v>17</v>
      </c>
      <c r="B27" s="14" t="s">
        <v>68</v>
      </c>
      <c r="C27" s="15" t="s">
        <v>51</v>
      </c>
      <c r="D27" s="40">
        <f t="shared" si="1"/>
        <v>0</v>
      </c>
      <c r="E27" s="40">
        <f t="shared" ref="E27:K27" si="10">SUM(E28:E40)</f>
        <v>7.0085961959999992</v>
      </c>
      <c r="F27" s="40">
        <f t="shared" si="4"/>
        <v>-7.0085961959999992</v>
      </c>
      <c r="G27" s="40">
        <f t="shared" si="10"/>
        <v>0</v>
      </c>
      <c r="H27" s="40">
        <f t="shared" si="5"/>
        <v>4.8430437120000001</v>
      </c>
      <c r="I27" s="40">
        <f t="shared" ref="I27" si="11">SUM(I28:I40)</f>
        <v>0</v>
      </c>
      <c r="J27" s="40">
        <f t="shared" si="10"/>
        <v>2.4993947999999997</v>
      </c>
      <c r="K27" s="40">
        <f t="shared" si="10"/>
        <v>0</v>
      </c>
      <c r="L27" s="40">
        <f t="shared" ref="L27" si="12">SUM(L28:L40)</f>
        <v>2.3436489119999999</v>
      </c>
      <c r="M27" s="40">
        <f>SUM(M28:M40)</f>
        <v>0</v>
      </c>
      <c r="N27" s="41" t="s">
        <v>48</v>
      </c>
      <c r="O27" s="40">
        <f>SUM(O28:O40)</f>
        <v>0</v>
      </c>
      <c r="P27" s="41" t="s">
        <v>48</v>
      </c>
      <c r="Q27" s="40">
        <f t="shared" si="3"/>
        <v>-11.851639907999999</v>
      </c>
      <c r="R27" s="40">
        <f t="shared" si="6"/>
        <v>4.8430437120000001</v>
      </c>
      <c r="S27" s="56">
        <v>0</v>
      </c>
      <c r="T27" s="100"/>
    </row>
    <row r="28" spans="1:20" ht="30" x14ac:dyDescent="0.25">
      <c r="A28" s="19" t="s">
        <v>17</v>
      </c>
      <c r="B28" s="35" t="s">
        <v>525</v>
      </c>
      <c r="C28" s="49" t="s">
        <v>526</v>
      </c>
      <c r="D28" s="39">
        <v>0</v>
      </c>
      <c r="E28" s="39">
        <f>2759.78*1.2/1000000</f>
        <v>3.3117360000000005E-3</v>
      </c>
      <c r="F28" s="39">
        <f t="shared" si="4"/>
        <v>-3.3117360000000005E-3</v>
      </c>
      <c r="G28" s="39">
        <v>0</v>
      </c>
      <c r="H28" s="39">
        <f t="shared" si="5"/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8" t="s">
        <v>48</v>
      </c>
      <c r="O28" s="39">
        <v>0</v>
      </c>
      <c r="P28" s="38" t="s">
        <v>48</v>
      </c>
      <c r="Q28" s="39">
        <f t="shared" si="3"/>
        <v>-3.3117360000000005E-3</v>
      </c>
      <c r="R28" s="39">
        <f t="shared" si="6"/>
        <v>0</v>
      </c>
      <c r="S28" s="68">
        <v>0</v>
      </c>
      <c r="T28" s="100"/>
    </row>
    <row r="29" spans="1:20" ht="30" x14ac:dyDescent="0.25">
      <c r="A29" s="19" t="s">
        <v>17</v>
      </c>
      <c r="B29" s="35" t="s">
        <v>521</v>
      </c>
      <c r="C29" s="49" t="s">
        <v>522</v>
      </c>
      <c r="D29" s="39">
        <v>0</v>
      </c>
      <c r="E29" s="39">
        <f>(46427.2+18233.57)*1.2/1000000</f>
        <v>7.7592923999999994E-2</v>
      </c>
      <c r="F29" s="39">
        <f t="shared" si="4"/>
        <v>-7.7592923999999994E-2</v>
      </c>
      <c r="G29" s="39">
        <v>0</v>
      </c>
      <c r="H29" s="39">
        <f t="shared" si="5"/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8" t="s">
        <v>48</v>
      </c>
      <c r="O29" s="39">
        <v>0</v>
      </c>
      <c r="P29" s="38" t="s">
        <v>48</v>
      </c>
      <c r="Q29" s="39">
        <f t="shared" si="3"/>
        <v>-7.7592923999999994E-2</v>
      </c>
      <c r="R29" s="39">
        <f t="shared" si="6"/>
        <v>0</v>
      </c>
      <c r="S29" s="68">
        <v>0</v>
      </c>
      <c r="T29" s="100"/>
    </row>
    <row r="30" spans="1:20" ht="30" x14ac:dyDescent="0.25">
      <c r="A30" s="19" t="s">
        <v>17</v>
      </c>
      <c r="B30" s="35" t="s">
        <v>523</v>
      </c>
      <c r="C30" s="49" t="s">
        <v>524</v>
      </c>
      <c r="D30" s="39">
        <v>0</v>
      </c>
      <c r="E30" s="39">
        <f>8822.57*1.2/1000000</f>
        <v>1.0587083999999998E-2</v>
      </c>
      <c r="F30" s="39">
        <f t="shared" si="4"/>
        <v>-1.0587083999999998E-2</v>
      </c>
      <c r="G30" s="39">
        <v>0</v>
      </c>
      <c r="H30" s="39">
        <f t="shared" si="5"/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8" t="s">
        <v>48</v>
      </c>
      <c r="O30" s="39">
        <v>0</v>
      </c>
      <c r="P30" s="38" t="s">
        <v>48</v>
      </c>
      <c r="Q30" s="39">
        <f t="shared" si="3"/>
        <v>-1.0587083999999998E-2</v>
      </c>
      <c r="R30" s="39">
        <f t="shared" si="6"/>
        <v>0</v>
      </c>
      <c r="S30" s="68">
        <v>0</v>
      </c>
      <c r="T30" s="100"/>
    </row>
    <row r="31" spans="1:20" ht="30" x14ac:dyDescent="0.25">
      <c r="A31" s="19" t="s">
        <v>17</v>
      </c>
      <c r="B31" s="31" t="s">
        <v>513</v>
      </c>
      <c r="C31" s="50" t="s">
        <v>514</v>
      </c>
      <c r="D31" s="39">
        <v>0</v>
      </c>
      <c r="E31" s="39">
        <f>11508.29*1.2/1000000</f>
        <v>1.3809948000000001E-2</v>
      </c>
      <c r="F31" s="39">
        <f t="shared" si="4"/>
        <v>-1.3809948000000001E-2</v>
      </c>
      <c r="G31" s="39">
        <v>0</v>
      </c>
      <c r="H31" s="39">
        <f t="shared" si="5"/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8" t="s">
        <v>48</v>
      </c>
      <c r="O31" s="39">
        <v>0</v>
      </c>
      <c r="P31" s="38" t="s">
        <v>48</v>
      </c>
      <c r="Q31" s="39">
        <f t="shared" si="3"/>
        <v>-1.3809948000000001E-2</v>
      </c>
      <c r="R31" s="39">
        <f t="shared" si="6"/>
        <v>0</v>
      </c>
      <c r="S31" s="68">
        <v>0</v>
      </c>
      <c r="T31" s="100"/>
    </row>
    <row r="32" spans="1:20" ht="30" x14ac:dyDescent="0.25">
      <c r="A32" s="19" t="s">
        <v>17</v>
      </c>
      <c r="B32" s="31" t="s">
        <v>517</v>
      </c>
      <c r="C32" s="50" t="s">
        <v>518</v>
      </c>
      <c r="D32" s="39">
        <v>0</v>
      </c>
      <c r="E32" s="39">
        <f>24909.32*1.2/1000000</f>
        <v>2.9891183999999998E-2</v>
      </c>
      <c r="F32" s="39">
        <f t="shared" si="4"/>
        <v>-2.9891183999999998E-2</v>
      </c>
      <c r="G32" s="39">
        <v>0</v>
      </c>
      <c r="H32" s="39">
        <f t="shared" si="5"/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8" t="s">
        <v>48</v>
      </c>
      <c r="O32" s="39">
        <v>0</v>
      </c>
      <c r="P32" s="38" t="s">
        <v>48</v>
      </c>
      <c r="Q32" s="39">
        <f t="shared" si="3"/>
        <v>-2.9891183999999998E-2</v>
      </c>
      <c r="R32" s="39">
        <f t="shared" si="6"/>
        <v>0</v>
      </c>
      <c r="S32" s="68">
        <v>0</v>
      </c>
      <c r="T32" s="100"/>
    </row>
    <row r="33" spans="1:20" ht="30" x14ac:dyDescent="0.25">
      <c r="A33" s="19" t="s">
        <v>17</v>
      </c>
      <c r="B33" s="35" t="s">
        <v>511</v>
      </c>
      <c r="C33" s="32" t="s">
        <v>512</v>
      </c>
      <c r="D33" s="39">
        <v>0</v>
      </c>
      <c r="E33" s="39">
        <f>(19088.72+29834.59)*1.2/1000000</f>
        <v>5.8707971999999997E-2</v>
      </c>
      <c r="F33" s="39">
        <f t="shared" si="4"/>
        <v>-5.8707971999999997E-2</v>
      </c>
      <c r="G33" s="39">
        <v>0</v>
      </c>
      <c r="H33" s="39">
        <f t="shared" si="5"/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8" t="s">
        <v>48</v>
      </c>
      <c r="O33" s="39">
        <v>0</v>
      </c>
      <c r="P33" s="38" t="s">
        <v>48</v>
      </c>
      <c r="Q33" s="39">
        <f t="shared" si="3"/>
        <v>-5.8707971999999997E-2</v>
      </c>
      <c r="R33" s="39">
        <f t="shared" si="6"/>
        <v>0</v>
      </c>
      <c r="S33" s="68">
        <v>0</v>
      </c>
      <c r="T33" s="100"/>
    </row>
    <row r="34" spans="1:20" ht="30" x14ac:dyDescent="0.25">
      <c r="A34" s="19" t="s">
        <v>17</v>
      </c>
      <c r="B34" s="35" t="s">
        <v>515</v>
      </c>
      <c r="C34" s="32" t="s">
        <v>516</v>
      </c>
      <c r="D34" s="39">
        <v>0</v>
      </c>
      <c r="E34" s="39">
        <f>(43458.94+17769.58+27367.1+38142.67+109577.98+38439.55+109742+48316.26+49021.14+38755.62+29933+18891.07+14874+15921)*1.2/1000000</f>
        <v>0.72025189199999995</v>
      </c>
      <c r="F34" s="39">
        <f t="shared" si="4"/>
        <v>-0.72025189199999995</v>
      </c>
      <c r="G34" s="39">
        <v>0</v>
      </c>
      <c r="H34" s="39">
        <f t="shared" si="5"/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8" t="s">
        <v>48</v>
      </c>
      <c r="O34" s="39">
        <v>0</v>
      </c>
      <c r="P34" s="38" t="s">
        <v>48</v>
      </c>
      <c r="Q34" s="39">
        <f t="shared" si="3"/>
        <v>-0.72025189199999995</v>
      </c>
      <c r="R34" s="39">
        <f t="shared" si="6"/>
        <v>0</v>
      </c>
      <c r="S34" s="68">
        <v>0</v>
      </c>
      <c r="T34" s="100"/>
    </row>
    <row r="35" spans="1:20" ht="30" x14ac:dyDescent="0.25">
      <c r="A35" s="19" t="s">
        <v>17</v>
      </c>
      <c r="B35" s="35" t="s">
        <v>519</v>
      </c>
      <c r="C35" s="32" t="s">
        <v>520</v>
      </c>
      <c r="D35" s="39">
        <v>0</v>
      </c>
      <c r="E35" s="39">
        <f>5078702.88*1.2/1000000</f>
        <v>6.0944434559999996</v>
      </c>
      <c r="F35" s="39">
        <f t="shared" si="4"/>
        <v>-6.0944434559999996</v>
      </c>
      <c r="G35" s="39">
        <v>0</v>
      </c>
      <c r="H35" s="39">
        <f t="shared" si="5"/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8" t="s">
        <v>48</v>
      </c>
      <c r="O35" s="39">
        <v>0</v>
      </c>
      <c r="P35" s="38" t="s">
        <v>48</v>
      </c>
      <c r="Q35" s="39">
        <f t="shared" si="3"/>
        <v>-6.0944434559999996</v>
      </c>
      <c r="R35" s="39">
        <f t="shared" si="6"/>
        <v>0</v>
      </c>
      <c r="S35" s="68">
        <v>0</v>
      </c>
      <c r="T35" s="100"/>
    </row>
    <row r="36" spans="1:20" ht="30" x14ac:dyDescent="0.25">
      <c r="A36" s="19" t="s">
        <v>17</v>
      </c>
      <c r="B36" s="35" t="s">
        <v>470</v>
      </c>
      <c r="C36" s="32" t="s">
        <v>441</v>
      </c>
      <c r="D36" s="39">
        <f t="shared" si="1"/>
        <v>0</v>
      </c>
      <c r="E36" s="39">
        <v>0</v>
      </c>
      <c r="F36" s="39">
        <f t="shared" si="4"/>
        <v>0</v>
      </c>
      <c r="G36" s="39">
        <f>I36+K36+M36+O36</f>
        <v>0</v>
      </c>
      <c r="H36" s="39">
        <f t="shared" si="5"/>
        <v>4.3720808399999997</v>
      </c>
      <c r="I36" s="39">
        <v>0</v>
      </c>
      <c r="J36" s="39">
        <v>2.1897477239999996</v>
      </c>
      <c r="K36" s="39">
        <v>0</v>
      </c>
      <c r="L36" s="39">
        <v>2.1823331160000001</v>
      </c>
      <c r="M36" s="39">
        <v>0</v>
      </c>
      <c r="N36" s="38" t="s">
        <v>48</v>
      </c>
      <c r="O36" s="39">
        <v>0</v>
      </c>
      <c r="P36" s="38" t="s">
        <v>48</v>
      </c>
      <c r="Q36" s="39">
        <f t="shared" si="3"/>
        <v>-4.3720808399999997</v>
      </c>
      <c r="R36" s="39">
        <f t="shared" si="6"/>
        <v>4.3720808399999997</v>
      </c>
      <c r="S36" s="68">
        <v>0</v>
      </c>
      <c r="T36" s="100"/>
    </row>
    <row r="37" spans="1:20" ht="30" x14ac:dyDescent="0.25">
      <c r="A37" s="19" t="s">
        <v>17</v>
      </c>
      <c r="B37" s="35" t="s">
        <v>471</v>
      </c>
      <c r="C37" s="32" t="s">
        <v>442</v>
      </c>
      <c r="D37" s="39">
        <f t="shared" si="1"/>
        <v>0</v>
      </c>
      <c r="E37" s="39">
        <v>0</v>
      </c>
      <c r="F37" s="39">
        <f t="shared" si="4"/>
        <v>0</v>
      </c>
      <c r="G37" s="39">
        <f>I37+K37+M37+O37</f>
        <v>0</v>
      </c>
      <c r="H37" s="39">
        <f t="shared" si="5"/>
        <v>0.29567818800000001</v>
      </c>
      <c r="I37" s="39">
        <v>0</v>
      </c>
      <c r="J37" s="39">
        <v>0.134362392</v>
      </c>
      <c r="K37" s="39">
        <v>0</v>
      </c>
      <c r="L37" s="39">
        <v>0.16131579600000001</v>
      </c>
      <c r="M37" s="39">
        <v>0</v>
      </c>
      <c r="N37" s="38" t="s">
        <v>48</v>
      </c>
      <c r="O37" s="39">
        <v>0</v>
      </c>
      <c r="P37" s="38" t="s">
        <v>48</v>
      </c>
      <c r="Q37" s="39">
        <f t="shared" si="3"/>
        <v>-0.29567818800000001</v>
      </c>
      <c r="R37" s="39">
        <f t="shared" si="6"/>
        <v>0.29567818800000001</v>
      </c>
      <c r="S37" s="68">
        <v>0</v>
      </c>
      <c r="T37" s="100"/>
    </row>
    <row r="38" spans="1:20" ht="30" x14ac:dyDescent="0.25">
      <c r="A38" s="19" t="s">
        <v>17</v>
      </c>
      <c r="B38" s="35" t="s">
        <v>472</v>
      </c>
      <c r="C38" s="32" t="s">
        <v>443</v>
      </c>
      <c r="D38" s="39">
        <f t="shared" si="1"/>
        <v>0</v>
      </c>
      <c r="E38" s="39">
        <v>0</v>
      </c>
      <c r="F38" s="39">
        <f t="shared" si="4"/>
        <v>0</v>
      </c>
      <c r="G38" s="39">
        <f>I38+K38+M38+O38</f>
        <v>0</v>
      </c>
      <c r="H38" s="39">
        <f t="shared" si="5"/>
        <v>0.175284684</v>
      </c>
      <c r="I38" s="39">
        <v>0</v>
      </c>
      <c r="J38" s="39">
        <v>0.175284684</v>
      </c>
      <c r="K38" s="39">
        <v>0</v>
      </c>
      <c r="L38" s="39">
        <v>0</v>
      </c>
      <c r="M38" s="39">
        <v>0</v>
      </c>
      <c r="N38" s="38" t="s">
        <v>48</v>
      </c>
      <c r="O38" s="39">
        <v>0</v>
      </c>
      <c r="P38" s="38" t="s">
        <v>48</v>
      </c>
      <c r="Q38" s="39">
        <f t="shared" si="3"/>
        <v>-0.175284684</v>
      </c>
      <c r="R38" s="39">
        <f t="shared" si="6"/>
        <v>0.175284684</v>
      </c>
      <c r="S38" s="68">
        <v>0</v>
      </c>
      <c r="T38" s="100"/>
    </row>
    <row r="39" spans="1:20" ht="30" x14ac:dyDescent="0.25">
      <c r="A39" s="19" t="s">
        <v>17</v>
      </c>
      <c r="B39" s="35" t="s">
        <v>473</v>
      </c>
      <c r="C39" s="32" t="s">
        <v>444</v>
      </c>
      <c r="D39" s="39">
        <f t="shared" si="1"/>
        <v>0</v>
      </c>
      <c r="E39" s="39">
        <v>0</v>
      </c>
      <c r="F39" s="39">
        <f t="shared" si="4"/>
        <v>0</v>
      </c>
      <c r="G39" s="39">
        <f>I39+K39+M39+O39</f>
        <v>0</v>
      </c>
      <c r="H39" s="39">
        <f t="shared" si="5"/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8" t="s">
        <v>48</v>
      </c>
      <c r="O39" s="39">
        <v>0</v>
      </c>
      <c r="P39" s="38" t="s">
        <v>48</v>
      </c>
      <c r="Q39" s="39">
        <f t="shared" si="3"/>
        <v>0</v>
      </c>
      <c r="R39" s="39">
        <f t="shared" si="6"/>
        <v>0</v>
      </c>
      <c r="S39" s="68">
        <v>0</v>
      </c>
      <c r="T39" s="100"/>
    </row>
    <row r="40" spans="1:20" x14ac:dyDescent="0.25">
      <c r="A40" s="19" t="s">
        <v>17</v>
      </c>
      <c r="B40" s="35" t="s">
        <v>445</v>
      </c>
      <c r="C40" s="32" t="s">
        <v>446</v>
      </c>
      <c r="D40" s="39">
        <f t="shared" si="1"/>
        <v>0</v>
      </c>
      <c r="E40" s="39">
        <v>0</v>
      </c>
      <c r="F40" s="39">
        <f t="shared" si="4"/>
        <v>0</v>
      </c>
      <c r="G40" s="39">
        <v>0</v>
      </c>
      <c r="H40" s="39">
        <f t="shared" si="5"/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8" t="s">
        <v>48</v>
      </c>
      <c r="O40" s="39">
        <v>0</v>
      </c>
      <c r="P40" s="38" t="s">
        <v>48</v>
      </c>
      <c r="Q40" s="39">
        <f t="shared" si="3"/>
        <v>0</v>
      </c>
      <c r="R40" s="39">
        <f t="shared" si="6"/>
        <v>0</v>
      </c>
      <c r="S40" s="68">
        <v>0</v>
      </c>
      <c r="T40" s="100"/>
    </row>
    <row r="41" spans="1:20" ht="42.75" x14ac:dyDescent="0.25">
      <c r="A41" s="16" t="s">
        <v>17</v>
      </c>
      <c r="B41" s="17" t="s">
        <v>69</v>
      </c>
      <c r="C41" s="18" t="s">
        <v>51</v>
      </c>
      <c r="D41" s="40">
        <f t="shared" si="1"/>
        <v>0</v>
      </c>
      <c r="E41" s="40">
        <v>0</v>
      </c>
      <c r="F41" s="40">
        <f t="shared" si="4"/>
        <v>0</v>
      </c>
      <c r="G41" s="40">
        <f>I41+K41+M41+O41</f>
        <v>0</v>
      </c>
      <c r="H41" s="40">
        <f t="shared" si="5"/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1" t="s">
        <v>48</v>
      </c>
      <c r="O41" s="40">
        <v>0</v>
      </c>
      <c r="P41" s="41" t="s">
        <v>48</v>
      </c>
      <c r="Q41" s="40">
        <f t="shared" si="3"/>
        <v>0</v>
      </c>
      <c r="R41" s="40">
        <f t="shared" si="6"/>
        <v>0</v>
      </c>
      <c r="S41" s="56">
        <v>0</v>
      </c>
      <c r="T41" s="100"/>
    </row>
    <row r="42" spans="1:20" ht="42.75" x14ac:dyDescent="0.25">
      <c r="A42" s="16" t="s">
        <v>17</v>
      </c>
      <c r="B42" s="17" t="s">
        <v>70</v>
      </c>
      <c r="C42" s="18" t="s">
        <v>51</v>
      </c>
      <c r="D42" s="40">
        <f t="shared" si="1"/>
        <v>0</v>
      </c>
      <c r="E42" s="40">
        <v>0</v>
      </c>
      <c r="F42" s="40">
        <f t="shared" si="4"/>
        <v>0</v>
      </c>
      <c r="G42" s="40">
        <f>I42+K42+M42+O42</f>
        <v>0</v>
      </c>
      <c r="H42" s="40">
        <f t="shared" si="5"/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1" t="s">
        <v>48</v>
      </c>
      <c r="O42" s="40">
        <v>0</v>
      </c>
      <c r="P42" s="41" t="s">
        <v>48</v>
      </c>
      <c r="Q42" s="40">
        <f t="shared" si="3"/>
        <v>0</v>
      </c>
      <c r="R42" s="40">
        <f t="shared" si="6"/>
        <v>0</v>
      </c>
      <c r="S42" s="56">
        <v>0</v>
      </c>
      <c r="T42" s="100"/>
    </row>
    <row r="43" spans="1:20" ht="42.75" x14ac:dyDescent="0.25">
      <c r="A43" s="11" t="s">
        <v>18</v>
      </c>
      <c r="B43" s="14" t="s">
        <v>71</v>
      </c>
      <c r="C43" s="15" t="s">
        <v>51</v>
      </c>
      <c r="D43" s="40">
        <f t="shared" si="1"/>
        <v>0</v>
      </c>
      <c r="E43" s="40">
        <f t="shared" ref="E43:K43" si="13">SUM(E44:E56)</f>
        <v>5.7439582080000005</v>
      </c>
      <c r="F43" s="40">
        <f t="shared" si="4"/>
        <v>-5.7439582080000005</v>
      </c>
      <c r="G43" s="40">
        <f t="shared" si="13"/>
        <v>0</v>
      </c>
      <c r="H43" s="40">
        <f t="shared" si="5"/>
        <v>13.692103824</v>
      </c>
      <c r="I43" s="40">
        <f t="shared" ref="I43" si="14">SUM(I44:I56)</f>
        <v>0</v>
      </c>
      <c r="J43" s="40">
        <f t="shared" si="13"/>
        <v>5.8191848879999997</v>
      </c>
      <c r="K43" s="40">
        <f t="shared" si="13"/>
        <v>0</v>
      </c>
      <c r="L43" s="40">
        <f t="shared" ref="L43" si="15">SUM(L44:L56)</f>
        <v>7.8729189359999996</v>
      </c>
      <c r="M43" s="40">
        <f>SUM(M44:M56)</f>
        <v>0</v>
      </c>
      <c r="N43" s="41" t="s">
        <v>48</v>
      </c>
      <c r="O43" s="40">
        <f>SUM(O44:O56)</f>
        <v>0</v>
      </c>
      <c r="P43" s="41" t="s">
        <v>48</v>
      </c>
      <c r="Q43" s="40">
        <f t="shared" si="3"/>
        <v>-19.436062032000002</v>
      </c>
      <c r="R43" s="40">
        <f t="shared" si="6"/>
        <v>13.692103824</v>
      </c>
      <c r="S43" s="56">
        <v>0</v>
      </c>
      <c r="T43" s="100"/>
    </row>
    <row r="44" spans="1:20" ht="30" x14ac:dyDescent="0.25">
      <c r="A44" s="19" t="s">
        <v>18</v>
      </c>
      <c r="B44" s="35" t="s">
        <v>531</v>
      </c>
      <c r="C44" s="49" t="s">
        <v>532</v>
      </c>
      <c r="D44" s="39">
        <v>0</v>
      </c>
      <c r="E44" s="39">
        <f>7715*1.2/1000000</f>
        <v>9.2580000000000006E-3</v>
      </c>
      <c r="F44" s="39">
        <f t="shared" si="4"/>
        <v>-9.2580000000000006E-3</v>
      </c>
      <c r="G44" s="39">
        <v>0</v>
      </c>
      <c r="H44" s="39">
        <f t="shared" si="5"/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8" t="s">
        <v>48</v>
      </c>
      <c r="O44" s="39">
        <v>0</v>
      </c>
      <c r="P44" s="38" t="s">
        <v>48</v>
      </c>
      <c r="Q44" s="39">
        <f t="shared" si="3"/>
        <v>-9.2580000000000006E-3</v>
      </c>
      <c r="R44" s="39">
        <f t="shared" si="6"/>
        <v>0</v>
      </c>
      <c r="S44" s="68">
        <v>0</v>
      </c>
      <c r="T44" s="100"/>
    </row>
    <row r="45" spans="1:20" ht="30" x14ac:dyDescent="0.25">
      <c r="A45" s="19" t="s">
        <v>18</v>
      </c>
      <c r="B45" s="35" t="s">
        <v>533</v>
      </c>
      <c r="C45" s="49" t="s">
        <v>534</v>
      </c>
      <c r="D45" s="39">
        <v>0</v>
      </c>
      <c r="E45" s="39">
        <f>50949.09*1.2/1000000</f>
        <v>6.1138907999999999E-2</v>
      </c>
      <c r="F45" s="39">
        <f t="shared" si="4"/>
        <v>-6.1138907999999999E-2</v>
      </c>
      <c r="G45" s="39">
        <v>0</v>
      </c>
      <c r="H45" s="39">
        <f t="shared" si="5"/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8" t="s">
        <v>48</v>
      </c>
      <c r="O45" s="39">
        <v>0</v>
      </c>
      <c r="P45" s="38" t="s">
        <v>48</v>
      </c>
      <c r="Q45" s="39">
        <f t="shared" si="3"/>
        <v>-6.1138907999999999E-2</v>
      </c>
      <c r="R45" s="39">
        <f t="shared" si="6"/>
        <v>0</v>
      </c>
      <c r="S45" s="68">
        <v>0</v>
      </c>
      <c r="T45" s="100"/>
    </row>
    <row r="46" spans="1:20" ht="30" x14ac:dyDescent="0.25">
      <c r="A46" s="28" t="s">
        <v>18</v>
      </c>
      <c r="B46" s="31" t="s">
        <v>527</v>
      </c>
      <c r="C46" s="50" t="s">
        <v>528</v>
      </c>
      <c r="D46" s="39">
        <v>0</v>
      </c>
      <c r="E46" s="39">
        <f>(59375.34+63604.02+48121.08+30058.3+78113.76+226278.38+48834.89+43258.23+92)*1.2/1000000</f>
        <v>0.7172831999999999</v>
      </c>
      <c r="F46" s="39">
        <f t="shared" si="4"/>
        <v>-0.7172831999999999</v>
      </c>
      <c r="G46" s="39">
        <v>0</v>
      </c>
      <c r="H46" s="39">
        <f t="shared" si="5"/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8" t="s">
        <v>48</v>
      </c>
      <c r="O46" s="39">
        <v>0</v>
      </c>
      <c r="P46" s="38" t="s">
        <v>48</v>
      </c>
      <c r="Q46" s="39">
        <f t="shared" si="3"/>
        <v>-0.7172831999999999</v>
      </c>
      <c r="R46" s="39">
        <f t="shared" si="6"/>
        <v>0</v>
      </c>
      <c r="S46" s="68">
        <v>0</v>
      </c>
      <c r="T46" s="100"/>
    </row>
    <row r="47" spans="1:20" ht="30" x14ac:dyDescent="0.25">
      <c r="A47" s="28" t="s">
        <v>18</v>
      </c>
      <c r="B47" s="31" t="s">
        <v>537</v>
      </c>
      <c r="C47" s="50" t="s">
        <v>538</v>
      </c>
      <c r="D47" s="39">
        <v>0</v>
      </c>
      <c r="E47" s="39">
        <f>(50278.56+54476.29+32864.11)*1.2/1000000</f>
        <v>0.165142752</v>
      </c>
      <c r="F47" s="39">
        <f t="shared" si="4"/>
        <v>-0.165142752</v>
      </c>
      <c r="G47" s="39">
        <v>0</v>
      </c>
      <c r="H47" s="39">
        <f t="shared" si="5"/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8" t="s">
        <v>48</v>
      </c>
      <c r="O47" s="39">
        <v>0</v>
      </c>
      <c r="P47" s="38" t="s">
        <v>48</v>
      </c>
      <c r="Q47" s="39">
        <f t="shared" si="3"/>
        <v>-0.165142752</v>
      </c>
      <c r="R47" s="39">
        <f t="shared" si="6"/>
        <v>0</v>
      </c>
      <c r="S47" s="68">
        <v>0</v>
      </c>
      <c r="T47" s="100"/>
    </row>
    <row r="48" spans="1:20" ht="30" x14ac:dyDescent="0.25">
      <c r="A48" s="28" t="s">
        <v>18</v>
      </c>
      <c r="B48" s="31" t="s">
        <v>535</v>
      </c>
      <c r="C48" s="50" t="s">
        <v>536</v>
      </c>
      <c r="D48" s="39">
        <v>0</v>
      </c>
      <c r="E48" s="39">
        <f>(22839.33+40645.46+44939.54+98966.1+48469.75+50213.24)*1.2/1000000</f>
        <v>0.367288104</v>
      </c>
      <c r="F48" s="39">
        <f t="shared" si="4"/>
        <v>-0.367288104</v>
      </c>
      <c r="G48" s="39">
        <v>0</v>
      </c>
      <c r="H48" s="39">
        <f t="shared" si="5"/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8" t="s">
        <v>48</v>
      </c>
      <c r="O48" s="39">
        <v>0</v>
      </c>
      <c r="P48" s="38" t="s">
        <v>48</v>
      </c>
      <c r="Q48" s="39">
        <f t="shared" si="3"/>
        <v>-0.367288104</v>
      </c>
      <c r="R48" s="39">
        <f t="shared" si="6"/>
        <v>0</v>
      </c>
      <c r="S48" s="68">
        <v>0</v>
      </c>
      <c r="T48" s="100"/>
    </row>
    <row r="49" spans="1:20" ht="30" x14ac:dyDescent="0.25">
      <c r="A49" s="28" t="s">
        <v>18</v>
      </c>
      <c r="B49" s="31" t="s">
        <v>511</v>
      </c>
      <c r="C49" s="50" t="s">
        <v>512</v>
      </c>
      <c r="D49" s="39">
        <v>0</v>
      </c>
      <c r="E49" s="39">
        <f>(34398.93+3597.36+37057.47+13371.36+30046.44+1700+40393.89+50562.62+47967.03+52433.99+197825.5+38418.6+46700.61+74755.25+19946+18082+48158.64+43668.43+17971+47605.43+33647.77+52880.72+17930+51483.87+69049.64+41047.6+28714.44+15836+17136+46448.8+42252.79+51425.57+17691.08+18153+278786.27+41703.59+36781.78+47965.63+53765.11+49130.03+31283.31)*1.2/1000000</f>
        <v>2.2893282600000009</v>
      </c>
      <c r="F49" s="39">
        <f t="shared" si="4"/>
        <v>-2.2893282600000009</v>
      </c>
      <c r="G49" s="39">
        <v>0</v>
      </c>
      <c r="H49" s="39">
        <f t="shared" si="5"/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8" t="s">
        <v>48</v>
      </c>
      <c r="O49" s="39">
        <v>0</v>
      </c>
      <c r="P49" s="38" t="s">
        <v>48</v>
      </c>
      <c r="Q49" s="39">
        <f t="shared" si="3"/>
        <v>-2.2893282600000009</v>
      </c>
      <c r="R49" s="39">
        <f t="shared" si="6"/>
        <v>0</v>
      </c>
      <c r="S49" s="68">
        <v>0</v>
      </c>
      <c r="T49" s="100"/>
    </row>
    <row r="50" spans="1:20" ht="30" x14ac:dyDescent="0.25">
      <c r="A50" s="28" t="s">
        <v>18</v>
      </c>
      <c r="B50" s="31" t="s">
        <v>529</v>
      </c>
      <c r="C50" s="50" t="s">
        <v>530</v>
      </c>
      <c r="D50" s="39">
        <v>0</v>
      </c>
      <c r="E50" s="39">
        <f>(30110.57+47184.57+22941.38+55189.49+18083+18153+18020+900+54092.65+22994+30110.57+26643.82+30110.57+44941.17+750782.07+383028.2+45904.57+48899.66+41240.38+49812.63)*1.2/1000000</f>
        <v>2.0869707599999994</v>
      </c>
      <c r="F50" s="39">
        <f t="shared" si="4"/>
        <v>-2.0869707599999994</v>
      </c>
      <c r="G50" s="39">
        <v>0</v>
      </c>
      <c r="H50" s="39">
        <f t="shared" si="5"/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8" t="s">
        <v>48</v>
      </c>
      <c r="O50" s="39">
        <v>0</v>
      </c>
      <c r="P50" s="38" t="s">
        <v>48</v>
      </c>
      <c r="Q50" s="39">
        <f t="shared" si="3"/>
        <v>-2.0869707599999994</v>
      </c>
      <c r="R50" s="39">
        <f t="shared" si="6"/>
        <v>0</v>
      </c>
      <c r="S50" s="68">
        <v>0</v>
      </c>
      <c r="T50" s="100"/>
    </row>
    <row r="51" spans="1:20" ht="30" x14ac:dyDescent="0.25">
      <c r="A51" s="28" t="s">
        <v>18</v>
      </c>
      <c r="B51" s="31" t="s">
        <v>539</v>
      </c>
      <c r="C51" s="50" t="s">
        <v>540</v>
      </c>
      <c r="D51" s="39">
        <v>0</v>
      </c>
      <c r="E51" s="39">
        <f>39623.52*1.2/1000000</f>
        <v>4.7548223999999993E-2</v>
      </c>
      <c r="F51" s="39">
        <f t="shared" si="4"/>
        <v>-4.7548223999999993E-2</v>
      </c>
      <c r="G51" s="39">
        <v>0</v>
      </c>
      <c r="H51" s="39">
        <f t="shared" si="5"/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8" t="s">
        <v>48</v>
      </c>
      <c r="O51" s="39">
        <v>0</v>
      </c>
      <c r="P51" s="38" t="s">
        <v>48</v>
      </c>
      <c r="Q51" s="39">
        <f t="shared" si="3"/>
        <v>-4.7548223999999993E-2</v>
      </c>
      <c r="R51" s="39">
        <f t="shared" si="6"/>
        <v>0</v>
      </c>
      <c r="S51" s="68">
        <v>0</v>
      </c>
      <c r="T51" s="100"/>
    </row>
    <row r="52" spans="1:20" ht="30" x14ac:dyDescent="0.25">
      <c r="A52" s="19" t="s">
        <v>18</v>
      </c>
      <c r="B52" s="31" t="s">
        <v>447</v>
      </c>
      <c r="C52" s="32" t="s">
        <v>448</v>
      </c>
      <c r="D52" s="39">
        <f t="shared" si="1"/>
        <v>0</v>
      </c>
      <c r="E52" s="39">
        <v>0</v>
      </c>
      <c r="F52" s="39">
        <f t="shared" si="4"/>
        <v>0</v>
      </c>
      <c r="G52" s="39">
        <f t="shared" ref="G52:G58" si="16">I52+K52+M52+O52</f>
        <v>0</v>
      </c>
      <c r="H52" s="39">
        <f t="shared" si="5"/>
        <v>1.2332503799999999</v>
      </c>
      <c r="I52" s="39">
        <v>0</v>
      </c>
      <c r="J52" s="39">
        <v>0.33969806399999991</v>
      </c>
      <c r="K52" s="39">
        <v>0</v>
      </c>
      <c r="L52" s="39">
        <v>0.89355231599999985</v>
      </c>
      <c r="M52" s="39">
        <v>0</v>
      </c>
      <c r="N52" s="38" t="s">
        <v>48</v>
      </c>
      <c r="O52" s="39">
        <v>0</v>
      </c>
      <c r="P52" s="38" t="s">
        <v>48</v>
      </c>
      <c r="Q52" s="39">
        <f t="shared" si="3"/>
        <v>-1.2332503799999999</v>
      </c>
      <c r="R52" s="39">
        <f t="shared" si="6"/>
        <v>1.2332503799999999</v>
      </c>
      <c r="S52" s="68">
        <v>0</v>
      </c>
      <c r="T52" s="100"/>
    </row>
    <row r="53" spans="1:20" ht="30" x14ac:dyDescent="0.25">
      <c r="A53" s="19" t="s">
        <v>18</v>
      </c>
      <c r="B53" s="31" t="s">
        <v>449</v>
      </c>
      <c r="C53" s="32" t="s">
        <v>450</v>
      </c>
      <c r="D53" s="39">
        <f t="shared" si="1"/>
        <v>0</v>
      </c>
      <c r="E53" s="39">
        <v>0</v>
      </c>
      <c r="F53" s="39">
        <f t="shared" si="4"/>
        <v>0</v>
      </c>
      <c r="G53" s="39">
        <f t="shared" si="16"/>
        <v>0</v>
      </c>
      <c r="H53" s="39">
        <f t="shared" si="5"/>
        <v>9.7521542759999988</v>
      </c>
      <c r="I53" s="39">
        <v>0</v>
      </c>
      <c r="J53" s="39">
        <v>4.1703643799999996</v>
      </c>
      <c r="K53" s="39">
        <v>0</v>
      </c>
      <c r="L53" s="39">
        <v>5.5817898960000001</v>
      </c>
      <c r="M53" s="39">
        <v>0</v>
      </c>
      <c r="N53" s="38" t="s">
        <v>48</v>
      </c>
      <c r="O53" s="39">
        <v>0</v>
      </c>
      <c r="P53" s="38" t="s">
        <v>48</v>
      </c>
      <c r="Q53" s="39">
        <f t="shared" si="3"/>
        <v>-9.7521542759999988</v>
      </c>
      <c r="R53" s="39">
        <f t="shared" si="6"/>
        <v>9.7521542759999988</v>
      </c>
      <c r="S53" s="68">
        <v>0</v>
      </c>
      <c r="T53" s="100"/>
    </row>
    <row r="54" spans="1:20" ht="30" x14ac:dyDescent="0.25">
      <c r="A54" s="19" t="s">
        <v>18</v>
      </c>
      <c r="B54" s="31" t="s">
        <v>451</v>
      </c>
      <c r="C54" s="32" t="s">
        <v>452</v>
      </c>
      <c r="D54" s="39">
        <f t="shared" si="1"/>
        <v>0</v>
      </c>
      <c r="E54" s="39">
        <v>0</v>
      </c>
      <c r="F54" s="39">
        <f t="shared" si="4"/>
        <v>0</v>
      </c>
      <c r="G54" s="39">
        <f t="shared" si="16"/>
        <v>0</v>
      </c>
      <c r="H54" s="39">
        <f t="shared" si="5"/>
        <v>2.6385546719999997</v>
      </c>
      <c r="I54" s="39">
        <v>0</v>
      </c>
      <c r="J54" s="39">
        <v>1.249617948</v>
      </c>
      <c r="K54" s="39">
        <v>0</v>
      </c>
      <c r="L54" s="39">
        <v>1.3889367239999999</v>
      </c>
      <c r="M54" s="39">
        <v>0</v>
      </c>
      <c r="N54" s="38" t="s">
        <v>48</v>
      </c>
      <c r="O54" s="39">
        <v>0</v>
      </c>
      <c r="P54" s="38" t="s">
        <v>48</v>
      </c>
      <c r="Q54" s="39">
        <f t="shared" si="3"/>
        <v>-2.6385546719999997</v>
      </c>
      <c r="R54" s="39">
        <f t="shared" si="6"/>
        <v>2.6385546719999997</v>
      </c>
      <c r="S54" s="68">
        <v>0</v>
      </c>
      <c r="T54" s="100"/>
    </row>
    <row r="55" spans="1:20" ht="30" x14ac:dyDescent="0.25">
      <c r="A55" s="19" t="s">
        <v>18</v>
      </c>
      <c r="B55" s="31" t="s">
        <v>453</v>
      </c>
      <c r="C55" s="32" t="s">
        <v>454</v>
      </c>
      <c r="D55" s="39">
        <f t="shared" si="1"/>
        <v>0</v>
      </c>
      <c r="E55" s="39">
        <v>0</v>
      </c>
      <c r="F55" s="39">
        <f t="shared" si="4"/>
        <v>0</v>
      </c>
      <c r="G55" s="39">
        <f t="shared" si="16"/>
        <v>0</v>
      </c>
      <c r="H55" s="39">
        <f t="shared" si="5"/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8" t="s">
        <v>48</v>
      </c>
      <c r="O55" s="39">
        <v>0</v>
      </c>
      <c r="P55" s="38" t="s">
        <v>48</v>
      </c>
      <c r="Q55" s="39">
        <f t="shared" si="3"/>
        <v>0</v>
      </c>
      <c r="R55" s="39">
        <f t="shared" si="6"/>
        <v>0</v>
      </c>
      <c r="S55" s="68">
        <v>0</v>
      </c>
      <c r="T55" s="100"/>
    </row>
    <row r="56" spans="1:20" ht="18.75" customHeight="1" x14ac:dyDescent="0.25">
      <c r="A56" s="19" t="s">
        <v>18</v>
      </c>
      <c r="B56" s="31" t="s">
        <v>445</v>
      </c>
      <c r="C56" s="32" t="s">
        <v>455</v>
      </c>
      <c r="D56" s="39">
        <f t="shared" si="1"/>
        <v>0</v>
      </c>
      <c r="E56" s="39">
        <v>0</v>
      </c>
      <c r="F56" s="39">
        <f t="shared" si="4"/>
        <v>0</v>
      </c>
      <c r="G56" s="39">
        <f t="shared" si="16"/>
        <v>0</v>
      </c>
      <c r="H56" s="39">
        <f t="shared" si="5"/>
        <v>6.8144495999999999E-2</v>
      </c>
      <c r="I56" s="39">
        <v>0</v>
      </c>
      <c r="J56" s="39">
        <v>5.9504495999999997E-2</v>
      </c>
      <c r="K56" s="39">
        <v>0</v>
      </c>
      <c r="L56" s="39">
        <v>8.6400000000000001E-3</v>
      </c>
      <c r="M56" s="39">
        <v>0</v>
      </c>
      <c r="N56" s="38" t="s">
        <v>48</v>
      </c>
      <c r="O56" s="39">
        <v>0</v>
      </c>
      <c r="P56" s="38" t="s">
        <v>48</v>
      </c>
      <c r="Q56" s="39">
        <f t="shared" si="3"/>
        <v>-6.8144495999999999E-2</v>
      </c>
      <c r="R56" s="39">
        <f t="shared" si="6"/>
        <v>6.8144495999999999E-2</v>
      </c>
      <c r="S56" s="68">
        <v>0</v>
      </c>
      <c r="T56" s="100"/>
    </row>
    <row r="57" spans="1:20" ht="42.75" x14ac:dyDescent="0.25">
      <c r="A57" s="16" t="s">
        <v>18</v>
      </c>
      <c r="B57" s="17" t="s">
        <v>72</v>
      </c>
      <c r="C57" s="18" t="s">
        <v>51</v>
      </c>
      <c r="D57" s="40">
        <f t="shared" si="1"/>
        <v>0</v>
      </c>
      <c r="E57" s="40">
        <v>0</v>
      </c>
      <c r="F57" s="40">
        <f t="shared" si="4"/>
        <v>0</v>
      </c>
      <c r="G57" s="40">
        <f t="shared" si="16"/>
        <v>0</v>
      </c>
      <c r="H57" s="40">
        <f t="shared" si="5"/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1" t="s">
        <v>48</v>
      </c>
      <c r="O57" s="40">
        <v>0</v>
      </c>
      <c r="P57" s="41" t="s">
        <v>48</v>
      </c>
      <c r="Q57" s="40">
        <f t="shared" si="3"/>
        <v>0</v>
      </c>
      <c r="R57" s="40">
        <f t="shared" si="6"/>
        <v>0</v>
      </c>
      <c r="S57" s="56">
        <v>0</v>
      </c>
      <c r="T57" s="100"/>
    </row>
    <row r="58" spans="1:20" ht="42.75" x14ac:dyDescent="0.25">
      <c r="A58" s="16" t="s">
        <v>18</v>
      </c>
      <c r="B58" s="17" t="s">
        <v>73</v>
      </c>
      <c r="C58" s="18" t="s">
        <v>51</v>
      </c>
      <c r="D58" s="40">
        <f t="shared" si="1"/>
        <v>0</v>
      </c>
      <c r="E58" s="40">
        <v>0</v>
      </c>
      <c r="F58" s="40">
        <f t="shared" si="4"/>
        <v>0</v>
      </c>
      <c r="G58" s="40">
        <f t="shared" si="16"/>
        <v>0</v>
      </c>
      <c r="H58" s="40">
        <f t="shared" si="5"/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1" t="s">
        <v>48</v>
      </c>
      <c r="O58" s="40">
        <v>0</v>
      </c>
      <c r="P58" s="41" t="s">
        <v>48</v>
      </c>
      <c r="Q58" s="40">
        <f t="shared" si="3"/>
        <v>0</v>
      </c>
      <c r="R58" s="40">
        <f t="shared" si="6"/>
        <v>0</v>
      </c>
      <c r="S58" s="56">
        <v>0</v>
      </c>
      <c r="T58" s="100"/>
    </row>
    <row r="59" spans="1:20" ht="33" customHeight="1" x14ac:dyDescent="0.25">
      <c r="A59" s="11" t="s">
        <v>19</v>
      </c>
      <c r="B59" s="14" t="s">
        <v>74</v>
      </c>
      <c r="C59" s="15" t="s">
        <v>51</v>
      </c>
      <c r="D59" s="40">
        <f t="shared" si="1"/>
        <v>0</v>
      </c>
      <c r="E59" s="40">
        <f t="shared" ref="E59:K59" si="17">SUM(E60:E81)</f>
        <v>34.984850496</v>
      </c>
      <c r="F59" s="40">
        <f t="shared" si="4"/>
        <v>-34.984850496</v>
      </c>
      <c r="G59" s="40">
        <f t="shared" si="17"/>
        <v>0</v>
      </c>
      <c r="H59" s="40">
        <f t="shared" si="5"/>
        <v>14.785680912</v>
      </c>
      <c r="I59" s="40">
        <f t="shared" ref="I59" si="18">SUM(I60:I81)</f>
        <v>0</v>
      </c>
      <c r="J59" s="40">
        <f t="shared" si="17"/>
        <v>1.7613848520000002</v>
      </c>
      <c r="K59" s="40">
        <f t="shared" si="17"/>
        <v>0</v>
      </c>
      <c r="L59" s="40">
        <f>SUM(L60:L93)</f>
        <v>13.024296059999999</v>
      </c>
      <c r="M59" s="40">
        <f>SUM(M60:M81)</f>
        <v>0</v>
      </c>
      <c r="N59" s="41" t="s">
        <v>48</v>
      </c>
      <c r="O59" s="40">
        <f>SUM(O60:O81)</f>
        <v>0</v>
      </c>
      <c r="P59" s="41" t="s">
        <v>48</v>
      </c>
      <c r="Q59" s="40">
        <f t="shared" si="3"/>
        <v>-49.770531407999997</v>
      </c>
      <c r="R59" s="40">
        <f t="shared" si="6"/>
        <v>14.785680912</v>
      </c>
      <c r="S59" s="56">
        <v>0</v>
      </c>
      <c r="T59" s="100"/>
    </row>
    <row r="60" spans="1:20" ht="33" customHeight="1" x14ac:dyDescent="0.25">
      <c r="A60" s="19" t="s">
        <v>19</v>
      </c>
      <c r="B60" s="35" t="s">
        <v>541</v>
      </c>
      <c r="C60" s="32" t="s">
        <v>542</v>
      </c>
      <c r="D60" s="39">
        <v>0</v>
      </c>
      <c r="E60" s="39">
        <f>80919.1*1.2/1000000</f>
        <v>9.7102919999999995E-2</v>
      </c>
      <c r="F60" s="39">
        <f t="shared" si="4"/>
        <v>-9.7102919999999995E-2</v>
      </c>
      <c r="G60" s="39">
        <v>0</v>
      </c>
      <c r="H60" s="39">
        <f>J60+L60</f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8" t="s">
        <v>48</v>
      </c>
      <c r="O60" s="39">
        <v>0</v>
      </c>
      <c r="P60" s="38" t="s">
        <v>48</v>
      </c>
      <c r="Q60" s="39">
        <f t="shared" si="3"/>
        <v>-9.7102919999999995E-2</v>
      </c>
      <c r="R60" s="39">
        <f t="shared" si="6"/>
        <v>0</v>
      </c>
      <c r="S60" s="68">
        <v>0</v>
      </c>
      <c r="T60" s="100"/>
    </row>
    <row r="61" spans="1:20" ht="33" customHeight="1" x14ac:dyDescent="0.25">
      <c r="A61" s="19" t="s">
        <v>19</v>
      </c>
      <c r="B61" s="35" t="s">
        <v>465</v>
      </c>
      <c r="C61" s="32" t="s">
        <v>466</v>
      </c>
      <c r="D61" s="39">
        <v>0</v>
      </c>
      <c r="E61" s="39">
        <f>652422.93*1.2/1000000</f>
        <v>0.78290751600000008</v>
      </c>
      <c r="F61" s="39">
        <f t="shared" si="4"/>
        <v>-0.78290751600000008</v>
      </c>
      <c r="G61" s="39">
        <v>0</v>
      </c>
      <c r="H61" s="39">
        <f t="shared" ref="H61:H92" si="19">J61+L61</f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8" t="s">
        <v>48</v>
      </c>
      <c r="O61" s="39">
        <v>0</v>
      </c>
      <c r="P61" s="38" t="s">
        <v>48</v>
      </c>
      <c r="Q61" s="39">
        <f t="shared" si="3"/>
        <v>-0.78290751600000008</v>
      </c>
      <c r="R61" s="39">
        <f t="shared" si="6"/>
        <v>0</v>
      </c>
      <c r="S61" s="68">
        <v>0</v>
      </c>
      <c r="T61" s="100"/>
    </row>
    <row r="62" spans="1:20" ht="33" customHeight="1" x14ac:dyDescent="0.25">
      <c r="A62" s="19" t="s">
        <v>19</v>
      </c>
      <c r="B62" s="35" t="s">
        <v>467</v>
      </c>
      <c r="C62" s="32" t="s">
        <v>468</v>
      </c>
      <c r="D62" s="39">
        <v>0</v>
      </c>
      <c r="E62" s="39">
        <f>480576.75*1.2/1000000</f>
        <v>0.57669209999999993</v>
      </c>
      <c r="F62" s="39">
        <f t="shared" si="4"/>
        <v>-0.57669209999999993</v>
      </c>
      <c r="G62" s="39">
        <v>0</v>
      </c>
      <c r="H62" s="39">
        <f t="shared" si="19"/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8" t="s">
        <v>48</v>
      </c>
      <c r="O62" s="39">
        <v>0</v>
      </c>
      <c r="P62" s="38" t="s">
        <v>48</v>
      </c>
      <c r="Q62" s="39">
        <f t="shared" si="3"/>
        <v>-0.57669209999999993</v>
      </c>
      <c r="R62" s="39">
        <f t="shared" si="6"/>
        <v>0</v>
      </c>
      <c r="S62" s="68">
        <v>0</v>
      </c>
      <c r="T62" s="100"/>
    </row>
    <row r="63" spans="1:20" ht="33" customHeight="1" x14ac:dyDescent="0.25">
      <c r="A63" s="19" t="s">
        <v>19</v>
      </c>
      <c r="B63" s="35" t="s">
        <v>563</v>
      </c>
      <c r="C63" s="32" t="s">
        <v>564</v>
      </c>
      <c r="D63" s="39">
        <v>0</v>
      </c>
      <c r="E63" s="39">
        <f>365082.49*1.2/1000000</f>
        <v>0.43809898799999997</v>
      </c>
      <c r="F63" s="39">
        <f t="shared" si="4"/>
        <v>-0.43809898799999997</v>
      </c>
      <c r="G63" s="39">
        <v>0</v>
      </c>
      <c r="H63" s="39">
        <f t="shared" si="19"/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8" t="s">
        <v>48</v>
      </c>
      <c r="O63" s="39">
        <v>0</v>
      </c>
      <c r="P63" s="38" t="s">
        <v>48</v>
      </c>
      <c r="Q63" s="39">
        <f t="shared" si="3"/>
        <v>-0.43809898799999997</v>
      </c>
      <c r="R63" s="39">
        <f t="shared" si="6"/>
        <v>0</v>
      </c>
      <c r="S63" s="68">
        <v>0</v>
      </c>
      <c r="T63" s="100"/>
    </row>
    <row r="64" spans="1:20" ht="33" customHeight="1" x14ac:dyDescent="0.25">
      <c r="A64" s="19" t="s">
        <v>19</v>
      </c>
      <c r="B64" s="35" t="s">
        <v>543</v>
      </c>
      <c r="C64" s="32" t="s">
        <v>544</v>
      </c>
      <c r="D64" s="39">
        <v>0</v>
      </c>
      <c r="E64" s="39">
        <f>1005993.42*1.2/1000000</f>
        <v>1.207192104</v>
      </c>
      <c r="F64" s="39">
        <f t="shared" si="4"/>
        <v>-1.207192104</v>
      </c>
      <c r="G64" s="39">
        <v>0</v>
      </c>
      <c r="H64" s="39">
        <f t="shared" si="19"/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8" t="s">
        <v>48</v>
      </c>
      <c r="O64" s="39">
        <v>0</v>
      </c>
      <c r="P64" s="38" t="s">
        <v>48</v>
      </c>
      <c r="Q64" s="39">
        <f t="shared" si="3"/>
        <v>-1.207192104</v>
      </c>
      <c r="R64" s="39">
        <f t="shared" si="6"/>
        <v>0</v>
      </c>
      <c r="S64" s="68">
        <v>0</v>
      </c>
      <c r="T64" s="100"/>
    </row>
    <row r="65" spans="1:20" ht="33" customHeight="1" x14ac:dyDescent="0.25">
      <c r="A65" s="19" t="s">
        <v>19</v>
      </c>
      <c r="B65" s="35" t="s">
        <v>559</v>
      </c>
      <c r="C65" s="32" t="s">
        <v>560</v>
      </c>
      <c r="D65" s="39">
        <v>0</v>
      </c>
      <c r="E65" s="39">
        <f>62236.17*1.2/1000000</f>
        <v>7.4683403999999995E-2</v>
      </c>
      <c r="F65" s="39">
        <f t="shared" si="4"/>
        <v>-7.4683403999999995E-2</v>
      </c>
      <c r="G65" s="39">
        <v>0</v>
      </c>
      <c r="H65" s="39">
        <f t="shared" si="19"/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8" t="s">
        <v>48</v>
      </c>
      <c r="O65" s="39">
        <v>0</v>
      </c>
      <c r="P65" s="38" t="s">
        <v>48</v>
      </c>
      <c r="Q65" s="39">
        <f t="shared" si="3"/>
        <v>-7.4683403999999995E-2</v>
      </c>
      <c r="R65" s="39">
        <f t="shared" si="6"/>
        <v>0</v>
      </c>
      <c r="S65" s="68">
        <v>0</v>
      </c>
      <c r="T65" s="100"/>
    </row>
    <row r="66" spans="1:20" ht="33" customHeight="1" x14ac:dyDescent="0.25">
      <c r="A66" s="19" t="s">
        <v>19</v>
      </c>
      <c r="B66" s="35" t="s">
        <v>551</v>
      </c>
      <c r="C66" s="32" t="s">
        <v>552</v>
      </c>
      <c r="D66" s="39">
        <v>0</v>
      </c>
      <c r="E66" s="39">
        <f>45050.44*1.2/1000000</f>
        <v>5.4060527999999997E-2</v>
      </c>
      <c r="F66" s="39">
        <f t="shared" si="4"/>
        <v>-5.4060527999999997E-2</v>
      </c>
      <c r="G66" s="39">
        <v>0</v>
      </c>
      <c r="H66" s="39">
        <f t="shared" si="19"/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8" t="s">
        <v>48</v>
      </c>
      <c r="O66" s="39">
        <v>0</v>
      </c>
      <c r="P66" s="38" t="s">
        <v>48</v>
      </c>
      <c r="Q66" s="39">
        <f t="shared" si="3"/>
        <v>-5.4060527999999997E-2</v>
      </c>
      <c r="R66" s="39">
        <f t="shared" si="6"/>
        <v>0</v>
      </c>
      <c r="S66" s="68">
        <v>0</v>
      </c>
      <c r="T66" s="100"/>
    </row>
    <row r="67" spans="1:20" ht="33" customHeight="1" x14ac:dyDescent="0.25">
      <c r="A67" s="19" t="s">
        <v>19</v>
      </c>
      <c r="B67" s="35" t="s">
        <v>545</v>
      </c>
      <c r="C67" s="32" t="s">
        <v>546</v>
      </c>
      <c r="D67" s="39">
        <v>0</v>
      </c>
      <c r="E67" s="39">
        <f>112400.85*1.2/1000000</f>
        <v>0.13488101999999999</v>
      </c>
      <c r="F67" s="39">
        <f t="shared" si="4"/>
        <v>-0.13488101999999999</v>
      </c>
      <c r="G67" s="39">
        <v>0</v>
      </c>
      <c r="H67" s="39">
        <f t="shared" si="19"/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8" t="s">
        <v>48</v>
      </c>
      <c r="O67" s="39">
        <v>0</v>
      </c>
      <c r="P67" s="38" t="s">
        <v>48</v>
      </c>
      <c r="Q67" s="39">
        <f t="shared" si="3"/>
        <v>-0.13488101999999999</v>
      </c>
      <c r="R67" s="39">
        <f t="shared" si="6"/>
        <v>0</v>
      </c>
      <c r="S67" s="68">
        <v>0</v>
      </c>
      <c r="T67" s="100"/>
    </row>
    <row r="68" spans="1:20" ht="33" customHeight="1" x14ac:dyDescent="0.25">
      <c r="A68" s="19" t="s">
        <v>19</v>
      </c>
      <c r="B68" s="35" t="s">
        <v>565</v>
      </c>
      <c r="C68" s="32" t="s">
        <v>566</v>
      </c>
      <c r="D68" s="39">
        <v>0</v>
      </c>
      <c r="E68" s="39">
        <f>48181.54*1.2/1000000</f>
        <v>5.7817847999999998E-2</v>
      </c>
      <c r="F68" s="39">
        <f t="shared" si="4"/>
        <v>-5.7817847999999998E-2</v>
      </c>
      <c r="G68" s="39">
        <v>0</v>
      </c>
      <c r="H68" s="39">
        <f t="shared" si="19"/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8" t="s">
        <v>48</v>
      </c>
      <c r="O68" s="39">
        <v>0</v>
      </c>
      <c r="P68" s="38" t="s">
        <v>48</v>
      </c>
      <c r="Q68" s="39">
        <f t="shared" si="3"/>
        <v>-5.7817847999999998E-2</v>
      </c>
      <c r="R68" s="39">
        <f t="shared" si="6"/>
        <v>0</v>
      </c>
      <c r="S68" s="68">
        <v>0</v>
      </c>
      <c r="T68" s="100"/>
    </row>
    <row r="69" spans="1:20" ht="33" customHeight="1" x14ac:dyDescent="0.25">
      <c r="A69" s="19" t="s">
        <v>19</v>
      </c>
      <c r="B69" s="35" t="s">
        <v>553</v>
      </c>
      <c r="C69" s="32" t="s">
        <v>554</v>
      </c>
      <c r="D69" s="39">
        <v>0</v>
      </c>
      <c r="E69" s="39">
        <f>52632.41*1.2/1000000</f>
        <v>6.3158891999999994E-2</v>
      </c>
      <c r="F69" s="39">
        <f t="shared" si="4"/>
        <v>-6.3158891999999994E-2</v>
      </c>
      <c r="G69" s="39">
        <v>0</v>
      </c>
      <c r="H69" s="39">
        <f t="shared" si="19"/>
        <v>0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8" t="s">
        <v>48</v>
      </c>
      <c r="O69" s="39">
        <v>0</v>
      </c>
      <c r="P69" s="38" t="s">
        <v>48</v>
      </c>
      <c r="Q69" s="39">
        <f t="shared" si="3"/>
        <v>-6.3158891999999994E-2</v>
      </c>
      <c r="R69" s="39">
        <f t="shared" si="6"/>
        <v>0</v>
      </c>
      <c r="S69" s="68">
        <v>0</v>
      </c>
      <c r="T69" s="100"/>
    </row>
    <row r="70" spans="1:20" ht="33" customHeight="1" x14ac:dyDescent="0.25">
      <c r="A70" s="19" t="s">
        <v>19</v>
      </c>
      <c r="B70" s="35" t="s">
        <v>557</v>
      </c>
      <c r="C70" s="32" t="s">
        <v>558</v>
      </c>
      <c r="D70" s="39">
        <v>0</v>
      </c>
      <c r="E70" s="39">
        <f>36372.31*1.2/1000000</f>
        <v>4.3646772E-2</v>
      </c>
      <c r="F70" s="39">
        <f t="shared" si="4"/>
        <v>-4.3646772E-2</v>
      </c>
      <c r="G70" s="39">
        <v>0</v>
      </c>
      <c r="H70" s="39">
        <f t="shared" si="19"/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8" t="s">
        <v>48</v>
      </c>
      <c r="O70" s="39">
        <v>0</v>
      </c>
      <c r="P70" s="38" t="s">
        <v>48</v>
      </c>
      <c r="Q70" s="39">
        <f t="shared" si="3"/>
        <v>-4.3646772E-2</v>
      </c>
      <c r="R70" s="39">
        <f t="shared" si="6"/>
        <v>0</v>
      </c>
      <c r="S70" s="68">
        <v>0</v>
      </c>
      <c r="T70" s="100"/>
    </row>
    <row r="71" spans="1:20" ht="33" customHeight="1" x14ac:dyDescent="0.25">
      <c r="A71" s="19" t="s">
        <v>19</v>
      </c>
      <c r="B71" s="35" t="s">
        <v>555</v>
      </c>
      <c r="C71" s="32" t="s">
        <v>556</v>
      </c>
      <c r="D71" s="39">
        <v>0</v>
      </c>
      <c r="E71" s="39">
        <f>25496.72*1.2/1000000</f>
        <v>3.0596063999999999E-2</v>
      </c>
      <c r="F71" s="39">
        <f t="shared" si="4"/>
        <v>-3.0596063999999999E-2</v>
      </c>
      <c r="G71" s="39">
        <v>0</v>
      </c>
      <c r="H71" s="39">
        <f t="shared" si="19"/>
        <v>0</v>
      </c>
      <c r="I71" s="39">
        <v>0</v>
      </c>
      <c r="J71" s="39">
        <v>0</v>
      </c>
      <c r="K71" s="39">
        <v>0</v>
      </c>
      <c r="L71" s="39">
        <v>0</v>
      </c>
      <c r="M71" s="39">
        <v>0</v>
      </c>
      <c r="N71" s="38" t="s">
        <v>48</v>
      </c>
      <c r="O71" s="39">
        <v>0</v>
      </c>
      <c r="P71" s="38" t="s">
        <v>48</v>
      </c>
      <c r="Q71" s="39">
        <f t="shared" si="3"/>
        <v>-3.0596063999999999E-2</v>
      </c>
      <c r="R71" s="39">
        <f t="shared" si="6"/>
        <v>0</v>
      </c>
      <c r="S71" s="68">
        <v>0</v>
      </c>
      <c r="T71" s="100"/>
    </row>
    <row r="72" spans="1:20" ht="33" customHeight="1" x14ac:dyDescent="0.25">
      <c r="A72" s="19" t="s">
        <v>19</v>
      </c>
      <c r="B72" s="35" t="s">
        <v>547</v>
      </c>
      <c r="C72" s="32" t="s">
        <v>548</v>
      </c>
      <c r="D72" s="39">
        <v>0</v>
      </c>
      <c r="E72" s="39">
        <f>25720605.89*1.2/1000000</f>
        <v>30.864727068000001</v>
      </c>
      <c r="F72" s="39">
        <f t="shared" si="4"/>
        <v>-30.864727068000001</v>
      </c>
      <c r="G72" s="39">
        <v>0</v>
      </c>
      <c r="H72" s="39">
        <f t="shared" si="19"/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8" t="s">
        <v>48</v>
      </c>
      <c r="O72" s="39">
        <v>0</v>
      </c>
      <c r="P72" s="38" t="s">
        <v>48</v>
      </c>
      <c r="Q72" s="39">
        <f t="shared" si="3"/>
        <v>-30.864727068000001</v>
      </c>
      <c r="R72" s="39">
        <f t="shared" si="6"/>
        <v>0</v>
      </c>
      <c r="S72" s="68">
        <v>0</v>
      </c>
      <c r="T72" s="100"/>
    </row>
    <row r="73" spans="1:20" ht="33" customHeight="1" x14ac:dyDescent="0.25">
      <c r="A73" s="19" t="s">
        <v>19</v>
      </c>
      <c r="B73" s="35" t="s">
        <v>549</v>
      </c>
      <c r="C73" s="32" t="s">
        <v>550</v>
      </c>
      <c r="D73" s="39">
        <v>0</v>
      </c>
      <c r="E73" s="39">
        <f>440788.25*1.2/1000000</f>
        <v>0.52894589999999997</v>
      </c>
      <c r="F73" s="39">
        <f t="shared" si="4"/>
        <v>-0.52894589999999997</v>
      </c>
      <c r="G73" s="39">
        <v>0</v>
      </c>
      <c r="H73" s="39">
        <f t="shared" si="19"/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8" t="s">
        <v>48</v>
      </c>
      <c r="O73" s="39">
        <v>0</v>
      </c>
      <c r="P73" s="38" t="s">
        <v>48</v>
      </c>
      <c r="Q73" s="39">
        <f t="shared" si="3"/>
        <v>-0.52894589999999997</v>
      </c>
      <c r="R73" s="39">
        <f t="shared" si="6"/>
        <v>0</v>
      </c>
      <c r="S73" s="68">
        <v>0</v>
      </c>
      <c r="T73" s="100"/>
    </row>
    <row r="74" spans="1:20" ht="33" customHeight="1" x14ac:dyDescent="0.25">
      <c r="A74" s="19" t="s">
        <v>19</v>
      </c>
      <c r="B74" s="35" t="s">
        <v>561</v>
      </c>
      <c r="C74" s="32" t="s">
        <v>562</v>
      </c>
      <c r="D74" s="39">
        <v>0</v>
      </c>
      <c r="E74" s="39">
        <f>(67178.81-41896)*1.2/1000000</f>
        <v>3.0339371999999996E-2</v>
      </c>
      <c r="F74" s="39">
        <f t="shared" si="4"/>
        <v>-3.0339371999999996E-2</v>
      </c>
      <c r="G74" s="39">
        <v>0</v>
      </c>
      <c r="H74" s="39">
        <f t="shared" si="19"/>
        <v>0</v>
      </c>
      <c r="I74" s="39">
        <v>0</v>
      </c>
      <c r="J74" s="39">
        <v>0</v>
      </c>
      <c r="K74" s="39">
        <v>0</v>
      </c>
      <c r="L74" s="39">
        <v>0</v>
      </c>
      <c r="M74" s="39">
        <v>0</v>
      </c>
      <c r="N74" s="38" t="s">
        <v>48</v>
      </c>
      <c r="O74" s="39">
        <v>0</v>
      </c>
      <c r="P74" s="38" t="s">
        <v>48</v>
      </c>
      <c r="Q74" s="39">
        <f t="shared" si="3"/>
        <v>-3.0339371999999996E-2</v>
      </c>
      <c r="R74" s="39">
        <f t="shared" si="6"/>
        <v>0</v>
      </c>
      <c r="S74" s="68">
        <v>0</v>
      </c>
      <c r="T74" s="100"/>
    </row>
    <row r="75" spans="1:20" ht="45" x14ac:dyDescent="0.25">
      <c r="A75" s="19" t="s">
        <v>19</v>
      </c>
      <c r="B75" s="35" t="s">
        <v>456</v>
      </c>
      <c r="C75" s="32" t="s">
        <v>457</v>
      </c>
      <c r="D75" s="39">
        <f t="shared" si="1"/>
        <v>0</v>
      </c>
      <c r="E75" s="39">
        <v>0</v>
      </c>
      <c r="F75" s="39">
        <f t="shared" si="4"/>
        <v>0</v>
      </c>
      <c r="G75" s="39">
        <v>0</v>
      </c>
      <c r="H75" s="39">
        <f t="shared" si="19"/>
        <v>-1.56E-3</v>
      </c>
      <c r="I75" s="39">
        <v>0</v>
      </c>
      <c r="J75" s="39">
        <v>-1.56E-3</v>
      </c>
      <c r="K75" s="39">
        <v>0</v>
      </c>
      <c r="L75" s="39">
        <v>0</v>
      </c>
      <c r="M75" s="39">
        <v>0</v>
      </c>
      <c r="N75" s="38" t="s">
        <v>48</v>
      </c>
      <c r="O75" s="39">
        <v>0</v>
      </c>
      <c r="P75" s="38" t="s">
        <v>48</v>
      </c>
      <c r="Q75" s="39">
        <f t="shared" si="3"/>
        <v>1.56E-3</v>
      </c>
      <c r="R75" s="39">
        <f t="shared" si="6"/>
        <v>-1.56E-3</v>
      </c>
      <c r="S75" s="68">
        <v>0</v>
      </c>
      <c r="T75" s="100"/>
    </row>
    <row r="76" spans="1:20" ht="45" x14ac:dyDescent="0.25">
      <c r="A76" s="19" t="s">
        <v>19</v>
      </c>
      <c r="B76" s="35" t="s">
        <v>469</v>
      </c>
      <c r="C76" s="32" t="s">
        <v>458</v>
      </c>
      <c r="D76" s="39">
        <f t="shared" si="1"/>
        <v>0</v>
      </c>
      <c r="E76" s="39">
        <v>0</v>
      </c>
      <c r="F76" s="39">
        <f t="shared" si="4"/>
        <v>0</v>
      </c>
      <c r="G76" s="39">
        <v>0</v>
      </c>
      <c r="H76" s="39">
        <f t="shared" si="19"/>
        <v>11.206508784</v>
      </c>
      <c r="I76" s="39">
        <v>0</v>
      </c>
      <c r="J76" s="39">
        <v>0.17834620799999998</v>
      </c>
      <c r="K76" s="39">
        <v>0</v>
      </c>
      <c r="L76" s="39">
        <v>11.028162576</v>
      </c>
      <c r="M76" s="39">
        <v>0</v>
      </c>
      <c r="N76" s="38" t="s">
        <v>48</v>
      </c>
      <c r="O76" s="39">
        <v>0</v>
      </c>
      <c r="P76" s="38" t="s">
        <v>48</v>
      </c>
      <c r="Q76" s="39">
        <f t="shared" si="3"/>
        <v>-11.206508784</v>
      </c>
      <c r="R76" s="39">
        <f t="shared" si="6"/>
        <v>11.206508784</v>
      </c>
      <c r="S76" s="68">
        <v>0</v>
      </c>
      <c r="T76" s="100"/>
    </row>
    <row r="77" spans="1:20" ht="45" x14ac:dyDescent="0.25">
      <c r="A77" s="19" t="s">
        <v>19</v>
      </c>
      <c r="B77" s="35" t="s">
        <v>459</v>
      </c>
      <c r="C77" s="32" t="s">
        <v>460</v>
      </c>
      <c r="D77" s="39">
        <f t="shared" si="1"/>
        <v>0</v>
      </c>
      <c r="E77" s="39">
        <v>0</v>
      </c>
      <c r="F77" s="39">
        <f t="shared" si="4"/>
        <v>0</v>
      </c>
      <c r="G77" s="39">
        <v>0</v>
      </c>
      <c r="H77" s="39">
        <f t="shared" si="19"/>
        <v>1.0689042600000001</v>
      </c>
      <c r="I77" s="39">
        <v>0</v>
      </c>
      <c r="J77" s="39">
        <v>1.0689042600000001</v>
      </c>
      <c r="K77" s="39">
        <v>0</v>
      </c>
      <c r="L77" s="39">
        <v>0</v>
      </c>
      <c r="M77" s="39">
        <v>0</v>
      </c>
      <c r="N77" s="38" t="s">
        <v>48</v>
      </c>
      <c r="O77" s="39">
        <v>0</v>
      </c>
      <c r="P77" s="38" t="s">
        <v>48</v>
      </c>
      <c r="Q77" s="39">
        <f t="shared" si="3"/>
        <v>-1.0689042600000001</v>
      </c>
      <c r="R77" s="39">
        <f t="shared" si="6"/>
        <v>1.0689042600000001</v>
      </c>
      <c r="S77" s="68">
        <v>0</v>
      </c>
      <c r="T77" s="100"/>
    </row>
    <row r="78" spans="1:20" ht="30" x14ac:dyDescent="0.25">
      <c r="A78" s="19" t="s">
        <v>19</v>
      </c>
      <c r="B78" s="35" t="s">
        <v>461</v>
      </c>
      <c r="C78" s="32" t="s">
        <v>462</v>
      </c>
      <c r="D78" s="39">
        <f t="shared" si="1"/>
        <v>0</v>
      </c>
      <c r="E78" s="39">
        <v>0</v>
      </c>
      <c r="F78" s="39">
        <f t="shared" si="4"/>
        <v>0</v>
      </c>
      <c r="G78" s="39">
        <v>0</v>
      </c>
      <c r="H78" s="39">
        <f t="shared" si="19"/>
        <v>6.7079544000000005E-2</v>
      </c>
      <c r="I78" s="39">
        <v>0</v>
      </c>
      <c r="J78" s="39">
        <v>6.7079544000000005E-2</v>
      </c>
      <c r="K78" s="39">
        <v>0</v>
      </c>
      <c r="L78" s="39">
        <v>0</v>
      </c>
      <c r="M78" s="39">
        <v>0</v>
      </c>
      <c r="N78" s="38" t="s">
        <v>48</v>
      </c>
      <c r="O78" s="39">
        <v>0</v>
      </c>
      <c r="P78" s="38" t="s">
        <v>48</v>
      </c>
      <c r="Q78" s="39">
        <f t="shared" si="3"/>
        <v>-6.7079544000000005E-2</v>
      </c>
      <c r="R78" s="39">
        <f t="shared" si="6"/>
        <v>6.7079544000000005E-2</v>
      </c>
      <c r="S78" s="68">
        <v>0</v>
      </c>
      <c r="T78" s="100"/>
    </row>
    <row r="79" spans="1:20" ht="45" x14ac:dyDescent="0.25">
      <c r="A79" s="19" t="s">
        <v>19</v>
      </c>
      <c r="B79" s="35" t="s">
        <v>463</v>
      </c>
      <c r="C79" s="32" t="s">
        <v>464</v>
      </c>
      <c r="D79" s="39">
        <f t="shared" si="1"/>
        <v>0</v>
      </c>
      <c r="E79" s="39">
        <v>0</v>
      </c>
      <c r="F79" s="39">
        <f t="shared" si="4"/>
        <v>0</v>
      </c>
      <c r="G79" s="39">
        <f t="shared" ref="G79:G120" si="20">I79+K79+M79+O79</f>
        <v>0</v>
      </c>
      <c r="H79" s="39">
        <f t="shared" si="19"/>
        <v>7.6783331999999996E-2</v>
      </c>
      <c r="I79" s="39">
        <v>0</v>
      </c>
      <c r="J79" s="39">
        <v>4.5197736000000002E-2</v>
      </c>
      <c r="K79" s="39">
        <v>0</v>
      </c>
      <c r="L79" s="39">
        <v>3.1585595999999994E-2</v>
      </c>
      <c r="M79" s="39">
        <v>0</v>
      </c>
      <c r="N79" s="38" t="s">
        <v>48</v>
      </c>
      <c r="O79" s="39">
        <v>0</v>
      </c>
      <c r="P79" s="38" t="s">
        <v>48</v>
      </c>
      <c r="Q79" s="39">
        <f t="shared" si="3"/>
        <v>-7.6783331999999996E-2</v>
      </c>
      <c r="R79" s="39">
        <f t="shared" si="6"/>
        <v>7.6783331999999996E-2</v>
      </c>
      <c r="S79" s="68">
        <v>0</v>
      </c>
      <c r="T79" s="100"/>
    </row>
    <row r="80" spans="1:20" ht="30" x14ac:dyDescent="0.25">
      <c r="A80" s="19" t="s">
        <v>19</v>
      </c>
      <c r="B80" s="35" t="s">
        <v>465</v>
      </c>
      <c r="C80" s="32" t="s">
        <v>466</v>
      </c>
      <c r="D80" s="39">
        <f t="shared" si="1"/>
        <v>0</v>
      </c>
      <c r="E80" s="39">
        <v>0</v>
      </c>
      <c r="F80" s="39">
        <f t="shared" si="4"/>
        <v>0</v>
      </c>
      <c r="G80" s="39">
        <f t="shared" si="20"/>
        <v>0</v>
      </c>
      <c r="H80" s="39">
        <f t="shared" si="19"/>
        <v>6.0000000000000001E-3</v>
      </c>
      <c r="I80" s="39">
        <v>0</v>
      </c>
      <c r="J80" s="39">
        <v>6.0000000000000001E-3</v>
      </c>
      <c r="K80" s="39">
        <v>0</v>
      </c>
      <c r="L80" s="39">
        <v>0</v>
      </c>
      <c r="M80" s="39">
        <v>0</v>
      </c>
      <c r="N80" s="38" t="s">
        <v>48</v>
      </c>
      <c r="O80" s="39">
        <v>0</v>
      </c>
      <c r="P80" s="38" t="s">
        <v>48</v>
      </c>
      <c r="Q80" s="39">
        <f t="shared" si="3"/>
        <v>-6.0000000000000001E-3</v>
      </c>
      <c r="R80" s="39">
        <f t="shared" si="6"/>
        <v>6.0000000000000001E-3</v>
      </c>
      <c r="S80" s="68">
        <v>0</v>
      </c>
      <c r="T80" s="100"/>
    </row>
    <row r="81" spans="1:20" ht="30" x14ac:dyDescent="0.25">
      <c r="A81" s="19" t="s">
        <v>19</v>
      </c>
      <c r="B81" s="35" t="s">
        <v>467</v>
      </c>
      <c r="C81" s="32" t="s">
        <v>468</v>
      </c>
      <c r="D81" s="39">
        <f t="shared" si="1"/>
        <v>0</v>
      </c>
      <c r="E81" s="39">
        <v>0</v>
      </c>
      <c r="F81" s="39">
        <f t="shared" si="4"/>
        <v>0</v>
      </c>
      <c r="G81" s="39">
        <f t="shared" si="20"/>
        <v>0</v>
      </c>
      <c r="H81" s="39">
        <f t="shared" si="19"/>
        <v>0.39741710400000002</v>
      </c>
      <c r="I81" s="39">
        <v>0</v>
      </c>
      <c r="J81" s="39">
        <v>0.39741710400000002</v>
      </c>
      <c r="K81" s="39">
        <v>0</v>
      </c>
      <c r="L81" s="39">
        <v>0</v>
      </c>
      <c r="M81" s="39">
        <v>0</v>
      </c>
      <c r="N81" s="38" t="s">
        <v>48</v>
      </c>
      <c r="O81" s="39">
        <v>0</v>
      </c>
      <c r="P81" s="38" t="s">
        <v>48</v>
      </c>
      <c r="Q81" s="39">
        <f t="shared" ref="Q81:Q155" si="21">F81-H81</f>
        <v>-0.39741710400000002</v>
      </c>
      <c r="R81" s="39">
        <f t="shared" si="6"/>
        <v>0.39741710400000002</v>
      </c>
      <c r="S81" s="68">
        <v>0</v>
      </c>
      <c r="T81" s="100"/>
    </row>
    <row r="82" spans="1:20" ht="30" x14ac:dyDescent="0.25">
      <c r="A82" s="66" t="s">
        <v>19</v>
      </c>
      <c r="B82" s="35" t="s">
        <v>694</v>
      </c>
      <c r="C82" s="32" t="s">
        <v>695</v>
      </c>
      <c r="D82" s="39">
        <v>0</v>
      </c>
      <c r="E82" s="39">
        <v>0</v>
      </c>
      <c r="F82" s="39">
        <v>0</v>
      </c>
      <c r="G82" s="39">
        <v>0</v>
      </c>
      <c r="H82" s="39">
        <f t="shared" si="19"/>
        <v>3.1335768E-2</v>
      </c>
      <c r="I82" s="39">
        <v>0</v>
      </c>
      <c r="J82" s="39">
        <v>0</v>
      </c>
      <c r="K82" s="39">
        <v>0</v>
      </c>
      <c r="L82" s="39">
        <v>3.1335768E-2</v>
      </c>
      <c r="M82" s="39">
        <v>0</v>
      </c>
      <c r="N82" s="38" t="s">
        <v>48</v>
      </c>
      <c r="O82" s="39">
        <v>0</v>
      </c>
      <c r="P82" s="38" t="s">
        <v>48</v>
      </c>
      <c r="Q82" s="39">
        <f t="shared" si="21"/>
        <v>-3.1335768E-2</v>
      </c>
      <c r="R82" s="39">
        <f t="shared" ref="R82:R145" si="22">(J82+L82)-(I82+K82)</f>
        <v>3.1335768E-2</v>
      </c>
      <c r="S82" s="68">
        <v>0</v>
      </c>
      <c r="T82" s="100"/>
    </row>
    <row r="83" spans="1:20" ht="30" x14ac:dyDescent="0.25">
      <c r="A83" s="66" t="s">
        <v>19</v>
      </c>
      <c r="B83" s="35" t="s">
        <v>559</v>
      </c>
      <c r="C83" s="32" t="s">
        <v>560</v>
      </c>
      <c r="D83" s="39">
        <v>0</v>
      </c>
      <c r="E83" s="39">
        <v>0</v>
      </c>
      <c r="F83" s="39">
        <v>0</v>
      </c>
      <c r="G83" s="39">
        <v>0</v>
      </c>
      <c r="H83" s="39">
        <f t="shared" si="19"/>
        <v>0.17371684800000001</v>
      </c>
      <c r="I83" s="39">
        <v>0</v>
      </c>
      <c r="J83" s="39">
        <v>0</v>
      </c>
      <c r="K83" s="39">
        <v>0</v>
      </c>
      <c r="L83" s="39">
        <v>0.17371684800000001</v>
      </c>
      <c r="M83" s="39">
        <v>0</v>
      </c>
      <c r="N83" s="38" t="s">
        <v>48</v>
      </c>
      <c r="O83" s="39">
        <v>0</v>
      </c>
      <c r="P83" s="38" t="s">
        <v>48</v>
      </c>
      <c r="Q83" s="39">
        <f t="shared" si="21"/>
        <v>-0.17371684800000001</v>
      </c>
      <c r="R83" s="39">
        <f t="shared" si="22"/>
        <v>0.17371684800000001</v>
      </c>
      <c r="S83" s="68">
        <v>0</v>
      </c>
      <c r="T83" s="100"/>
    </row>
    <row r="84" spans="1:20" ht="45" x14ac:dyDescent="0.25">
      <c r="A84" s="66" t="s">
        <v>19</v>
      </c>
      <c r="B84" s="35" t="s">
        <v>696</v>
      </c>
      <c r="C84" s="32" t="s">
        <v>697</v>
      </c>
      <c r="D84" s="39">
        <v>0</v>
      </c>
      <c r="E84" s="39">
        <v>0</v>
      </c>
      <c r="F84" s="39">
        <v>0</v>
      </c>
      <c r="G84" s="39">
        <v>0</v>
      </c>
      <c r="H84" s="39">
        <f t="shared" si="19"/>
        <v>6.1672763999999998E-2</v>
      </c>
      <c r="I84" s="39">
        <v>0</v>
      </c>
      <c r="J84" s="39">
        <v>0</v>
      </c>
      <c r="K84" s="39">
        <v>0</v>
      </c>
      <c r="L84" s="39">
        <v>6.1672763999999998E-2</v>
      </c>
      <c r="M84" s="39">
        <v>0</v>
      </c>
      <c r="N84" s="38" t="s">
        <v>48</v>
      </c>
      <c r="O84" s="39">
        <v>0</v>
      </c>
      <c r="P84" s="38" t="s">
        <v>48</v>
      </c>
      <c r="Q84" s="39">
        <f t="shared" si="21"/>
        <v>-6.1672763999999998E-2</v>
      </c>
      <c r="R84" s="39">
        <f t="shared" si="22"/>
        <v>6.1672763999999998E-2</v>
      </c>
      <c r="S84" s="68">
        <v>0</v>
      </c>
      <c r="T84" s="100"/>
    </row>
    <row r="85" spans="1:20" ht="60" x14ac:dyDescent="0.25">
      <c r="A85" s="66" t="s">
        <v>19</v>
      </c>
      <c r="B85" s="35" t="s">
        <v>698</v>
      </c>
      <c r="C85" s="32" t="s">
        <v>699</v>
      </c>
      <c r="D85" s="39">
        <v>0</v>
      </c>
      <c r="E85" s="39">
        <v>0</v>
      </c>
      <c r="F85" s="39">
        <v>0</v>
      </c>
      <c r="G85" s="39">
        <v>0</v>
      </c>
      <c r="H85" s="39">
        <f t="shared" si="19"/>
        <v>1.9735823999999999E-2</v>
      </c>
      <c r="I85" s="39">
        <v>0</v>
      </c>
      <c r="J85" s="39">
        <v>0</v>
      </c>
      <c r="K85" s="39">
        <v>0</v>
      </c>
      <c r="L85" s="39">
        <v>1.9735823999999999E-2</v>
      </c>
      <c r="M85" s="39">
        <v>0</v>
      </c>
      <c r="N85" s="38" t="s">
        <v>48</v>
      </c>
      <c r="O85" s="39">
        <v>0</v>
      </c>
      <c r="P85" s="38" t="s">
        <v>48</v>
      </c>
      <c r="Q85" s="39">
        <f t="shared" si="21"/>
        <v>-1.9735823999999999E-2</v>
      </c>
      <c r="R85" s="39">
        <f t="shared" si="22"/>
        <v>1.9735823999999999E-2</v>
      </c>
      <c r="S85" s="68">
        <v>0</v>
      </c>
      <c r="T85" s="100"/>
    </row>
    <row r="86" spans="1:20" ht="45" x14ac:dyDescent="0.25">
      <c r="A86" s="66" t="s">
        <v>19</v>
      </c>
      <c r="B86" s="35" t="s">
        <v>700</v>
      </c>
      <c r="C86" s="32" t="s">
        <v>701</v>
      </c>
      <c r="D86" s="39">
        <v>0</v>
      </c>
      <c r="E86" s="39">
        <v>0</v>
      </c>
      <c r="F86" s="39">
        <v>0</v>
      </c>
      <c r="G86" s="39">
        <v>0</v>
      </c>
      <c r="H86" s="39">
        <f t="shared" si="19"/>
        <v>2.9204363999999997E-2</v>
      </c>
      <c r="I86" s="39">
        <v>0</v>
      </c>
      <c r="J86" s="39">
        <v>0</v>
      </c>
      <c r="K86" s="39">
        <v>0</v>
      </c>
      <c r="L86" s="39">
        <v>2.9204363999999997E-2</v>
      </c>
      <c r="M86" s="39">
        <v>0</v>
      </c>
      <c r="N86" s="38" t="s">
        <v>48</v>
      </c>
      <c r="O86" s="39">
        <v>0</v>
      </c>
      <c r="P86" s="38" t="s">
        <v>48</v>
      </c>
      <c r="Q86" s="39">
        <f t="shared" si="21"/>
        <v>-2.9204363999999997E-2</v>
      </c>
      <c r="R86" s="39">
        <f t="shared" si="22"/>
        <v>2.9204363999999997E-2</v>
      </c>
      <c r="S86" s="68">
        <v>0</v>
      </c>
      <c r="T86" s="100"/>
    </row>
    <row r="87" spans="1:20" ht="45" x14ac:dyDescent="0.25">
      <c r="A87" s="66" t="s">
        <v>19</v>
      </c>
      <c r="B87" s="35" t="s">
        <v>702</v>
      </c>
      <c r="C87" s="32" t="s">
        <v>703</v>
      </c>
      <c r="D87" s="39">
        <v>0</v>
      </c>
      <c r="E87" s="39">
        <v>0</v>
      </c>
      <c r="F87" s="39">
        <v>0</v>
      </c>
      <c r="G87" s="39">
        <v>0</v>
      </c>
      <c r="H87" s="39">
        <f t="shared" si="19"/>
        <v>2.9204363999999997E-2</v>
      </c>
      <c r="I87" s="39">
        <v>0</v>
      </c>
      <c r="J87" s="39">
        <v>0</v>
      </c>
      <c r="K87" s="39">
        <v>0</v>
      </c>
      <c r="L87" s="39">
        <v>2.9204363999999997E-2</v>
      </c>
      <c r="M87" s="39">
        <v>0</v>
      </c>
      <c r="N87" s="38" t="s">
        <v>48</v>
      </c>
      <c r="O87" s="39">
        <v>0</v>
      </c>
      <c r="P87" s="38" t="s">
        <v>48</v>
      </c>
      <c r="Q87" s="39">
        <f t="shared" si="21"/>
        <v>-2.9204363999999997E-2</v>
      </c>
      <c r="R87" s="39">
        <f t="shared" si="22"/>
        <v>2.9204363999999997E-2</v>
      </c>
      <c r="S87" s="68">
        <v>0</v>
      </c>
      <c r="T87" s="100"/>
    </row>
    <row r="88" spans="1:20" ht="45" x14ac:dyDescent="0.25">
      <c r="A88" s="66" t="s">
        <v>19</v>
      </c>
      <c r="B88" s="35" t="s">
        <v>704</v>
      </c>
      <c r="C88" s="32" t="s">
        <v>705</v>
      </c>
      <c r="D88" s="39">
        <v>0</v>
      </c>
      <c r="E88" s="39">
        <v>0</v>
      </c>
      <c r="F88" s="39">
        <v>0</v>
      </c>
      <c r="G88" s="39">
        <v>0</v>
      </c>
      <c r="H88" s="39">
        <f t="shared" si="19"/>
        <v>4.6575107999999997E-2</v>
      </c>
      <c r="I88" s="39">
        <v>0</v>
      </c>
      <c r="J88" s="39">
        <v>0</v>
      </c>
      <c r="K88" s="39">
        <v>0</v>
      </c>
      <c r="L88" s="39">
        <v>4.6575107999999997E-2</v>
      </c>
      <c r="M88" s="39">
        <v>0</v>
      </c>
      <c r="N88" s="38" t="s">
        <v>48</v>
      </c>
      <c r="O88" s="39">
        <v>0</v>
      </c>
      <c r="P88" s="38" t="s">
        <v>48</v>
      </c>
      <c r="Q88" s="39">
        <f t="shared" si="21"/>
        <v>-4.6575107999999997E-2</v>
      </c>
      <c r="R88" s="39">
        <f t="shared" si="22"/>
        <v>4.6575107999999997E-2</v>
      </c>
      <c r="S88" s="68">
        <v>0</v>
      </c>
      <c r="T88" s="100"/>
    </row>
    <row r="89" spans="1:20" ht="30" x14ac:dyDescent="0.25">
      <c r="A89" s="66" t="s">
        <v>19</v>
      </c>
      <c r="B89" s="35" t="s">
        <v>706</v>
      </c>
      <c r="C89" s="32" t="s">
        <v>707</v>
      </c>
      <c r="D89" s="39">
        <v>0</v>
      </c>
      <c r="E89" s="39">
        <v>0</v>
      </c>
      <c r="F89" s="39">
        <v>0</v>
      </c>
      <c r="G89" s="39">
        <v>0</v>
      </c>
      <c r="H89" s="39">
        <f t="shared" si="19"/>
        <v>1.0918271879999999</v>
      </c>
      <c r="I89" s="39">
        <v>0</v>
      </c>
      <c r="J89" s="39">
        <v>0</v>
      </c>
      <c r="K89" s="39">
        <v>0</v>
      </c>
      <c r="L89" s="39">
        <v>1.0918271879999999</v>
      </c>
      <c r="M89" s="39">
        <v>0</v>
      </c>
      <c r="N89" s="38" t="s">
        <v>48</v>
      </c>
      <c r="O89" s="39">
        <v>0</v>
      </c>
      <c r="P89" s="38" t="s">
        <v>48</v>
      </c>
      <c r="Q89" s="39">
        <f t="shared" si="21"/>
        <v>-1.0918271879999999</v>
      </c>
      <c r="R89" s="39">
        <f t="shared" si="22"/>
        <v>1.0918271879999999</v>
      </c>
      <c r="S89" s="68">
        <v>0</v>
      </c>
      <c r="T89" s="100"/>
    </row>
    <row r="90" spans="1:20" ht="45" x14ac:dyDescent="0.25">
      <c r="A90" s="66" t="s">
        <v>19</v>
      </c>
      <c r="B90" s="35" t="s">
        <v>708</v>
      </c>
      <c r="C90" s="32" t="s">
        <v>709</v>
      </c>
      <c r="D90" s="39">
        <v>0</v>
      </c>
      <c r="E90" s="39">
        <v>0</v>
      </c>
      <c r="F90" s="39">
        <v>0</v>
      </c>
      <c r="G90" s="39">
        <v>0</v>
      </c>
      <c r="H90" s="39">
        <f t="shared" si="19"/>
        <v>0.40121049599999997</v>
      </c>
      <c r="I90" s="39">
        <v>0</v>
      </c>
      <c r="J90" s="39">
        <v>0</v>
      </c>
      <c r="K90" s="39">
        <v>0</v>
      </c>
      <c r="L90" s="39">
        <v>0.40121049599999997</v>
      </c>
      <c r="M90" s="39">
        <v>0</v>
      </c>
      <c r="N90" s="38" t="s">
        <v>48</v>
      </c>
      <c r="O90" s="39">
        <v>0</v>
      </c>
      <c r="P90" s="38" t="s">
        <v>48</v>
      </c>
      <c r="Q90" s="39">
        <f t="shared" si="21"/>
        <v>-0.40121049599999997</v>
      </c>
      <c r="R90" s="39">
        <f t="shared" si="22"/>
        <v>0.40121049599999997</v>
      </c>
      <c r="S90" s="68">
        <v>0</v>
      </c>
      <c r="T90" s="100"/>
    </row>
    <row r="91" spans="1:20" ht="45" x14ac:dyDescent="0.25">
      <c r="A91" s="66" t="s">
        <v>19</v>
      </c>
      <c r="B91" s="35" t="s">
        <v>710</v>
      </c>
      <c r="C91" s="32" t="s">
        <v>711</v>
      </c>
      <c r="D91" s="39">
        <v>0</v>
      </c>
      <c r="E91" s="39">
        <v>0</v>
      </c>
      <c r="F91" s="39">
        <v>0</v>
      </c>
      <c r="G91" s="39">
        <v>0</v>
      </c>
      <c r="H91" s="39">
        <f t="shared" si="19"/>
        <v>5.6462363999999994E-2</v>
      </c>
      <c r="I91" s="39">
        <v>0</v>
      </c>
      <c r="J91" s="39">
        <v>0</v>
      </c>
      <c r="K91" s="39">
        <v>0</v>
      </c>
      <c r="L91" s="39">
        <v>5.6462363999999994E-2</v>
      </c>
      <c r="M91" s="39">
        <v>0</v>
      </c>
      <c r="N91" s="38" t="s">
        <v>48</v>
      </c>
      <c r="O91" s="39">
        <v>0</v>
      </c>
      <c r="P91" s="38" t="s">
        <v>48</v>
      </c>
      <c r="Q91" s="39">
        <f t="shared" si="21"/>
        <v>-5.6462363999999994E-2</v>
      </c>
      <c r="R91" s="39">
        <f t="shared" si="22"/>
        <v>5.6462363999999994E-2</v>
      </c>
      <c r="S91" s="68">
        <v>0</v>
      </c>
      <c r="T91" s="100"/>
    </row>
    <row r="92" spans="1:20" ht="30" x14ac:dyDescent="0.25">
      <c r="A92" s="66" t="s">
        <v>19</v>
      </c>
      <c r="B92" s="35" t="s">
        <v>541</v>
      </c>
      <c r="C92" s="32" t="s">
        <v>542</v>
      </c>
      <c r="D92" s="39">
        <v>0</v>
      </c>
      <c r="E92" s="39">
        <v>0</v>
      </c>
      <c r="F92" s="39">
        <v>0</v>
      </c>
      <c r="G92" s="39">
        <v>0</v>
      </c>
      <c r="H92" s="39">
        <f t="shared" si="19"/>
        <v>2.3602799999999997E-2</v>
      </c>
      <c r="I92" s="39">
        <v>0</v>
      </c>
      <c r="J92" s="39">
        <v>0</v>
      </c>
      <c r="K92" s="39">
        <v>0</v>
      </c>
      <c r="L92" s="39">
        <v>2.3602799999999997E-2</v>
      </c>
      <c r="M92" s="39">
        <v>0</v>
      </c>
      <c r="N92" s="38" t="s">
        <v>48</v>
      </c>
      <c r="O92" s="39">
        <v>0</v>
      </c>
      <c r="P92" s="38" t="s">
        <v>48</v>
      </c>
      <c r="Q92" s="39">
        <f t="shared" si="21"/>
        <v>-2.3602799999999997E-2</v>
      </c>
      <c r="R92" s="39">
        <f t="shared" si="22"/>
        <v>2.3602799999999997E-2</v>
      </c>
      <c r="S92" s="68">
        <v>0</v>
      </c>
      <c r="T92" s="101"/>
    </row>
    <row r="93" spans="1:20" ht="28.5" x14ac:dyDescent="0.25">
      <c r="A93" s="11" t="s">
        <v>20</v>
      </c>
      <c r="B93" s="14" t="s">
        <v>75</v>
      </c>
      <c r="C93" s="15" t="s">
        <v>51</v>
      </c>
      <c r="D93" s="40">
        <f t="shared" si="1"/>
        <v>0</v>
      </c>
      <c r="E93" s="40">
        <v>0</v>
      </c>
      <c r="F93" s="40">
        <f t="shared" ref="F93:F167" si="23">D93-E93</f>
        <v>0</v>
      </c>
      <c r="G93" s="40">
        <f t="shared" si="20"/>
        <v>0</v>
      </c>
      <c r="H93" s="40">
        <f t="shared" ref="H93:H156" si="24">J93+L93</f>
        <v>0</v>
      </c>
      <c r="I93" s="40">
        <v>0</v>
      </c>
      <c r="J93" s="40">
        <v>0</v>
      </c>
      <c r="K93" s="40">
        <v>0</v>
      </c>
      <c r="L93" s="40">
        <v>0</v>
      </c>
      <c r="M93" s="40">
        <v>0</v>
      </c>
      <c r="N93" s="41" t="s">
        <v>48</v>
      </c>
      <c r="O93" s="40">
        <v>0</v>
      </c>
      <c r="P93" s="41" t="s">
        <v>48</v>
      </c>
      <c r="Q93" s="40">
        <f t="shared" si="21"/>
        <v>0</v>
      </c>
      <c r="R93" s="40">
        <f t="shared" si="22"/>
        <v>0</v>
      </c>
      <c r="S93" s="56">
        <v>0</v>
      </c>
      <c r="T93" s="41" t="s">
        <v>48</v>
      </c>
    </row>
    <row r="94" spans="1:20" ht="42.75" x14ac:dyDescent="0.25">
      <c r="A94" s="11" t="s">
        <v>39</v>
      </c>
      <c r="B94" s="14" t="s">
        <v>76</v>
      </c>
      <c r="C94" s="15" t="s">
        <v>51</v>
      </c>
      <c r="D94" s="40">
        <f t="shared" si="1"/>
        <v>0</v>
      </c>
      <c r="E94" s="40">
        <v>0</v>
      </c>
      <c r="F94" s="40">
        <f t="shared" si="23"/>
        <v>0</v>
      </c>
      <c r="G94" s="40">
        <f t="shared" si="20"/>
        <v>0</v>
      </c>
      <c r="H94" s="40">
        <f t="shared" si="24"/>
        <v>0</v>
      </c>
      <c r="I94" s="40">
        <v>0</v>
      </c>
      <c r="J94" s="40">
        <v>0</v>
      </c>
      <c r="K94" s="40">
        <v>0</v>
      </c>
      <c r="L94" s="40">
        <v>0</v>
      </c>
      <c r="M94" s="40">
        <v>0</v>
      </c>
      <c r="N94" s="41" t="s">
        <v>48</v>
      </c>
      <c r="O94" s="40">
        <v>0</v>
      </c>
      <c r="P94" s="41" t="s">
        <v>48</v>
      </c>
      <c r="Q94" s="40">
        <f t="shared" si="21"/>
        <v>0</v>
      </c>
      <c r="R94" s="40">
        <f t="shared" si="22"/>
        <v>0</v>
      </c>
      <c r="S94" s="56">
        <v>0</v>
      </c>
      <c r="T94" s="41" t="s">
        <v>48</v>
      </c>
    </row>
    <row r="95" spans="1:20" ht="28.5" x14ac:dyDescent="0.25">
      <c r="A95" s="11" t="s">
        <v>40</v>
      </c>
      <c r="B95" s="14" t="s">
        <v>77</v>
      </c>
      <c r="C95" s="15" t="s">
        <v>51</v>
      </c>
      <c r="D95" s="40">
        <f t="shared" si="1"/>
        <v>0</v>
      </c>
      <c r="E95" s="40">
        <v>0</v>
      </c>
      <c r="F95" s="40">
        <f t="shared" si="23"/>
        <v>0</v>
      </c>
      <c r="G95" s="40">
        <f t="shared" si="20"/>
        <v>0</v>
      </c>
      <c r="H95" s="40">
        <f t="shared" si="24"/>
        <v>0</v>
      </c>
      <c r="I95" s="40">
        <v>0</v>
      </c>
      <c r="J95" s="40">
        <v>0</v>
      </c>
      <c r="K95" s="40">
        <v>0</v>
      </c>
      <c r="L95" s="40">
        <v>0</v>
      </c>
      <c r="M95" s="40">
        <v>0</v>
      </c>
      <c r="N95" s="41" t="s">
        <v>48</v>
      </c>
      <c r="O95" s="40">
        <v>0</v>
      </c>
      <c r="P95" s="41" t="s">
        <v>48</v>
      </c>
      <c r="Q95" s="40">
        <f t="shared" si="21"/>
        <v>0</v>
      </c>
      <c r="R95" s="40">
        <f t="shared" si="22"/>
        <v>0</v>
      </c>
      <c r="S95" s="56">
        <v>0</v>
      </c>
      <c r="T95" s="41" t="s">
        <v>48</v>
      </c>
    </row>
    <row r="96" spans="1:20" ht="28.5" x14ac:dyDescent="0.25">
      <c r="A96" s="11" t="s">
        <v>21</v>
      </c>
      <c r="B96" s="14" t="s">
        <v>78</v>
      </c>
      <c r="C96" s="15" t="s">
        <v>51</v>
      </c>
      <c r="D96" s="40">
        <f t="shared" si="1"/>
        <v>0</v>
      </c>
      <c r="E96" s="40">
        <v>0</v>
      </c>
      <c r="F96" s="40">
        <f t="shared" si="23"/>
        <v>0</v>
      </c>
      <c r="G96" s="40">
        <f t="shared" si="20"/>
        <v>0</v>
      </c>
      <c r="H96" s="40">
        <f t="shared" si="24"/>
        <v>0</v>
      </c>
      <c r="I96" s="40">
        <v>0</v>
      </c>
      <c r="J96" s="40">
        <v>0</v>
      </c>
      <c r="K96" s="40">
        <v>0</v>
      </c>
      <c r="L96" s="40">
        <v>0</v>
      </c>
      <c r="M96" s="40">
        <v>0</v>
      </c>
      <c r="N96" s="41" t="s">
        <v>48</v>
      </c>
      <c r="O96" s="40">
        <v>0</v>
      </c>
      <c r="P96" s="41" t="s">
        <v>48</v>
      </c>
      <c r="Q96" s="40">
        <f t="shared" si="21"/>
        <v>0</v>
      </c>
      <c r="R96" s="40">
        <f t="shared" si="22"/>
        <v>0</v>
      </c>
      <c r="S96" s="56">
        <v>0</v>
      </c>
      <c r="T96" s="41" t="s">
        <v>48</v>
      </c>
    </row>
    <row r="97" spans="1:20" ht="28.5" x14ac:dyDescent="0.25">
      <c r="A97" s="11" t="s">
        <v>79</v>
      </c>
      <c r="B97" s="14" t="s">
        <v>80</v>
      </c>
      <c r="C97" s="15" t="s">
        <v>51</v>
      </c>
      <c r="D97" s="40">
        <f t="shared" si="1"/>
        <v>0</v>
      </c>
      <c r="E97" s="40">
        <v>0</v>
      </c>
      <c r="F97" s="40">
        <f t="shared" si="23"/>
        <v>0</v>
      </c>
      <c r="G97" s="40">
        <f t="shared" si="20"/>
        <v>0</v>
      </c>
      <c r="H97" s="40">
        <f t="shared" si="24"/>
        <v>0</v>
      </c>
      <c r="I97" s="40">
        <v>0</v>
      </c>
      <c r="J97" s="40">
        <v>0</v>
      </c>
      <c r="K97" s="40">
        <v>0</v>
      </c>
      <c r="L97" s="40">
        <v>0</v>
      </c>
      <c r="M97" s="40">
        <v>0</v>
      </c>
      <c r="N97" s="41" t="s">
        <v>48</v>
      </c>
      <c r="O97" s="40">
        <v>0</v>
      </c>
      <c r="P97" s="41" t="s">
        <v>48</v>
      </c>
      <c r="Q97" s="40">
        <f t="shared" si="21"/>
        <v>0</v>
      </c>
      <c r="R97" s="40">
        <f t="shared" si="22"/>
        <v>0</v>
      </c>
      <c r="S97" s="56">
        <v>0</v>
      </c>
      <c r="T97" s="41" t="s">
        <v>48</v>
      </c>
    </row>
    <row r="98" spans="1:20" ht="71.25" x14ac:dyDescent="0.25">
      <c r="A98" s="11" t="s">
        <v>79</v>
      </c>
      <c r="B98" s="14" t="s">
        <v>81</v>
      </c>
      <c r="C98" s="15" t="s">
        <v>51</v>
      </c>
      <c r="D98" s="40">
        <f t="shared" si="1"/>
        <v>0</v>
      </c>
      <c r="E98" s="40">
        <v>0</v>
      </c>
      <c r="F98" s="40">
        <f t="shared" si="23"/>
        <v>0</v>
      </c>
      <c r="G98" s="40">
        <f t="shared" si="20"/>
        <v>0</v>
      </c>
      <c r="H98" s="40">
        <f t="shared" si="24"/>
        <v>0</v>
      </c>
      <c r="I98" s="40">
        <v>0</v>
      </c>
      <c r="J98" s="40">
        <v>0</v>
      </c>
      <c r="K98" s="40">
        <v>0</v>
      </c>
      <c r="L98" s="40">
        <v>0</v>
      </c>
      <c r="M98" s="40">
        <v>0</v>
      </c>
      <c r="N98" s="41" t="s">
        <v>48</v>
      </c>
      <c r="O98" s="40">
        <v>0</v>
      </c>
      <c r="P98" s="41" t="s">
        <v>48</v>
      </c>
      <c r="Q98" s="40">
        <f t="shared" si="21"/>
        <v>0</v>
      </c>
      <c r="R98" s="40">
        <f t="shared" si="22"/>
        <v>0</v>
      </c>
      <c r="S98" s="56">
        <v>0</v>
      </c>
      <c r="T98" s="41" t="s">
        <v>48</v>
      </c>
    </row>
    <row r="99" spans="1:20" ht="57" x14ac:dyDescent="0.25">
      <c r="A99" s="11" t="s">
        <v>79</v>
      </c>
      <c r="B99" s="14" t="s">
        <v>82</v>
      </c>
      <c r="C99" s="15" t="s">
        <v>51</v>
      </c>
      <c r="D99" s="40">
        <f t="shared" si="1"/>
        <v>0</v>
      </c>
      <c r="E99" s="40">
        <v>0</v>
      </c>
      <c r="F99" s="40">
        <f t="shared" si="23"/>
        <v>0</v>
      </c>
      <c r="G99" s="40">
        <f t="shared" si="20"/>
        <v>0</v>
      </c>
      <c r="H99" s="40">
        <f t="shared" si="24"/>
        <v>0</v>
      </c>
      <c r="I99" s="40">
        <v>0</v>
      </c>
      <c r="J99" s="40">
        <v>0</v>
      </c>
      <c r="K99" s="40">
        <v>0</v>
      </c>
      <c r="L99" s="40">
        <v>0</v>
      </c>
      <c r="M99" s="40">
        <v>0</v>
      </c>
      <c r="N99" s="41" t="s">
        <v>48</v>
      </c>
      <c r="O99" s="40">
        <v>0</v>
      </c>
      <c r="P99" s="41" t="s">
        <v>48</v>
      </c>
      <c r="Q99" s="40">
        <f t="shared" si="21"/>
        <v>0</v>
      </c>
      <c r="R99" s="40">
        <f t="shared" si="22"/>
        <v>0</v>
      </c>
      <c r="S99" s="56">
        <v>0</v>
      </c>
      <c r="T99" s="41" t="s">
        <v>48</v>
      </c>
    </row>
    <row r="100" spans="1:20" ht="57" x14ac:dyDescent="0.25">
      <c r="A100" s="11" t="s">
        <v>79</v>
      </c>
      <c r="B100" s="14" t="s">
        <v>83</v>
      </c>
      <c r="C100" s="15" t="s">
        <v>51</v>
      </c>
      <c r="D100" s="40">
        <f t="shared" si="1"/>
        <v>0</v>
      </c>
      <c r="E100" s="40">
        <v>0</v>
      </c>
      <c r="F100" s="40">
        <f t="shared" si="23"/>
        <v>0</v>
      </c>
      <c r="G100" s="40">
        <f t="shared" si="20"/>
        <v>0</v>
      </c>
      <c r="H100" s="40">
        <f t="shared" si="24"/>
        <v>0</v>
      </c>
      <c r="I100" s="40">
        <v>0</v>
      </c>
      <c r="J100" s="40">
        <v>0</v>
      </c>
      <c r="K100" s="40">
        <v>0</v>
      </c>
      <c r="L100" s="40">
        <v>0</v>
      </c>
      <c r="M100" s="40">
        <v>0</v>
      </c>
      <c r="N100" s="41" t="s">
        <v>48</v>
      </c>
      <c r="O100" s="40">
        <v>0</v>
      </c>
      <c r="P100" s="41" t="s">
        <v>48</v>
      </c>
      <c r="Q100" s="40">
        <f t="shared" si="21"/>
        <v>0</v>
      </c>
      <c r="R100" s="40">
        <f t="shared" si="22"/>
        <v>0</v>
      </c>
      <c r="S100" s="56">
        <v>0</v>
      </c>
      <c r="T100" s="41" t="s">
        <v>48</v>
      </c>
    </row>
    <row r="101" spans="1:20" ht="28.5" x14ac:dyDescent="0.25">
      <c r="A101" s="11" t="s">
        <v>84</v>
      </c>
      <c r="B101" s="14" t="s">
        <v>80</v>
      </c>
      <c r="C101" s="15" t="s">
        <v>51</v>
      </c>
      <c r="D101" s="40">
        <f t="shared" si="1"/>
        <v>0</v>
      </c>
      <c r="E101" s="40">
        <v>0</v>
      </c>
      <c r="F101" s="40">
        <f t="shared" si="23"/>
        <v>0</v>
      </c>
      <c r="G101" s="40">
        <f t="shared" si="20"/>
        <v>0</v>
      </c>
      <c r="H101" s="40">
        <f t="shared" si="24"/>
        <v>0</v>
      </c>
      <c r="I101" s="40">
        <v>0</v>
      </c>
      <c r="J101" s="40">
        <v>0</v>
      </c>
      <c r="K101" s="40">
        <v>0</v>
      </c>
      <c r="L101" s="40">
        <v>0</v>
      </c>
      <c r="M101" s="40">
        <v>0</v>
      </c>
      <c r="N101" s="41" t="s">
        <v>48</v>
      </c>
      <c r="O101" s="40">
        <v>0</v>
      </c>
      <c r="P101" s="41" t="s">
        <v>48</v>
      </c>
      <c r="Q101" s="40">
        <f t="shared" si="21"/>
        <v>0</v>
      </c>
      <c r="R101" s="40">
        <f t="shared" si="22"/>
        <v>0</v>
      </c>
      <c r="S101" s="56">
        <v>0</v>
      </c>
      <c r="T101" s="41" t="s">
        <v>48</v>
      </c>
    </row>
    <row r="102" spans="1:20" ht="71.25" x14ac:dyDescent="0.25">
      <c r="A102" s="11" t="s">
        <v>84</v>
      </c>
      <c r="B102" s="14" t="s">
        <v>81</v>
      </c>
      <c r="C102" s="15" t="s">
        <v>51</v>
      </c>
      <c r="D102" s="40">
        <f t="shared" si="1"/>
        <v>0</v>
      </c>
      <c r="E102" s="40">
        <v>0</v>
      </c>
      <c r="F102" s="40">
        <f t="shared" si="23"/>
        <v>0</v>
      </c>
      <c r="G102" s="40">
        <f t="shared" si="20"/>
        <v>0</v>
      </c>
      <c r="H102" s="40">
        <f t="shared" si="24"/>
        <v>0</v>
      </c>
      <c r="I102" s="40">
        <v>0</v>
      </c>
      <c r="J102" s="40">
        <v>0</v>
      </c>
      <c r="K102" s="40">
        <v>0</v>
      </c>
      <c r="L102" s="40">
        <v>0</v>
      </c>
      <c r="M102" s="40">
        <v>0</v>
      </c>
      <c r="N102" s="41" t="s">
        <v>48</v>
      </c>
      <c r="O102" s="40">
        <v>0</v>
      </c>
      <c r="P102" s="41" t="s">
        <v>48</v>
      </c>
      <c r="Q102" s="40">
        <f t="shared" si="21"/>
        <v>0</v>
      </c>
      <c r="R102" s="40">
        <f t="shared" si="22"/>
        <v>0</v>
      </c>
      <c r="S102" s="56">
        <v>0</v>
      </c>
      <c r="T102" s="41" t="s">
        <v>48</v>
      </c>
    </row>
    <row r="103" spans="1:20" ht="57" x14ac:dyDescent="0.25">
      <c r="A103" s="11" t="s">
        <v>84</v>
      </c>
      <c r="B103" s="14" t="s">
        <v>82</v>
      </c>
      <c r="C103" s="15" t="s">
        <v>51</v>
      </c>
      <c r="D103" s="40">
        <f t="shared" si="1"/>
        <v>0</v>
      </c>
      <c r="E103" s="40">
        <v>0</v>
      </c>
      <c r="F103" s="40">
        <f t="shared" si="23"/>
        <v>0</v>
      </c>
      <c r="G103" s="40">
        <f t="shared" si="20"/>
        <v>0</v>
      </c>
      <c r="H103" s="40">
        <f t="shared" si="24"/>
        <v>0</v>
      </c>
      <c r="I103" s="40">
        <v>0</v>
      </c>
      <c r="J103" s="40">
        <v>0</v>
      </c>
      <c r="K103" s="40">
        <v>0</v>
      </c>
      <c r="L103" s="40">
        <v>0</v>
      </c>
      <c r="M103" s="40">
        <v>0</v>
      </c>
      <c r="N103" s="41" t="s">
        <v>48</v>
      </c>
      <c r="O103" s="40">
        <v>0</v>
      </c>
      <c r="P103" s="41" t="s">
        <v>48</v>
      </c>
      <c r="Q103" s="40">
        <f t="shared" si="21"/>
        <v>0</v>
      </c>
      <c r="R103" s="40">
        <f t="shared" si="22"/>
        <v>0</v>
      </c>
      <c r="S103" s="56">
        <v>0</v>
      </c>
      <c r="T103" s="41" t="s">
        <v>48</v>
      </c>
    </row>
    <row r="104" spans="1:20" ht="57" x14ac:dyDescent="0.25">
      <c r="A104" s="11" t="s">
        <v>84</v>
      </c>
      <c r="B104" s="14" t="s">
        <v>85</v>
      </c>
      <c r="C104" s="15" t="s">
        <v>51</v>
      </c>
      <c r="D104" s="40">
        <f t="shared" si="1"/>
        <v>0</v>
      </c>
      <c r="E104" s="40">
        <v>0</v>
      </c>
      <c r="F104" s="40">
        <f t="shared" si="23"/>
        <v>0</v>
      </c>
      <c r="G104" s="40">
        <f t="shared" si="20"/>
        <v>0</v>
      </c>
      <c r="H104" s="40">
        <f t="shared" si="24"/>
        <v>0</v>
      </c>
      <c r="I104" s="40">
        <v>0</v>
      </c>
      <c r="J104" s="40">
        <v>0</v>
      </c>
      <c r="K104" s="40">
        <v>0</v>
      </c>
      <c r="L104" s="40">
        <v>0</v>
      </c>
      <c r="M104" s="40">
        <v>0</v>
      </c>
      <c r="N104" s="41" t="s">
        <v>48</v>
      </c>
      <c r="O104" s="40">
        <v>0</v>
      </c>
      <c r="P104" s="41" t="s">
        <v>48</v>
      </c>
      <c r="Q104" s="40">
        <f t="shared" si="21"/>
        <v>0</v>
      </c>
      <c r="R104" s="40">
        <f t="shared" si="22"/>
        <v>0</v>
      </c>
      <c r="S104" s="56">
        <v>0</v>
      </c>
      <c r="T104" s="41" t="s">
        <v>48</v>
      </c>
    </row>
    <row r="105" spans="1:20" ht="57" x14ac:dyDescent="0.25">
      <c r="A105" s="11" t="s">
        <v>86</v>
      </c>
      <c r="B105" s="14" t="s">
        <v>87</v>
      </c>
      <c r="C105" s="15" t="s">
        <v>51</v>
      </c>
      <c r="D105" s="40">
        <f t="shared" si="1"/>
        <v>6.8739258219840007</v>
      </c>
      <c r="E105" s="40">
        <f>E106+E127</f>
        <v>0.13697982</v>
      </c>
      <c r="F105" s="40">
        <f t="shared" si="23"/>
        <v>6.7369460019840011</v>
      </c>
      <c r="G105" s="40">
        <f t="shared" si="20"/>
        <v>6.8739258219840007</v>
      </c>
      <c r="H105" s="40">
        <f t="shared" si="24"/>
        <v>1.2932603039999999</v>
      </c>
      <c r="I105" s="40">
        <f>I106+I127</f>
        <v>0.1509604776</v>
      </c>
      <c r="J105" s="40">
        <f>J106+J127</f>
        <v>1.005486624</v>
      </c>
      <c r="K105" s="40">
        <v>0</v>
      </c>
      <c r="L105" s="40">
        <f>L106+L127</f>
        <v>0.28777368000000003</v>
      </c>
      <c r="M105" s="40">
        <v>0</v>
      </c>
      <c r="N105" s="41" t="s">
        <v>48</v>
      </c>
      <c r="O105" s="40">
        <v>6.7229653443840007</v>
      </c>
      <c r="P105" s="41" t="s">
        <v>48</v>
      </c>
      <c r="Q105" s="40">
        <f t="shared" si="21"/>
        <v>5.4436856979840016</v>
      </c>
      <c r="R105" s="40">
        <f t="shared" si="22"/>
        <v>1.1422998263999999</v>
      </c>
      <c r="S105" s="56">
        <f t="shared" ref="S105:S107" si="25">(J105+L105)/(I105+K105)*100-100</f>
        <v>756.68800507292508</v>
      </c>
      <c r="T105" s="41" t="s">
        <v>48</v>
      </c>
    </row>
    <row r="106" spans="1:20" ht="42.75" x14ac:dyDescent="0.25">
      <c r="A106" s="11" t="s">
        <v>88</v>
      </c>
      <c r="B106" s="14" t="s">
        <v>89</v>
      </c>
      <c r="C106" s="15" t="s">
        <v>51</v>
      </c>
      <c r="D106" s="40">
        <f t="shared" si="1"/>
        <v>2.8985108739840002</v>
      </c>
      <c r="E106" s="40">
        <f>SUM(E107:E124)</f>
        <v>7.3034652000000005E-2</v>
      </c>
      <c r="F106" s="40">
        <f t="shared" si="23"/>
        <v>2.8254762219840002</v>
      </c>
      <c r="G106" s="40">
        <f t="shared" si="20"/>
        <v>2.8985108739840002</v>
      </c>
      <c r="H106" s="40">
        <f t="shared" si="24"/>
        <v>0.85816012800000008</v>
      </c>
      <c r="I106" s="40">
        <f>SUM(I107:I126)</f>
        <v>0.1509604776</v>
      </c>
      <c r="J106" s="40">
        <f>SUM(J107:J126)</f>
        <v>0.61683454800000004</v>
      </c>
      <c r="K106" s="40">
        <v>0</v>
      </c>
      <c r="L106" s="40">
        <f>SUM(L107:L126)</f>
        <v>0.24132558000000001</v>
      </c>
      <c r="M106" s="40">
        <v>0</v>
      </c>
      <c r="N106" s="41" t="s">
        <v>48</v>
      </c>
      <c r="O106" s="40">
        <v>2.7475503963840002</v>
      </c>
      <c r="P106" s="41" t="s">
        <v>48</v>
      </c>
      <c r="Q106" s="40">
        <f t="shared" si="21"/>
        <v>1.967316093984</v>
      </c>
      <c r="R106" s="40">
        <f t="shared" si="22"/>
        <v>0.7071996504000001</v>
      </c>
      <c r="S106" s="56">
        <f t="shared" si="25"/>
        <v>468.46675477131635</v>
      </c>
      <c r="T106" s="41" t="s">
        <v>48</v>
      </c>
    </row>
    <row r="107" spans="1:20" ht="30" x14ac:dyDescent="0.25">
      <c r="A107" s="19" t="s">
        <v>88</v>
      </c>
      <c r="B107" s="20" t="s">
        <v>90</v>
      </c>
      <c r="C107" s="21" t="s">
        <v>91</v>
      </c>
      <c r="D107" s="39">
        <f t="shared" si="1"/>
        <v>2.8985108739840002</v>
      </c>
      <c r="E107" s="39">
        <v>0</v>
      </c>
      <c r="F107" s="39">
        <f t="shared" si="23"/>
        <v>2.8985108739840002</v>
      </c>
      <c r="G107" s="39">
        <f t="shared" si="20"/>
        <v>2.8985108739840002</v>
      </c>
      <c r="H107" s="39">
        <f t="shared" si="24"/>
        <v>0</v>
      </c>
      <c r="I107" s="39">
        <v>0.1509604776</v>
      </c>
      <c r="J107" s="39">
        <v>0</v>
      </c>
      <c r="K107" s="39">
        <v>0</v>
      </c>
      <c r="L107" s="39">
        <v>0</v>
      </c>
      <c r="M107" s="39">
        <v>0</v>
      </c>
      <c r="N107" s="38" t="s">
        <v>48</v>
      </c>
      <c r="O107" s="39">
        <v>2.7475503963840002</v>
      </c>
      <c r="P107" s="38" t="s">
        <v>48</v>
      </c>
      <c r="Q107" s="39">
        <f t="shared" si="21"/>
        <v>2.8985108739840002</v>
      </c>
      <c r="R107" s="39">
        <f t="shared" si="22"/>
        <v>-0.1509604776</v>
      </c>
      <c r="S107" s="68">
        <f t="shared" si="25"/>
        <v>-100</v>
      </c>
      <c r="T107" s="38" t="s">
        <v>48</v>
      </c>
    </row>
    <row r="108" spans="1:20" ht="33.75" customHeight="1" x14ac:dyDescent="0.25">
      <c r="A108" s="19" t="s">
        <v>88</v>
      </c>
      <c r="B108" s="48" t="s">
        <v>333</v>
      </c>
      <c r="C108" s="49" t="s">
        <v>221</v>
      </c>
      <c r="D108" s="39">
        <f t="shared" si="1"/>
        <v>0</v>
      </c>
      <c r="E108" s="39">
        <v>0</v>
      </c>
      <c r="F108" s="39">
        <f t="shared" si="23"/>
        <v>0</v>
      </c>
      <c r="G108" s="39">
        <f t="shared" si="20"/>
        <v>0</v>
      </c>
      <c r="H108" s="39">
        <f t="shared" si="24"/>
        <v>9.492318000000001E-2</v>
      </c>
      <c r="I108" s="39">
        <v>0</v>
      </c>
      <c r="J108" s="39">
        <v>9.492318000000001E-2</v>
      </c>
      <c r="K108" s="39">
        <v>0</v>
      </c>
      <c r="L108" s="39">
        <v>0</v>
      </c>
      <c r="M108" s="39">
        <v>0</v>
      </c>
      <c r="N108" s="38" t="s">
        <v>48</v>
      </c>
      <c r="O108" s="39">
        <v>0</v>
      </c>
      <c r="P108" s="38" t="s">
        <v>48</v>
      </c>
      <c r="Q108" s="39">
        <f t="shared" si="21"/>
        <v>-9.492318000000001E-2</v>
      </c>
      <c r="R108" s="39">
        <f t="shared" si="22"/>
        <v>9.492318000000001E-2</v>
      </c>
      <c r="S108" s="68">
        <v>0</v>
      </c>
      <c r="T108" s="42" t="s">
        <v>437</v>
      </c>
    </row>
    <row r="109" spans="1:20" ht="34.5" customHeight="1" x14ac:dyDescent="0.25">
      <c r="A109" s="19" t="s">
        <v>88</v>
      </c>
      <c r="B109" s="48" t="s">
        <v>334</v>
      </c>
      <c r="C109" s="49" t="s">
        <v>255</v>
      </c>
      <c r="D109" s="39">
        <f t="shared" si="1"/>
        <v>0</v>
      </c>
      <c r="E109" s="39">
        <v>0</v>
      </c>
      <c r="F109" s="39">
        <f t="shared" si="23"/>
        <v>0</v>
      </c>
      <c r="G109" s="39">
        <f t="shared" si="20"/>
        <v>0</v>
      </c>
      <c r="H109" s="39">
        <f t="shared" si="24"/>
        <v>7.9978355999999987E-2</v>
      </c>
      <c r="I109" s="39">
        <v>0</v>
      </c>
      <c r="J109" s="39">
        <v>7.9978355999999987E-2</v>
      </c>
      <c r="K109" s="39">
        <v>0</v>
      </c>
      <c r="L109" s="39">
        <v>0</v>
      </c>
      <c r="M109" s="39">
        <v>0</v>
      </c>
      <c r="N109" s="38" t="s">
        <v>48</v>
      </c>
      <c r="O109" s="39">
        <v>0</v>
      </c>
      <c r="P109" s="38" t="s">
        <v>48</v>
      </c>
      <c r="Q109" s="39">
        <f t="shared" si="21"/>
        <v>-7.9978355999999987E-2</v>
      </c>
      <c r="R109" s="39">
        <f t="shared" si="22"/>
        <v>7.9978355999999987E-2</v>
      </c>
      <c r="S109" s="68">
        <v>0</v>
      </c>
      <c r="T109" s="42" t="s">
        <v>437</v>
      </c>
    </row>
    <row r="110" spans="1:20" ht="34.5" customHeight="1" x14ac:dyDescent="0.25">
      <c r="A110" s="19" t="s">
        <v>88</v>
      </c>
      <c r="B110" s="48" t="s">
        <v>335</v>
      </c>
      <c r="C110" s="49" t="s">
        <v>253</v>
      </c>
      <c r="D110" s="39">
        <f t="shared" si="1"/>
        <v>0</v>
      </c>
      <c r="E110" s="39">
        <v>0</v>
      </c>
      <c r="F110" s="39">
        <f t="shared" si="23"/>
        <v>0</v>
      </c>
      <c r="G110" s="39">
        <f t="shared" si="20"/>
        <v>0</v>
      </c>
      <c r="H110" s="39">
        <f t="shared" si="24"/>
        <v>0.11273455199999999</v>
      </c>
      <c r="I110" s="39">
        <v>0</v>
      </c>
      <c r="J110" s="39">
        <v>0.11273455199999999</v>
      </c>
      <c r="K110" s="39">
        <v>0</v>
      </c>
      <c r="L110" s="39">
        <v>0</v>
      </c>
      <c r="M110" s="39">
        <v>0</v>
      </c>
      <c r="N110" s="38" t="s">
        <v>48</v>
      </c>
      <c r="O110" s="39">
        <v>0</v>
      </c>
      <c r="P110" s="38" t="s">
        <v>48</v>
      </c>
      <c r="Q110" s="39">
        <f t="shared" si="21"/>
        <v>-0.11273455199999999</v>
      </c>
      <c r="R110" s="39">
        <f t="shared" si="22"/>
        <v>0.11273455199999999</v>
      </c>
      <c r="S110" s="68">
        <v>0</v>
      </c>
      <c r="T110" s="42" t="s">
        <v>437</v>
      </c>
    </row>
    <row r="111" spans="1:20" ht="34.5" customHeight="1" x14ac:dyDescent="0.25">
      <c r="A111" s="19" t="s">
        <v>88</v>
      </c>
      <c r="B111" s="48" t="s">
        <v>336</v>
      </c>
      <c r="C111" s="49" t="s">
        <v>227</v>
      </c>
      <c r="D111" s="39">
        <f t="shared" si="1"/>
        <v>0</v>
      </c>
      <c r="E111" s="39">
        <v>0</v>
      </c>
      <c r="F111" s="39">
        <f t="shared" si="23"/>
        <v>0</v>
      </c>
      <c r="G111" s="39">
        <f t="shared" si="20"/>
        <v>0</v>
      </c>
      <c r="H111" s="39">
        <f t="shared" si="24"/>
        <v>1.0154688000000002E-2</v>
      </c>
      <c r="I111" s="39">
        <v>0</v>
      </c>
      <c r="J111" s="39">
        <v>1.0154688000000002E-2</v>
      </c>
      <c r="K111" s="39">
        <v>0</v>
      </c>
      <c r="L111" s="39">
        <v>0</v>
      </c>
      <c r="M111" s="39">
        <v>0</v>
      </c>
      <c r="N111" s="38" t="s">
        <v>48</v>
      </c>
      <c r="O111" s="39">
        <v>0</v>
      </c>
      <c r="P111" s="38" t="s">
        <v>48</v>
      </c>
      <c r="Q111" s="39">
        <f t="shared" si="21"/>
        <v>-1.0154688000000002E-2</v>
      </c>
      <c r="R111" s="39">
        <f t="shared" si="22"/>
        <v>1.0154688000000002E-2</v>
      </c>
      <c r="S111" s="68">
        <v>0</v>
      </c>
      <c r="T111" s="42" t="s">
        <v>437</v>
      </c>
    </row>
    <row r="112" spans="1:20" ht="30" x14ac:dyDescent="0.25">
      <c r="A112" s="19" t="s">
        <v>88</v>
      </c>
      <c r="B112" s="48" t="s">
        <v>337</v>
      </c>
      <c r="C112" s="49" t="s">
        <v>229</v>
      </c>
      <c r="D112" s="39">
        <f t="shared" si="1"/>
        <v>0</v>
      </c>
      <c r="E112" s="39">
        <v>0</v>
      </c>
      <c r="F112" s="39">
        <f t="shared" si="23"/>
        <v>0</v>
      </c>
      <c r="G112" s="39">
        <f t="shared" si="20"/>
        <v>0</v>
      </c>
      <c r="H112" s="39">
        <f t="shared" si="24"/>
        <v>5.9166047999999999E-2</v>
      </c>
      <c r="I112" s="39">
        <v>0</v>
      </c>
      <c r="J112" s="39">
        <v>2.0349599999999999E-2</v>
      </c>
      <c r="K112" s="39">
        <v>0</v>
      </c>
      <c r="L112" s="39">
        <v>3.8816447999999996E-2</v>
      </c>
      <c r="M112" s="39">
        <v>0</v>
      </c>
      <c r="N112" s="38" t="s">
        <v>48</v>
      </c>
      <c r="O112" s="39">
        <v>0</v>
      </c>
      <c r="P112" s="38" t="s">
        <v>48</v>
      </c>
      <c r="Q112" s="39">
        <f t="shared" si="21"/>
        <v>-5.9166047999999999E-2</v>
      </c>
      <c r="R112" s="39">
        <f t="shared" si="22"/>
        <v>5.9166047999999999E-2</v>
      </c>
      <c r="S112" s="68">
        <v>0</v>
      </c>
      <c r="T112" s="42" t="s">
        <v>437</v>
      </c>
    </row>
    <row r="113" spans="1:20" ht="30" x14ac:dyDescent="0.25">
      <c r="A113" s="19" t="s">
        <v>88</v>
      </c>
      <c r="B113" s="48" t="s">
        <v>338</v>
      </c>
      <c r="C113" s="49" t="s">
        <v>339</v>
      </c>
      <c r="D113" s="39">
        <f t="shared" si="1"/>
        <v>0</v>
      </c>
      <c r="E113" s="39">
        <f>60862.21*1.2/1000000</f>
        <v>7.3034652000000005E-2</v>
      </c>
      <c r="F113" s="39">
        <f t="shared" si="23"/>
        <v>-7.3034652000000005E-2</v>
      </c>
      <c r="G113" s="39">
        <f t="shared" si="20"/>
        <v>0</v>
      </c>
      <c r="H113" s="39">
        <f t="shared" si="24"/>
        <v>2.3645999999999997E-2</v>
      </c>
      <c r="I113" s="39">
        <v>0</v>
      </c>
      <c r="J113" s="39">
        <v>2.3645999999999997E-2</v>
      </c>
      <c r="K113" s="39">
        <v>0</v>
      </c>
      <c r="L113" s="39">
        <v>0</v>
      </c>
      <c r="M113" s="39">
        <v>0</v>
      </c>
      <c r="N113" s="38" t="s">
        <v>48</v>
      </c>
      <c r="O113" s="39">
        <v>0</v>
      </c>
      <c r="P113" s="38" t="s">
        <v>48</v>
      </c>
      <c r="Q113" s="39">
        <f t="shared" si="21"/>
        <v>-9.6680652000000006E-2</v>
      </c>
      <c r="R113" s="39">
        <f t="shared" si="22"/>
        <v>2.3645999999999997E-2</v>
      </c>
      <c r="S113" s="68">
        <v>0</v>
      </c>
      <c r="T113" s="42" t="s">
        <v>433</v>
      </c>
    </row>
    <row r="114" spans="1:20" ht="30" x14ac:dyDescent="0.25">
      <c r="A114" s="19" t="s">
        <v>88</v>
      </c>
      <c r="B114" s="48" t="s">
        <v>340</v>
      </c>
      <c r="C114" s="49" t="s">
        <v>309</v>
      </c>
      <c r="D114" s="39">
        <f t="shared" si="1"/>
        <v>0</v>
      </c>
      <c r="E114" s="39">
        <v>0</v>
      </c>
      <c r="F114" s="39">
        <f t="shared" si="23"/>
        <v>0</v>
      </c>
      <c r="G114" s="39">
        <f t="shared" si="20"/>
        <v>0</v>
      </c>
      <c r="H114" s="39">
        <f t="shared" si="24"/>
        <v>0.10787787600000001</v>
      </c>
      <c r="I114" s="39">
        <v>0</v>
      </c>
      <c r="J114" s="39">
        <v>0.10787787600000001</v>
      </c>
      <c r="K114" s="39">
        <v>0</v>
      </c>
      <c r="L114" s="39">
        <v>0</v>
      </c>
      <c r="M114" s="39">
        <v>0</v>
      </c>
      <c r="N114" s="38" t="s">
        <v>48</v>
      </c>
      <c r="O114" s="39">
        <v>0</v>
      </c>
      <c r="P114" s="38" t="s">
        <v>48</v>
      </c>
      <c r="Q114" s="39">
        <f t="shared" si="21"/>
        <v>-0.10787787600000001</v>
      </c>
      <c r="R114" s="39">
        <f t="shared" si="22"/>
        <v>0.10787787600000001</v>
      </c>
      <c r="S114" s="68">
        <v>0</v>
      </c>
      <c r="T114" s="42" t="s">
        <v>437</v>
      </c>
    </row>
    <row r="115" spans="1:20" ht="30" x14ac:dyDescent="0.25">
      <c r="A115" s="19" t="s">
        <v>88</v>
      </c>
      <c r="B115" s="48" t="s">
        <v>341</v>
      </c>
      <c r="C115" s="49" t="s">
        <v>311</v>
      </c>
      <c r="D115" s="39">
        <f t="shared" si="1"/>
        <v>0</v>
      </c>
      <c r="E115" s="39">
        <v>0</v>
      </c>
      <c r="F115" s="39">
        <f t="shared" si="23"/>
        <v>0</v>
      </c>
      <c r="G115" s="39">
        <f t="shared" si="20"/>
        <v>0</v>
      </c>
      <c r="H115" s="39">
        <f t="shared" si="24"/>
        <v>5.6492472000000002E-2</v>
      </c>
      <c r="I115" s="39">
        <v>0</v>
      </c>
      <c r="J115" s="39">
        <v>5.6492472000000002E-2</v>
      </c>
      <c r="K115" s="39">
        <v>0</v>
      </c>
      <c r="L115" s="39">
        <v>0</v>
      </c>
      <c r="M115" s="39">
        <v>0</v>
      </c>
      <c r="N115" s="38" t="s">
        <v>48</v>
      </c>
      <c r="O115" s="39">
        <v>0</v>
      </c>
      <c r="P115" s="38" t="s">
        <v>48</v>
      </c>
      <c r="Q115" s="39">
        <f t="shared" si="21"/>
        <v>-5.6492472000000002E-2</v>
      </c>
      <c r="R115" s="39">
        <f t="shared" si="22"/>
        <v>5.6492472000000002E-2</v>
      </c>
      <c r="S115" s="68">
        <v>0</v>
      </c>
      <c r="T115" s="42" t="s">
        <v>437</v>
      </c>
    </row>
    <row r="116" spans="1:20" ht="30" x14ac:dyDescent="0.25">
      <c r="A116" s="19" t="s">
        <v>88</v>
      </c>
      <c r="B116" s="48" t="s">
        <v>342</v>
      </c>
      <c r="C116" s="49" t="s">
        <v>313</v>
      </c>
      <c r="D116" s="39">
        <f t="shared" si="1"/>
        <v>0</v>
      </c>
      <c r="E116" s="39">
        <v>0</v>
      </c>
      <c r="F116" s="39">
        <f t="shared" si="23"/>
        <v>0</v>
      </c>
      <c r="G116" s="39">
        <f t="shared" si="20"/>
        <v>0</v>
      </c>
      <c r="H116" s="39">
        <f t="shared" si="24"/>
        <v>5.1785639999999994E-2</v>
      </c>
      <c r="I116" s="39">
        <v>0</v>
      </c>
      <c r="J116" s="39">
        <v>5.1785639999999994E-2</v>
      </c>
      <c r="K116" s="39">
        <v>0</v>
      </c>
      <c r="L116" s="39">
        <v>0</v>
      </c>
      <c r="M116" s="39">
        <v>0</v>
      </c>
      <c r="N116" s="38" t="s">
        <v>48</v>
      </c>
      <c r="O116" s="39">
        <v>0</v>
      </c>
      <c r="P116" s="38" t="s">
        <v>48</v>
      </c>
      <c r="Q116" s="39">
        <f t="shared" si="21"/>
        <v>-5.1785639999999994E-2</v>
      </c>
      <c r="R116" s="39">
        <f t="shared" si="22"/>
        <v>5.1785639999999994E-2</v>
      </c>
      <c r="S116" s="68">
        <v>0</v>
      </c>
      <c r="T116" s="42" t="s">
        <v>437</v>
      </c>
    </row>
    <row r="117" spans="1:20" ht="30" x14ac:dyDescent="0.25">
      <c r="A117" s="19" t="s">
        <v>88</v>
      </c>
      <c r="B117" s="48" t="s">
        <v>343</v>
      </c>
      <c r="C117" s="49" t="s">
        <v>315</v>
      </c>
      <c r="D117" s="39">
        <f t="shared" si="1"/>
        <v>0</v>
      </c>
      <c r="E117" s="39">
        <v>0</v>
      </c>
      <c r="F117" s="39">
        <f t="shared" si="23"/>
        <v>0</v>
      </c>
      <c r="G117" s="39">
        <f t="shared" si="20"/>
        <v>0</v>
      </c>
      <c r="H117" s="39">
        <f t="shared" si="24"/>
        <v>2.9212319999999997E-3</v>
      </c>
      <c r="I117" s="39">
        <v>0</v>
      </c>
      <c r="J117" s="39">
        <v>2.9212319999999997E-3</v>
      </c>
      <c r="K117" s="39">
        <v>0</v>
      </c>
      <c r="L117" s="74">
        <v>0</v>
      </c>
      <c r="M117" s="39">
        <v>0</v>
      </c>
      <c r="N117" s="38" t="s">
        <v>48</v>
      </c>
      <c r="O117" s="39">
        <v>0</v>
      </c>
      <c r="P117" s="38" t="s">
        <v>48</v>
      </c>
      <c r="Q117" s="39">
        <f t="shared" si="21"/>
        <v>-2.9212319999999997E-3</v>
      </c>
      <c r="R117" s="39">
        <f t="shared" si="22"/>
        <v>2.9212319999999997E-3</v>
      </c>
      <c r="S117" s="68">
        <v>0</v>
      </c>
      <c r="T117" s="42" t="s">
        <v>437</v>
      </c>
    </row>
    <row r="118" spans="1:20" ht="30" x14ac:dyDescent="0.25">
      <c r="A118" s="19" t="s">
        <v>88</v>
      </c>
      <c r="B118" s="48" t="s">
        <v>344</v>
      </c>
      <c r="C118" s="49" t="s">
        <v>317</v>
      </c>
      <c r="D118" s="39">
        <f t="shared" si="1"/>
        <v>0</v>
      </c>
      <c r="E118" s="39">
        <v>0</v>
      </c>
      <c r="F118" s="39">
        <f t="shared" si="23"/>
        <v>0</v>
      </c>
      <c r="G118" s="39">
        <f t="shared" si="20"/>
        <v>0</v>
      </c>
      <c r="H118" s="39">
        <f t="shared" si="24"/>
        <v>5.4000000000000001E-4</v>
      </c>
      <c r="I118" s="39">
        <v>0</v>
      </c>
      <c r="J118" s="39">
        <v>5.4000000000000001E-4</v>
      </c>
      <c r="K118" s="39">
        <v>0</v>
      </c>
      <c r="L118" s="39">
        <v>0</v>
      </c>
      <c r="M118" s="39">
        <v>0</v>
      </c>
      <c r="N118" s="38" t="s">
        <v>48</v>
      </c>
      <c r="O118" s="39">
        <v>0</v>
      </c>
      <c r="P118" s="38" t="s">
        <v>48</v>
      </c>
      <c r="Q118" s="39">
        <f t="shared" si="21"/>
        <v>-5.4000000000000001E-4</v>
      </c>
      <c r="R118" s="39">
        <f t="shared" si="22"/>
        <v>5.4000000000000001E-4</v>
      </c>
      <c r="S118" s="68">
        <v>0</v>
      </c>
      <c r="T118" s="42" t="s">
        <v>437</v>
      </c>
    </row>
    <row r="119" spans="1:20" ht="30" x14ac:dyDescent="0.25">
      <c r="A119" s="19" t="s">
        <v>88</v>
      </c>
      <c r="B119" s="48" t="s">
        <v>345</v>
      </c>
      <c r="C119" s="49" t="s">
        <v>319</v>
      </c>
      <c r="D119" s="39">
        <f t="shared" si="1"/>
        <v>0</v>
      </c>
      <c r="E119" s="39">
        <v>0</v>
      </c>
      <c r="F119" s="39">
        <f t="shared" si="23"/>
        <v>0</v>
      </c>
      <c r="G119" s="39">
        <f t="shared" si="20"/>
        <v>0</v>
      </c>
      <c r="H119" s="39">
        <f t="shared" si="24"/>
        <v>2.7120168E-2</v>
      </c>
      <c r="I119" s="39">
        <v>0</v>
      </c>
      <c r="J119" s="39">
        <v>2.7120168E-2</v>
      </c>
      <c r="K119" s="39">
        <v>0</v>
      </c>
      <c r="L119" s="39">
        <v>0</v>
      </c>
      <c r="M119" s="39">
        <v>0</v>
      </c>
      <c r="N119" s="38" t="s">
        <v>48</v>
      </c>
      <c r="O119" s="39">
        <v>0</v>
      </c>
      <c r="P119" s="38" t="s">
        <v>48</v>
      </c>
      <c r="Q119" s="39">
        <f t="shared" si="21"/>
        <v>-2.7120168E-2</v>
      </c>
      <c r="R119" s="39">
        <f t="shared" si="22"/>
        <v>2.7120168E-2</v>
      </c>
      <c r="S119" s="68">
        <v>0</v>
      </c>
      <c r="T119" s="42" t="s">
        <v>437</v>
      </c>
    </row>
    <row r="120" spans="1:20" ht="30" x14ac:dyDescent="0.25">
      <c r="A120" s="19" t="s">
        <v>88</v>
      </c>
      <c r="B120" s="48" t="s">
        <v>346</v>
      </c>
      <c r="C120" s="49" t="s">
        <v>347</v>
      </c>
      <c r="D120" s="39">
        <f t="shared" si="1"/>
        <v>0</v>
      </c>
      <c r="E120" s="39">
        <v>0</v>
      </c>
      <c r="F120" s="39">
        <f t="shared" si="23"/>
        <v>0</v>
      </c>
      <c r="G120" s="39">
        <f t="shared" si="20"/>
        <v>0</v>
      </c>
      <c r="H120" s="39">
        <f t="shared" si="24"/>
        <v>2.8310784000000002E-2</v>
      </c>
      <c r="I120" s="39">
        <v>0</v>
      </c>
      <c r="J120" s="39">
        <v>2.8310784000000002E-2</v>
      </c>
      <c r="K120" s="39">
        <v>0</v>
      </c>
      <c r="L120" s="39">
        <v>0</v>
      </c>
      <c r="M120" s="39">
        <v>0</v>
      </c>
      <c r="N120" s="38" t="s">
        <v>48</v>
      </c>
      <c r="O120" s="39">
        <v>0</v>
      </c>
      <c r="P120" s="38" t="s">
        <v>48</v>
      </c>
      <c r="Q120" s="39">
        <f t="shared" si="21"/>
        <v>-2.8310784000000002E-2</v>
      </c>
      <c r="R120" s="39">
        <f t="shared" si="22"/>
        <v>2.8310784000000002E-2</v>
      </c>
      <c r="S120" s="68">
        <v>0</v>
      </c>
      <c r="T120" s="42" t="s">
        <v>437</v>
      </c>
    </row>
    <row r="121" spans="1:20" ht="30" x14ac:dyDescent="0.25">
      <c r="A121" s="66" t="s">
        <v>88</v>
      </c>
      <c r="B121" s="48" t="s">
        <v>568</v>
      </c>
      <c r="C121" s="49" t="s">
        <v>229</v>
      </c>
      <c r="D121" s="39">
        <v>0</v>
      </c>
      <c r="E121" s="39">
        <v>0</v>
      </c>
      <c r="F121" s="39">
        <v>0</v>
      </c>
      <c r="G121" s="39">
        <v>0</v>
      </c>
      <c r="H121" s="39">
        <f t="shared" si="24"/>
        <v>8.4656700000000001E-2</v>
      </c>
      <c r="I121" s="39">
        <v>0</v>
      </c>
      <c r="J121" s="39">
        <v>0</v>
      </c>
      <c r="K121" s="39">
        <v>0</v>
      </c>
      <c r="L121" s="39">
        <v>8.4656700000000001E-2</v>
      </c>
      <c r="M121" s="39">
        <v>0</v>
      </c>
      <c r="N121" s="38" t="s">
        <v>48</v>
      </c>
      <c r="O121" s="39">
        <v>0</v>
      </c>
      <c r="P121" s="38" t="s">
        <v>48</v>
      </c>
      <c r="Q121" s="39">
        <f t="shared" si="21"/>
        <v>-8.4656700000000001E-2</v>
      </c>
      <c r="R121" s="39">
        <f t="shared" si="22"/>
        <v>8.4656700000000001E-2</v>
      </c>
      <c r="S121" s="68">
        <v>0</v>
      </c>
      <c r="T121" s="42" t="s">
        <v>437</v>
      </c>
    </row>
    <row r="122" spans="1:20" ht="30" x14ac:dyDescent="0.25">
      <c r="A122" s="66" t="s">
        <v>88</v>
      </c>
      <c r="B122" s="48" t="s">
        <v>569</v>
      </c>
      <c r="C122" s="49" t="s">
        <v>233</v>
      </c>
      <c r="D122" s="39">
        <v>0</v>
      </c>
      <c r="E122" s="39">
        <v>0</v>
      </c>
      <c r="F122" s="39">
        <v>0</v>
      </c>
      <c r="G122" s="39">
        <v>0</v>
      </c>
      <c r="H122" s="39">
        <f t="shared" si="24"/>
        <v>1.0646052E-2</v>
      </c>
      <c r="I122" s="39">
        <v>0</v>
      </c>
      <c r="J122" s="39">
        <v>0</v>
      </c>
      <c r="K122" s="39">
        <v>0</v>
      </c>
      <c r="L122" s="39">
        <v>1.0646052E-2</v>
      </c>
      <c r="M122" s="39">
        <v>0</v>
      </c>
      <c r="N122" s="38" t="s">
        <v>48</v>
      </c>
      <c r="O122" s="39">
        <v>0</v>
      </c>
      <c r="P122" s="38" t="s">
        <v>48</v>
      </c>
      <c r="Q122" s="39">
        <f t="shared" si="21"/>
        <v>-1.0646052E-2</v>
      </c>
      <c r="R122" s="39">
        <f t="shared" si="22"/>
        <v>1.0646052E-2</v>
      </c>
      <c r="S122" s="68">
        <v>0</v>
      </c>
      <c r="T122" s="42" t="s">
        <v>437</v>
      </c>
    </row>
    <row r="123" spans="1:20" ht="45" x14ac:dyDescent="0.25">
      <c r="A123" s="66" t="s">
        <v>88</v>
      </c>
      <c r="B123" s="48" t="s">
        <v>570</v>
      </c>
      <c r="C123" s="49" t="s">
        <v>571</v>
      </c>
      <c r="D123" s="39">
        <v>0</v>
      </c>
      <c r="E123" s="39">
        <v>0</v>
      </c>
      <c r="F123" s="39">
        <v>0</v>
      </c>
      <c r="G123" s="39">
        <v>0</v>
      </c>
      <c r="H123" s="39">
        <f t="shared" si="24"/>
        <v>1.9575599999999995E-2</v>
      </c>
      <c r="I123" s="39">
        <v>0</v>
      </c>
      <c r="J123" s="39">
        <v>0</v>
      </c>
      <c r="K123" s="39">
        <v>0</v>
      </c>
      <c r="L123" s="39">
        <v>1.9575599999999995E-2</v>
      </c>
      <c r="M123" s="39">
        <v>0</v>
      </c>
      <c r="N123" s="38" t="s">
        <v>48</v>
      </c>
      <c r="O123" s="39">
        <v>0</v>
      </c>
      <c r="P123" s="38" t="s">
        <v>48</v>
      </c>
      <c r="Q123" s="39">
        <f t="shared" si="21"/>
        <v>-1.9575599999999995E-2</v>
      </c>
      <c r="R123" s="39">
        <f t="shared" si="22"/>
        <v>1.9575599999999995E-2</v>
      </c>
      <c r="S123" s="68">
        <v>0</v>
      </c>
      <c r="T123" s="42" t="s">
        <v>440</v>
      </c>
    </row>
    <row r="124" spans="1:20" ht="30" x14ac:dyDescent="0.25">
      <c r="A124" s="66" t="s">
        <v>88</v>
      </c>
      <c r="B124" s="48" t="s">
        <v>572</v>
      </c>
      <c r="C124" s="49" t="s">
        <v>573</v>
      </c>
      <c r="D124" s="39">
        <v>0</v>
      </c>
      <c r="E124" s="39">
        <v>0</v>
      </c>
      <c r="F124" s="39">
        <v>0</v>
      </c>
      <c r="G124" s="39">
        <v>0</v>
      </c>
      <c r="H124" s="39">
        <f t="shared" si="24"/>
        <v>6.0000000000000001E-3</v>
      </c>
      <c r="I124" s="39">
        <v>0</v>
      </c>
      <c r="J124" s="39">
        <v>0</v>
      </c>
      <c r="K124" s="39">
        <v>0</v>
      </c>
      <c r="L124" s="39">
        <v>6.0000000000000001E-3</v>
      </c>
      <c r="M124" s="39">
        <v>0</v>
      </c>
      <c r="N124" s="38" t="s">
        <v>48</v>
      </c>
      <c r="O124" s="39">
        <v>0</v>
      </c>
      <c r="P124" s="38" t="s">
        <v>48</v>
      </c>
      <c r="Q124" s="39">
        <f t="shared" si="21"/>
        <v>-6.0000000000000001E-3</v>
      </c>
      <c r="R124" s="39">
        <f t="shared" si="22"/>
        <v>6.0000000000000001E-3</v>
      </c>
      <c r="S124" s="68">
        <v>0</v>
      </c>
      <c r="T124" s="42" t="s">
        <v>437</v>
      </c>
    </row>
    <row r="125" spans="1:20" ht="30" x14ac:dyDescent="0.25">
      <c r="A125" s="66" t="s">
        <v>88</v>
      </c>
      <c r="B125" s="48" t="s">
        <v>574</v>
      </c>
      <c r="C125" s="49" t="s">
        <v>575</v>
      </c>
      <c r="D125" s="39">
        <v>0</v>
      </c>
      <c r="E125" s="39">
        <v>0</v>
      </c>
      <c r="F125" s="39">
        <v>0</v>
      </c>
      <c r="G125" s="39">
        <v>0</v>
      </c>
      <c r="H125" s="39">
        <f t="shared" si="24"/>
        <v>2.9204363999999997E-2</v>
      </c>
      <c r="I125" s="39">
        <v>0</v>
      </c>
      <c r="J125" s="39">
        <v>0</v>
      </c>
      <c r="K125" s="39">
        <v>0</v>
      </c>
      <c r="L125" s="39">
        <v>2.9204363999999997E-2</v>
      </c>
      <c r="M125" s="39">
        <v>0</v>
      </c>
      <c r="N125" s="38" t="s">
        <v>48</v>
      </c>
      <c r="O125" s="39">
        <v>0</v>
      </c>
      <c r="P125" s="38" t="s">
        <v>48</v>
      </c>
      <c r="Q125" s="39">
        <f t="shared" si="21"/>
        <v>-2.9204363999999997E-2</v>
      </c>
      <c r="R125" s="39">
        <f t="shared" si="22"/>
        <v>2.9204363999999997E-2</v>
      </c>
      <c r="S125" s="68">
        <v>0</v>
      </c>
      <c r="T125" s="42" t="s">
        <v>437</v>
      </c>
    </row>
    <row r="126" spans="1:20" ht="30" x14ac:dyDescent="0.25">
      <c r="A126" s="66" t="s">
        <v>88</v>
      </c>
      <c r="B126" s="48" t="s">
        <v>576</v>
      </c>
      <c r="C126" s="49" t="s">
        <v>577</v>
      </c>
      <c r="D126" s="39">
        <v>0</v>
      </c>
      <c r="E126" s="39">
        <v>0</v>
      </c>
      <c r="F126" s="39">
        <v>0</v>
      </c>
      <c r="G126" s="39">
        <v>0</v>
      </c>
      <c r="H126" s="39">
        <f t="shared" si="24"/>
        <v>5.2426415999999997E-2</v>
      </c>
      <c r="I126" s="39">
        <v>0</v>
      </c>
      <c r="J126" s="39">
        <v>0</v>
      </c>
      <c r="K126" s="39">
        <v>0</v>
      </c>
      <c r="L126" s="39">
        <v>5.2426415999999997E-2</v>
      </c>
      <c r="M126" s="39">
        <v>0</v>
      </c>
      <c r="N126" s="38" t="s">
        <v>48</v>
      </c>
      <c r="O126" s="39">
        <v>0</v>
      </c>
      <c r="P126" s="38" t="s">
        <v>48</v>
      </c>
      <c r="Q126" s="39">
        <f t="shared" si="21"/>
        <v>-5.2426415999999997E-2</v>
      </c>
      <c r="R126" s="39">
        <f t="shared" si="22"/>
        <v>5.2426415999999997E-2</v>
      </c>
      <c r="S126" s="68">
        <v>0</v>
      </c>
      <c r="T126" s="42" t="s">
        <v>437</v>
      </c>
    </row>
    <row r="127" spans="1:20" ht="57" x14ac:dyDescent="0.25">
      <c r="A127" s="11" t="s">
        <v>92</v>
      </c>
      <c r="B127" s="14" t="s">
        <v>93</v>
      </c>
      <c r="C127" s="15" t="s">
        <v>51</v>
      </c>
      <c r="D127" s="40">
        <f t="shared" si="1"/>
        <v>3.9754149480000005</v>
      </c>
      <c r="E127" s="40">
        <f t="shared" ref="E127:K127" si="26">SUM(E128:E147)</f>
        <v>6.3945167999999997E-2</v>
      </c>
      <c r="F127" s="40">
        <f t="shared" si="23"/>
        <v>3.9114697800000005</v>
      </c>
      <c r="G127" s="40">
        <f t="shared" si="26"/>
        <v>3.9754149480000005</v>
      </c>
      <c r="H127" s="40">
        <f t="shared" si="24"/>
        <v>0.43510017600000001</v>
      </c>
      <c r="I127" s="40">
        <f t="shared" ref="I127" si="27">SUM(I128:I147)</f>
        <v>0</v>
      </c>
      <c r="J127" s="40">
        <f t="shared" ref="J127:L127" si="28">SUM(J128:J147)</f>
        <v>0.38865207600000001</v>
      </c>
      <c r="K127" s="40">
        <f t="shared" si="26"/>
        <v>0</v>
      </c>
      <c r="L127" s="40">
        <f t="shared" si="28"/>
        <v>4.6448100000000006E-2</v>
      </c>
      <c r="M127" s="40">
        <f>SUM(M128:M147)</f>
        <v>0</v>
      </c>
      <c r="N127" s="41" t="s">
        <v>48</v>
      </c>
      <c r="O127" s="40">
        <f>SUM(O128:O147)</f>
        <v>3.9754149480000005</v>
      </c>
      <c r="P127" s="41" t="s">
        <v>48</v>
      </c>
      <c r="Q127" s="40">
        <f t="shared" si="21"/>
        <v>3.4763696040000003</v>
      </c>
      <c r="R127" s="40">
        <f t="shared" si="22"/>
        <v>0.43510017600000001</v>
      </c>
      <c r="S127" s="56">
        <v>0</v>
      </c>
      <c r="T127" s="41" t="s">
        <v>48</v>
      </c>
    </row>
    <row r="128" spans="1:20" x14ac:dyDescent="0.25">
      <c r="A128" s="19" t="s">
        <v>92</v>
      </c>
      <c r="B128" s="35" t="s">
        <v>505</v>
      </c>
      <c r="C128" s="32" t="s">
        <v>506</v>
      </c>
      <c r="D128" s="39">
        <v>0</v>
      </c>
      <c r="E128" s="39">
        <f>26643.82*1.2/1000000</f>
        <v>3.1972583999999998E-2</v>
      </c>
      <c r="F128" s="39">
        <f t="shared" si="23"/>
        <v>-3.1972583999999998E-2</v>
      </c>
      <c r="G128" s="39">
        <v>0</v>
      </c>
      <c r="H128" s="39">
        <f t="shared" si="24"/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8" t="s">
        <v>48</v>
      </c>
      <c r="O128" s="39">
        <v>0</v>
      </c>
      <c r="P128" s="38" t="s">
        <v>48</v>
      </c>
      <c r="Q128" s="39">
        <f t="shared" si="21"/>
        <v>-3.1972583999999998E-2</v>
      </c>
      <c r="R128" s="39">
        <f t="shared" si="22"/>
        <v>0</v>
      </c>
      <c r="S128" s="68">
        <v>0</v>
      </c>
      <c r="T128" s="38" t="s">
        <v>48</v>
      </c>
    </row>
    <row r="129" spans="1:20" x14ac:dyDescent="0.25">
      <c r="A129" s="19" t="s">
        <v>92</v>
      </c>
      <c r="B129" s="35" t="s">
        <v>509</v>
      </c>
      <c r="C129" s="32" t="s">
        <v>510</v>
      </c>
      <c r="D129" s="39">
        <v>0</v>
      </c>
      <c r="E129" s="39">
        <f>26643.82*1.2/1000000</f>
        <v>3.1972583999999998E-2</v>
      </c>
      <c r="F129" s="39">
        <f t="shared" si="23"/>
        <v>-3.1972583999999998E-2</v>
      </c>
      <c r="G129" s="39">
        <v>0</v>
      </c>
      <c r="H129" s="39">
        <f t="shared" si="24"/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8" t="s">
        <v>48</v>
      </c>
      <c r="O129" s="39">
        <v>0</v>
      </c>
      <c r="P129" s="38" t="s">
        <v>48</v>
      </c>
      <c r="Q129" s="39">
        <f t="shared" si="21"/>
        <v>-3.1972583999999998E-2</v>
      </c>
      <c r="R129" s="39">
        <f t="shared" si="22"/>
        <v>0</v>
      </c>
      <c r="S129" s="68">
        <v>0</v>
      </c>
      <c r="T129" s="38" t="s">
        <v>48</v>
      </c>
    </row>
    <row r="130" spans="1:20" ht="30" x14ac:dyDescent="0.25">
      <c r="A130" s="28" t="s">
        <v>92</v>
      </c>
      <c r="B130" s="23" t="s">
        <v>182</v>
      </c>
      <c r="C130" s="50" t="s">
        <v>183</v>
      </c>
      <c r="D130" s="39">
        <f t="shared" ref="D130:D205" si="29">G130</f>
        <v>0.82580253599999986</v>
      </c>
      <c r="E130" s="39">
        <v>0</v>
      </c>
      <c r="F130" s="39">
        <f t="shared" si="23"/>
        <v>0.82580253599999986</v>
      </c>
      <c r="G130" s="39">
        <f t="shared" ref="G130:G139" si="30">I130+K130+M130+O130</f>
        <v>0.82580253599999986</v>
      </c>
      <c r="H130" s="39">
        <f t="shared" si="24"/>
        <v>0</v>
      </c>
      <c r="I130" s="39">
        <v>0</v>
      </c>
      <c r="J130" s="39">
        <v>0</v>
      </c>
      <c r="K130" s="39">
        <v>0</v>
      </c>
      <c r="L130" s="39">
        <v>0</v>
      </c>
      <c r="M130" s="39">
        <v>0</v>
      </c>
      <c r="N130" s="38" t="s">
        <v>48</v>
      </c>
      <c r="O130" s="39">
        <v>0.82580253599999986</v>
      </c>
      <c r="P130" s="38" t="s">
        <v>48</v>
      </c>
      <c r="Q130" s="39">
        <f t="shared" si="21"/>
        <v>0.82580253599999986</v>
      </c>
      <c r="R130" s="39">
        <f t="shared" si="22"/>
        <v>0</v>
      </c>
      <c r="S130" s="68">
        <v>0</v>
      </c>
      <c r="T130" s="80" t="s">
        <v>713</v>
      </c>
    </row>
    <row r="131" spans="1:20" x14ac:dyDescent="0.25">
      <c r="A131" s="28" t="s">
        <v>92</v>
      </c>
      <c r="B131" s="23" t="s">
        <v>349</v>
      </c>
      <c r="C131" s="50" t="s">
        <v>350</v>
      </c>
      <c r="D131" s="39">
        <f t="shared" si="29"/>
        <v>0</v>
      </c>
      <c r="E131" s="39">
        <v>0</v>
      </c>
      <c r="F131" s="39">
        <f t="shared" si="23"/>
        <v>0</v>
      </c>
      <c r="G131" s="39">
        <f t="shared" si="30"/>
        <v>0</v>
      </c>
      <c r="H131" s="39">
        <f t="shared" si="24"/>
        <v>4.9904759999999998E-3</v>
      </c>
      <c r="I131" s="39">
        <v>0</v>
      </c>
      <c r="J131" s="39">
        <v>4.9904759999999998E-3</v>
      </c>
      <c r="K131" s="39">
        <v>0</v>
      </c>
      <c r="L131" s="39">
        <v>0</v>
      </c>
      <c r="M131" s="39">
        <v>0</v>
      </c>
      <c r="N131" s="38" t="s">
        <v>48</v>
      </c>
      <c r="O131" s="39">
        <v>0</v>
      </c>
      <c r="P131" s="38" t="s">
        <v>48</v>
      </c>
      <c r="Q131" s="39">
        <f t="shared" si="21"/>
        <v>-4.9904759999999998E-3</v>
      </c>
      <c r="R131" s="39">
        <f t="shared" si="22"/>
        <v>4.9904759999999998E-3</v>
      </c>
      <c r="S131" s="68">
        <v>0</v>
      </c>
      <c r="T131" s="81"/>
    </row>
    <row r="132" spans="1:20" x14ac:dyDescent="0.25">
      <c r="A132" s="28" t="s">
        <v>92</v>
      </c>
      <c r="B132" s="23" t="s">
        <v>351</v>
      </c>
      <c r="C132" s="50" t="s">
        <v>352</v>
      </c>
      <c r="D132" s="39">
        <f t="shared" si="29"/>
        <v>0</v>
      </c>
      <c r="E132" s="39">
        <v>0</v>
      </c>
      <c r="F132" s="39">
        <f t="shared" si="23"/>
        <v>0</v>
      </c>
      <c r="G132" s="39">
        <f t="shared" si="30"/>
        <v>0</v>
      </c>
      <c r="H132" s="39">
        <f t="shared" si="24"/>
        <v>5.4585936000000002E-2</v>
      </c>
      <c r="I132" s="39">
        <v>0</v>
      </c>
      <c r="J132" s="39">
        <v>5.4585936000000002E-2</v>
      </c>
      <c r="K132" s="39">
        <v>0</v>
      </c>
      <c r="L132" s="39">
        <v>0</v>
      </c>
      <c r="M132" s="39">
        <v>0</v>
      </c>
      <c r="N132" s="38" t="s">
        <v>48</v>
      </c>
      <c r="O132" s="39">
        <v>0</v>
      </c>
      <c r="P132" s="38" t="s">
        <v>48</v>
      </c>
      <c r="Q132" s="39">
        <f t="shared" si="21"/>
        <v>-5.4585936000000002E-2</v>
      </c>
      <c r="R132" s="39">
        <f t="shared" si="22"/>
        <v>5.4585936000000002E-2</v>
      </c>
      <c r="S132" s="68">
        <v>0</v>
      </c>
      <c r="T132" s="81"/>
    </row>
    <row r="133" spans="1:20" x14ac:dyDescent="0.25">
      <c r="A133" s="28" t="s">
        <v>92</v>
      </c>
      <c r="B133" s="23" t="s">
        <v>353</v>
      </c>
      <c r="C133" s="50" t="s">
        <v>354</v>
      </c>
      <c r="D133" s="39">
        <f t="shared" si="29"/>
        <v>0</v>
      </c>
      <c r="E133" s="39">
        <v>0</v>
      </c>
      <c r="F133" s="39">
        <f t="shared" si="23"/>
        <v>0</v>
      </c>
      <c r="G133" s="39">
        <f t="shared" si="30"/>
        <v>0</v>
      </c>
      <c r="H133" s="39">
        <f t="shared" si="24"/>
        <v>1.456908E-2</v>
      </c>
      <c r="I133" s="39">
        <v>0</v>
      </c>
      <c r="J133" s="39">
        <v>1.456908E-2</v>
      </c>
      <c r="K133" s="39">
        <v>0</v>
      </c>
      <c r="L133" s="39">
        <v>0</v>
      </c>
      <c r="M133" s="39">
        <v>0</v>
      </c>
      <c r="N133" s="38" t="s">
        <v>48</v>
      </c>
      <c r="O133" s="39">
        <v>0</v>
      </c>
      <c r="P133" s="38" t="s">
        <v>48</v>
      </c>
      <c r="Q133" s="39">
        <f t="shared" si="21"/>
        <v>-1.456908E-2</v>
      </c>
      <c r="R133" s="39">
        <f t="shared" si="22"/>
        <v>1.456908E-2</v>
      </c>
      <c r="S133" s="68">
        <v>0</v>
      </c>
      <c r="T133" s="81"/>
    </row>
    <row r="134" spans="1:20" x14ac:dyDescent="0.25">
      <c r="A134" s="28" t="s">
        <v>92</v>
      </c>
      <c r="B134" s="23" t="s">
        <v>355</v>
      </c>
      <c r="C134" s="50" t="s">
        <v>356</v>
      </c>
      <c r="D134" s="39">
        <f t="shared" si="29"/>
        <v>0</v>
      </c>
      <c r="E134" s="39">
        <v>0</v>
      </c>
      <c r="F134" s="39">
        <f t="shared" si="23"/>
        <v>0</v>
      </c>
      <c r="G134" s="39">
        <f t="shared" si="30"/>
        <v>0</v>
      </c>
      <c r="H134" s="39">
        <f t="shared" si="24"/>
        <v>5.274936E-3</v>
      </c>
      <c r="I134" s="39">
        <v>0</v>
      </c>
      <c r="J134" s="39">
        <v>5.274936E-3</v>
      </c>
      <c r="K134" s="39">
        <v>0</v>
      </c>
      <c r="L134" s="39">
        <v>0</v>
      </c>
      <c r="M134" s="39">
        <v>0</v>
      </c>
      <c r="N134" s="38" t="s">
        <v>48</v>
      </c>
      <c r="O134" s="39">
        <v>0</v>
      </c>
      <c r="P134" s="38" t="s">
        <v>48</v>
      </c>
      <c r="Q134" s="39">
        <f t="shared" si="21"/>
        <v>-5.274936E-3</v>
      </c>
      <c r="R134" s="39">
        <f t="shared" si="22"/>
        <v>5.274936E-3</v>
      </c>
      <c r="S134" s="68">
        <v>0</v>
      </c>
      <c r="T134" s="81"/>
    </row>
    <row r="135" spans="1:20" x14ac:dyDescent="0.25">
      <c r="A135" s="28" t="s">
        <v>92</v>
      </c>
      <c r="B135" s="23" t="s">
        <v>357</v>
      </c>
      <c r="C135" s="50" t="s">
        <v>358</v>
      </c>
      <c r="D135" s="39">
        <f t="shared" si="29"/>
        <v>0</v>
      </c>
      <c r="E135" s="39">
        <v>0</v>
      </c>
      <c r="F135" s="39">
        <f t="shared" si="23"/>
        <v>0</v>
      </c>
      <c r="G135" s="39">
        <f t="shared" si="30"/>
        <v>0</v>
      </c>
      <c r="H135" s="39">
        <f t="shared" si="24"/>
        <v>7.5077520000000003E-3</v>
      </c>
      <c r="I135" s="39">
        <v>0</v>
      </c>
      <c r="J135" s="39">
        <v>7.5077520000000003E-3</v>
      </c>
      <c r="K135" s="39">
        <v>0</v>
      </c>
      <c r="L135" s="39">
        <v>0</v>
      </c>
      <c r="M135" s="39">
        <v>0</v>
      </c>
      <c r="N135" s="38" t="s">
        <v>48</v>
      </c>
      <c r="O135" s="39">
        <v>0</v>
      </c>
      <c r="P135" s="38" t="s">
        <v>48</v>
      </c>
      <c r="Q135" s="39">
        <f t="shared" si="21"/>
        <v>-7.5077520000000003E-3</v>
      </c>
      <c r="R135" s="39">
        <f t="shared" si="22"/>
        <v>7.5077520000000003E-3</v>
      </c>
      <c r="S135" s="68">
        <v>0</v>
      </c>
      <c r="T135" s="81"/>
    </row>
    <row r="136" spans="1:20" x14ac:dyDescent="0.25">
      <c r="A136" s="28" t="s">
        <v>92</v>
      </c>
      <c r="B136" s="23" t="s">
        <v>359</v>
      </c>
      <c r="C136" s="50" t="s">
        <v>360</v>
      </c>
      <c r="D136" s="39">
        <f t="shared" si="29"/>
        <v>0</v>
      </c>
      <c r="E136" s="39">
        <v>0</v>
      </c>
      <c r="F136" s="39">
        <f t="shared" si="23"/>
        <v>0</v>
      </c>
      <c r="G136" s="39">
        <f t="shared" si="30"/>
        <v>0</v>
      </c>
      <c r="H136" s="39">
        <f t="shared" si="24"/>
        <v>6.5013960000000004E-3</v>
      </c>
      <c r="I136" s="39">
        <v>0</v>
      </c>
      <c r="J136" s="39">
        <v>6.5013960000000004E-3</v>
      </c>
      <c r="K136" s="39">
        <v>0</v>
      </c>
      <c r="L136" s="39">
        <v>0</v>
      </c>
      <c r="M136" s="39">
        <v>0</v>
      </c>
      <c r="N136" s="38" t="s">
        <v>48</v>
      </c>
      <c r="O136" s="39">
        <v>0</v>
      </c>
      <c r="P136" s="38" t="s">
        <v>48</v>
      </c>
      <c r="Q136" s="39">
        <f t="shared" si="21"/>
        <v>-6.5013960000000004E-3</v>
      </c>
      <c r="R136" s="39">
        <f t="shared" si="22"/>
        <v>6.5013960000000004E-3</v>
      </c>
      <c r="S136" s="68">
        <v>0</v>
      </c>
      <c r="T136" s="81"/>
    </row>
    <row r="137" spans="1:20" x14ac:dyDescent="0.25">
      <c r="A137" s="28" t="s">
        <v>92</v>
      </c>
      <c r="B137" s="23" t="s">
        <v>361</v>
      </c>
      <c r="C137" s="50" t="s">
        <v>362</v>
      </c>
      <c r="D137" s="39">
        <f t="shared" si="29"/>
        <v>0</v>
      </c>
      <c r="E137" s="39">
        <v>0</v>
      </c>
      <c r="F137" s="39">
        <f t="shared" si="23"/>
        <v>0</v>
      </c>
      <c r="G137" s="39">
        <f t="shared" si="30"/>
        <v>0</v>
      </c>
      <c r="H137" s="39">
        <f t="shared" si="24"/>
        <v>0.172137444</v>
      </c>
      <c r="I137" s="39">
        <v>0</v>
      </c>
      <c r="J137" s="39">
        <v>0.172137444</v>
      </c>
      <c r="K137" s="39">
        <v>0</v>
      </c>
      <c r="L137" s="39">
        <v>0</v>
      </c>
      <c r="M137" s="39">
        <v>0</v>
      </c>
      <c r="N137" s="38" t="s">
        <v>48</v>
      </c>
      <c r="O137" s="39">
        <v>0</v>
      </c>
      <c r="P137" s="38" t="s">
        <v>48</v>
      </c>
      <c r="Q137" s="39">
        <f t="shared" si="21"/>
        <v>-0.172137444</v>
      </c>
      <c r="R137" s="39">
        <f t="shared" si="22"/>
        <v>0.172137444</v>
      </c>
      <c r="S137" s="68">
        <v>0</v>
      </c>
      <c r="T137" s="81"/>
    </row>
    <row r="138" spans="1:20" x14ac:dyDescent="0.25">
      <c r="A138" s="28" t="s">
        <v>92</v>
      </c>
      <c r="B138" s="23" t="s">
        <v>363</v>
      </c>
      <c r="C138" s="50" t="s">
        <v>364</v>
      </c>
      <c r="D138" s="39">
        <f t="shared" si="29"/>
        <v>0</v>
      </c>
      <c r="E138" s="39">
        <v>0</v>
      </c>
      <c r="F138" s="39">
        <f t="shared" si="23"/>
        <v>0</v>
      </c>
      <c r="G138" s="39">
        <f t="shared" si="30"/>
        <v>0</v>
      </c>
      <c r="H138" s="39">
        <f t="shared" si="24"/>
        <v>7.3256039999999994E-3</v>
      </c>
      <c r="I138" s="39">
        <v>0</v>
      </c>
      <c r="J138" s="39">
        <v>7.3256039999999994E-3</v>
      </c>
      <c r="K138" s="39">
        <v>0</v>
      </c>
      <c r="L138" s="39">
        <v>0</v>
      </c>
      <c r="M138" s="39">
        <v>0</v>
      </c>
      <c r="N138" s="38" t="s">
        <v>48</v>
      </c>
      <c r="O138" s="39">
        <v>0</v>
      </c>
      <c r="P138" s="38" t="s">
        <v>48</v>
      </c>
      <c r="Q138" s="39">
        <f t="shared" si="21"/>
        <v>-7.3256039999999994E-3</v>
      </c>
      <c r="R138" s="39">
        <f t="shared" si="22"/>
        <v>7.3256039999999994E-3</v>
      </c>
      <c r="S138" s="68">
        <v>0</v>
      </c>
      <c r="T138" s="81"/>
    </row>
    <row r="139" spans="1:20" x14ac:dyDescent="0.25">
      <c r="A139" s="28" t="s">
        <v>92</v>
      </c>
      <c r="B139" s="23" t="s">
        <v>365</v>
      </c>
      <c r="C139" s="50" t="s">
        <v>366</v>
      </c>
      <c r="D139" s="39">
        <f t="shared" si="29"/>
        <v>0</v>
      </c>
      <c r="E139" s="39">
        <v>0</v>
      </c>
      <c r="F139" s="39">
        <f t="shared" si="23"/>
        <v>0</v>
      </c>
      <c r="G139" s="39">
        <f t="shared" si="30"/>
        <v>0</v>
      </c>
      <c r="H139" s="39">
        <f t="shared" si="24"/>
        <v>6.5546999999999992E-3</v>
      </c>
      <c r="I139" s="39">
        <v>0</v>
      </c>
      <c r="J139" s="39">
        <v>6.5546999999999992E-3</v>
      </c>
      <c r="K139" s="39">
        <v>0</v>
      </c>
      <c r="L139" s="39">
        <v>0</v>
      </c>
      <c r="M139" s="39">
        <v>0</v>
      </c>
      <c r="N139" s="38" t="s">
        <v>48</v>
      </c>
      <c r="O139" s="39">
        <v>0</v>
      </c>
      <c r="P139" s="38" t="s">
        <v>48</v>
      </c>
      <c r="Q139" s="39">
        <f t="shared" si="21"/>
        <v>-6.5546999999999992E-3</v>
      </c>
      <c r="R139" s="39">
        <f t="shared" si="22"/>
        <v>6.5546999999999992E-3</v>
      </c>
      <c r="S139" s="68">
        <v>0</v>
      </c>
      <c r="T139" s="81"/>
    </row>
    <row r="140" spans="1:20" x14ac:dyDescent="0.25">
      <c r="A140" s="28" t="s">
        <v>92</v>
      </c>
      <c r="B140" s="23" t="s">
        <v>578</v>
      </c>
      <c r="C140" s="50" t="s">
        <v>579</v>
      </c>
      <c r="D140" s="39">
        <v>0</v>
      </c>
      <c r="E140" s="39">
        <v>0</v>
      </c>
      <c r="F140" s="39">
        <v>0</v>
      </c>
      <c r="G140" s="39">
        <v>0</v>
      </c>
      <c r="H140" s="39">
        <f t="shared" si="24"/>
        <v>2.1827711999999999E-2</v>
      </c>
      <c r="I140" s="39">
        <v>0</v>
      </c>
      <c r="J140" s="39">
        <v>0</v>
      </c>
      <c r="K140" s="39">
        <v>0</v>
      </c>
      <c r="L140" s="39">
        <v>2.1827711999999999E-2</v>
      </c>
      <c r="M140" s="39">
        <v>0</v>
      </c>
      <c r="N140" s="38" t="s">
        <v>48</v>
      </c>
      <c r="O140" s="39">
        <v>0</v>
      </c>
      <c r="P140" s="38" t="s">
        <v>48</v>
      </c>
      <c r="Q140" s="39">
        <f t="shared" si="21"/>
        <v>-2.1827711999999999E-2</v>
      </c>
      <c r="R140" s="39">
        <f t="shared" si="22"/>
        <v>2.1827711999999999E-2</v>
      </c>
      <c r="S140" s="68">
        <v>0</v>
      </c>
      <c r="T140" s="81"/>
    </row>
    <row r="141" spans="1:20" x14ac:dyDescent="0.25">
      <c r="A141" s="28" t="s">
        <v>92</v>
      </c>
      <c r="B141" s="23" t="s">
        <v>580</v>
      </c>
      <c r="C141" s="50" t="s">
        <v>581</v>
      </c>
      <c r="D141" s="39">
        <v>0</v>
      </c>
      <c r="E141" s="39">
        <v>0</v>
      </c>
      <c r="F141" s="39">
        <v>0</v>
      </c>
      <c r="G141" s="39">
        <v>0</v>
      </c>
      <c r="H141" s="39">
        <f t="shared" si="24"/>
        <v>7.3566959999999994E-3</v>
      </c>
      <c r="I141" s="39">
        <v>0</v>
      </c>
      <c r="J141" s="39">
        <v>0</v>
      </c>
      <c r="K141" s="39">
        <v>0</v>
      </c>
      <c r="L141" s="39">
        <v>7.3566959999999994E-3</v>
      </c>
      <c r="M141" s="39">
        <v>0</v>
      </c>
      <c r="N141" s="38" t="s">
        <v>48</v>
      </c>
      <c r="O141" s="39">
        <v>0</v>
      </c>
      <c r="P141" s="38" t="s">
        <v>48</v>
      </c>
      <c r="Q141" s="39">
        <f t="shared" si="21"/>
        <v>-7.3566959999999994E-3</v>
      </c>
      <c r="R141" s="39">
        <f t="shared" si="22"/>
        <v>7.3566959999999994E-3</v>
      </c>
      <c r="S141" s="68">
        <v>0</v>
      </c>
      <c r="T141" s="81"/>
    </row>
    <row r="142" spans="1:20" x14ac:dyDescent="0.25">
      <c r="A142" s="28" t="s">
        <v>92</v>
      </c>
      <c r="B142" s="23" t="s">
        <v>582</v>
      </c>
      <c r="C142" s="50" t="s">
        <v>583</v>
      </c>
      <c r="D142" s="39">
        <v>0</v>
      </c>
      <c r="E142" s="39">
        <v>0</v>
      </c>
      <c r="F142" s="39">
        <v>0</v>
      </c>
      <c r="G142" s="39">
        <v>0</v>
      </c>
      <c r="H142" s="39">
        <f t="shared" si="24"/>
        <v>3.3087360000000005E-3</v>
      </c>
      <c r="I142" s="39">
        <v>0</v>
      </c>
      <c r="J142" s="39">
        <v>0</v>
      </c>
      <c r="K142" s="39">
        <v>0</v>
      </c>
      <c r="L142" s="39">
        <v>3.3087360000000005E-3</v>
      </c>
      <c r="M142" s="39">
        <v>0</v>
      </c>
      <c r="N142" s="38" t="s">
        <v>48</v>
      </c>
      <c r="O142" s="39">
        <v>0</v>
      </c>
      <c r="P142" s="38" t="s">
        <v>48</v>
      </c>
      <c r="Q142" s="39">
        <f t="shared" si="21"/>
        <v>-3.3087360000000005E-3</v>
      </c>
      <c r="R142" s="39">
        <f t="shared" si="22"/>
        <v>3.3087360000000005E-3</v>
      </c>
      <c r="S142" s="68">
        <v>0</v>
      </c>
      <c r="T142" s="81"/>
    </row>
    <row r="143" spans="1:20" x14ac:dyDescent="0.25">
      <c r="A143" s="28" t="s">
        <v>92</v>
      </c>
      <c r="B143" s="23" t="s">
        <v>584</v>
      </c>
      <c r="C143" s="50" t="s">
        <v>585</v>
      </c>
      <c r="D143" s="39">
        <v>0</v>
      </c>
      <c r="E143" s="39">
        <v>0</v>
      </c>
      <c r="F143" s="39">
        <v>0</v>
      </c>
      <c r="G143" s="39">
        <v>0</v>
      </c>
      <c r="H143" s="39">
        <f t="shared" si="24"/>
        <v>6.4709279999999991E-3</v>
      </c>
      <c r="I143" s="39">
        <v>0</v>
      </c>
      <c r="J143" s="39">
        <v>0</v>
      </c>
      <c r="K143" s="39">
        <v>0</v>
      </c>
      <c r="L143" s="39">
        <v>6.4709279999999991E-3</v>
      </c>
      <c r="M143" s="39">
        <v>0</v>
      </c>
      <c r="N143" s="38" t="s">
        <v>48</v>
      </c>
      <c r="O143" s="39">
        <v>0</v>
      </c>
      <c r="P143" s="38" t="s">
        <v>48</v>
      </c>
      <c r="Q143" s="39">
        <f t="shared" si="21"/>
        <v>-6.4709279999999991E-3</v>
      </c>
      <c r="R143" s="39">
        <f t="shared" si="22"/>
        <v>6.4709279999999991E-3</v>
      </c>
      <c r="S143" s="68">
        <v>0</v>
      </c>
      <c r="T143" s="81"/>
    </row>
    <row r="144" spans="1:20" x14ac:dyDescent="0.25">
      <c r="A144" s="28" t="s">
        <v>92</v>
      </c>
      <c r="B144" s="23" t="s">
        <v>586</v>
      </c>
      <c r="C144" s="50" t="s">
        <v>587</v>
      </c>
      <c r="D144" s="39">
        <v>0</v>
      </c>
      <c r="E144" s="39">
        <v>0</v>
      </c>
      <c r="F144" s="39">
        <v>0</v>
      </c>
      <c r="G144" s="39">
        <v>0</v>
      </c>
      <c r="H144" s="39">
        <f t="shared" si="24"/>
        <v>7.4840280000000002E-3</v>
      </c>
      <c r="I144" s="39">
        <v>0</v>
      </c>
      <c r="J144" s="39">
        <v>0</v>
      </c>
      <c r="K144" s="39">
        <v>0</v>
      </c>
      <c r="L144" s="39">
        <v>7.4840280000000002E-3</v>
      </c>
      <c r="M144" s="39">
        <v>0</v>
      </c>
      <c r="N144" s="38" t="s">
        <v>48</v>
      </c>
      <c r="O144" s="39">
        <v>0</v>
      </c>
      <c r="P144" s="38" t="s">
        <v>48</v>
      </c>
      <c r="Q144" s="39">
        <f t="shared" si="21"/>
        <v>-7.4840280000000002E-3</v>
      </c>
      <c r="R144" s="39">
        <f t="shared" si="22"/>
        <v>7.4840280000000002E-3</v>
      </c>
      <c r="S144" s="68">
        <v>0</v>
      </c>
      <c r="T144" s="82"/>
    </row>
    <row r="145" spans="1:20" ht="30" x14ac:dyDescent="0.25">
      <c r="A145" s="28" t="s">
        <v>92</v>
      </c>
      <c r="B145" s="23" t="s">
        <v>184</v>
      </c>
      <c r="C145" s="50" t="s">
        <v>185</v>
      </c>
      <c r="D145" s="39">
        <f t="shared" si="29"/>
        <v>3.1496124120000006</v>
      </c>
      <c r="E145" s="39">
        <v>0</v>
      </c>
      <c r="F145" s="39">
        <f t="shared" si="23"/>
        <v>3.1496124120000006</v>
      </c>
      <c r="G145" s="39">
        <f>I145+K145+M145+O145</f>
        <v>3.1496124120000006</v>
      </c>
      <c r="H145" s="39">
        <f t="shared" si="24"/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8" t="s">
        <v>48</v>
      </c>
      <c r="O145" s="39">
        <v>3.1496124120000006</v>
      </c>
      <c r="P145" s="38" t="s">
        <v>48</v>
      </c>
      <c r="Q145" s="39">
        <f t="shared" si="21"/>
        <v>3.1496124120000006</v>
      </c>
      <c r="R145" s="39">
        <f t="shared" si="22"/>
        <v>0</v>
      </c>
      <c r="S145" s="68">
        <v>0</v>
      </c>
      <c r="T145" s="102" t="s">
        <v>713</v>
      </c>
    </row>
    <row r="146" spans="1:20" x14ac:dyDescent="0.25">
      <c r="A146" s="28" t="s">
        <v>92</v>
      </c>
      <c r="B146" s="23" t="s">
        <v>367</v>
      </c>
      <c r="C146" s="50" t="s">
        <v>368</v>
      </c>
      <c r="D146" s="39">
        <f t="shared" si="29"/>
        <v>0</v>
      </c>
      <c r="E146" s="39">
        <v>0</v>
      </c>
      <c r="F146" s="39">
        <f t="shared" si="23"/>
        <v>0</v>
      </c>
      <c r="G146" s="39">
        <f>I146+K146+M146+O146</f>
        <v>0</v>
      </c>
      <c r="H146" s="39">
        <f t="shared" si="24"/>
        <v>5.881194E-2</v>
      </c>
      <c r="I146" s="39">
        <v>0</v>
      </c>
      <c r="J146" s="39">
        <v>5.881194E-2</v>
      </c>
      <c r="K146" s="39">
        <v>0</v>
      </c>
      <c r="L146" s="39">
        <v>0</v>
      </c>
      <c r="M146" s="39">
        <v>0</v>
      </c>
      <c r="N146" s="38" t="s">
        <v>48</v>
      </c>
      <c r="O146" s="39">
        <v>0</v>
      </c>
      <c r="P146" s="38" t="s">
        <v>48</v>
      </c>
      <c r="Q146" s="39">
        <f t="shared" si="21"/>
        <v>-5.881194E-2</v>
      </c>
      <c r="R146" s="39">
        <f t="shared" ref="R146:R209" si="31">(J146+L146)-(I146+K146)</f>
        <v>5.881194E-2</v>
      </c>
      <c r="S146" s="68">
        <v>0</v>
      </c>
      <c r="T146" s="103"/>
    </row>
    <row r="147" spans="1:20" x14ac:dyDescent="0.25">
      <c r="A147" s="28" t="s">
        <v>92</v>
      </c>
      <c r="B147" s="23" t="s">
        <v>369</v>
      </c>
      <c r="C147" s="50" t="s">
        <v>370</v>
      </c>
      <c r="D147" s="39">
        <f t="shared" si="29"/>
        <v>0</v>
      </c>
      <c r="E147" s="39">
        <v>0</v>
      </c>
      <c r="F147" s="39">
        <f t="shared" si="23"/>
        <v>0</v>
      </c>
      <c r="G147" s="39">
        <f>I147+K147+M147+O147</f>
        <v>0</v>
      </c>
      <c r="H147" s="39">
        <f t="shared" si="24"/>
        <v>5.0392812000000002E-2</v>
      </c>
      <c r="I147" s="39">
        <v>0</v>
      </c>
      <c r="J147" s="39">
        <v>5.0392812000000002E-2</v>
      </c>
      <c r="K147" s="39">
        <v>0</v>
      </c>
      <c r="L147" s="39">
        <v>0</v>
      </c>
      <c r="M147" s="39">
        <v>0</v>
      </c>
      <c r="N147" s="38" t="s">
        <v>48</v>
      </c>
      <c r="O147" s="39">
        <v>0</v>
      </c>
      <c r="P147" s="38" t="s">
        <v>48</v>
      </c>
      <c r="Q147" s="39">
        <f t="shared" si="21"/>
        <v>-5.0392812000000002E-2</v>
      </c>
      <c r="R147" s="39">
        <f t="shared" si="31"/>
        <v>5.0392812000000002E-2</v>
      </c>
      <c r="S147" s="68">
        <v>0</v>
      </c>
      <c r="T147" s="103"/>
    </row>
    <row r="148" spans="1:20" x14ac:dyDescent="0.25">
      <c r="A148" s="28" t="s">
        <v>92</v>
      </c>
      <c r="B148" s="23" t="s">
        <v>588</v>
      </c>
      <c r="C148" s="50" t="s">
        <v>589</v>
      </c>
      <c r="D148" s="39">
        <v>0</v>
      </c>
      <c r="E148" s="39">
        <v>0</v>
      </c>
      <c r="F148" s="39">
        <v>0</v>
      </c>
      <c r="G148" s="39">
        <v>0</v>
      </c>
      <c r="H148" s="39">
        <f t="shared" si="24"/>
        <v>0</v>
      </c>
      <c r="I148" s="39">
        <v>0</v>
      </c>
      <c r="J148" s="39">
        <v>0</v>
      </c>
      <c r="K148" s="39">
        <v>0</v>
      </c>
      <c r="L148" s="39">
        <v>0</v>
      </c>
      <c r="M148" s="39">
        <v>0</v>
      </c>
      <c r="N148" s="38" t="s">
        <v>48</v>
      </c>
      <c r="O148" s="39">
        <v>0</v>
      </c>
      <c r="P148" s="38" t="s">
        <v>48</v>
      </c>
      <c r="Q148" s="39">
        <f t="shared" si="21"/>
        <v>0</v>
      </c>
      <c r="R148" s="39">
        <f t="shared" si="31"/>
        <v>0</v>
      </c>
      <c r="S148" s="68">
        <v>0</v>
      </c>
      <c r="T148" s="104"/>
    </row>
    <row r="149" spans="1:20" ht="28.5" x14ac:dyDescent="0.25">
      <c r="A149" s="11" t="s">
        <v>22</v>
      </c>
      <c r="B149" s="14" t="s">
        <v>94</v>
      </c>
      <c r="C149" s="15" t="s">
        <v>51</v>
      </c>
      <c r="D149" s="40">
        <f t="shared" si="29"/>
        <v>173.60681453056273</v>
      </c>
      <c r="E149" s="40">
        <f>E150+E228</f>
        <v>6.7060424879999996</v>
      </c>
      <c r="F149" s="40">
        <f t="shared" si="23"/>
        <v>166.90077204256272</v>
      </c>
      <c r="G149" s="40">
        <f t="shared" ref="G149:G162" si="32">I149+K149+M149+O149</f>
        <v>173.60681453056273</v>
      </c>
      <c r="H149" s="40">
        <f t="shared" si="24"/>
        <v>33.737498868000003</v>
      </c>
      <c r="I149" s="40">
        <f>I150+I228+I324</f>
        <v>8.425155793627118</v>
      </c>
      <c r="J149" s="40">
        <f>J150+J228+J324</f>
        <v>21.888615204000001</v>
      </c>
      <c r="K149" s="40">
        <v>91.259208350644073</v>
      </c>
      <c r="L149" s="40">
        <f>L150+L228+L324</f>
        <v>11.848883664000002</v>
      </c>
      <c r="M149" s="40">
        <v>46.703335721410184</v>
      </c>
      <c r="N149" s="41" t="s">
        <v>48</v>
      </c>
      <c r="O149" s="40">
        <v>27.219114664881356</v>
      </c>
      <c r="P149" s="41" t="s">
        <v>48</v>
      </c>
      <c r="Q149" s="40">
        <f t="shared" si="21"/>
        <v>133.16327317456273</v>
      </c>
      <c r="R149" s="40">
        <f t="shared" si="31"/>
        <v>-65.946865276271183</v>
      </c>
      <c r="S149" s="56">
        <f t="shared" ref="S149:S209" si="33">(J149+L149)/(I149+K149)*100-100</f>
        <v>-66.155676311309577</v>
      </c>
      <c r="T149" s="41" t="s">
        <v>48</v>
      </c>
    </row>
    <row r="150" spans="1:20" ht="42.75" x14ac:dyDescent="0.25">
      <c r="A150" s="11" t="s">
        <v>23</v>
      </c>
      <c r="B150" s="14" t="s">
        <v>95</v>
      </c>
      <c r="C150" s="15" t="s">
        <v>51</v>
      </c>
      <c r="D150" s="40">
        <f t="shared" si="29"/>
        <v>35.94181392256273</v>
      </c>
      <c r="E150" s="40">
        <f>E151+E163</f>
        <v>0.15397043999999999</v>
      </c>
      <c r="F150" s="40">
        <f t="shared" si="23"/>
        <v>35.787843482562728</v>
      </c>
      <c r="G150" s="40">
        <f t="shared" si="32"/>
        <v>35.94181392256273</v>
      </c>
      <c r="H150" s="40">
        <f t="shared" si="24"/>
        <v>20.616848208</v>
      </c>
      <c r="I150" s="40">
        <f>I151+I163</f>
        <v>0.81620378562711826</v>
      </c>
      <c r="J150" s="40">
        <f>J151+J163</f>
        <v>18.361054320000001</v>
      </c>
      <c r="K150" s="40">
        <v>8.552257118644075</v>
      </c>
      <c r="L150" s="40">
        <f>L151+L163</f>
        <v>2.2557938879999999</v>
      </c>
      <c r="M150" s="40">
        <v>23.386449845410183</v>
      </c>
      <c r="N150" s="41" t="s">
        <v>48</v>
      </c>
      <c r="O150" s="40">
        <v>3.1869031728813546</v>
      </c>
      <c r="P150" s="41" t="s">
        <v>48</v>
      </c>
      <c r="Q150" s="40">
        <f t="shared" si="21"/>
        <v>15.170995274562728</v>
      </c>
      <c r="R150" s="40">
        <f t="shared" si="31"/>
        <v>11.248387303728807</v>
      </c>
      <c r="S150" s="56">
        <f t="shared" si="33"/>
        <v>120.0665447469662</v>
      </c>
      <c r="T150" s="41" t="s">
        <v>48</v>
      </c>
    </row>
    <row r="151" spans="1:20" ht="28.5" x14ac:dyDescent="0.25">
      <c r="A151" s="11" t="s">
        <v>24</v>
      </c>
      <c r="B151" s="14" t="s">
        <v>96</v>
      </c>
      <c r="C151" s="15" t="s">
        <v>51</v>
      </c>
      <c r="D151" s="40">
        <f t="shared" si="29"/>
        <v>0.41597786879999993</v>
      </c>
      <c r="E151" s="40">
        <f>SUM(E152:E162)</f>
        <v>0</v>
      </c>
      <c r="F151" s="40">
        <f t="shared" si="23"/>
        <v>0.41597786879999993</v>
      </c>
      <c r="G151" s="40">
        <f t="shared" si="32"/>
        <v>0.41597786879999993</v>
      </c>
      <c r="H151" s="40">
        <f t="shared" si="24"/>
        <v>0.26479064399999996</v>
      </c>
      <c r="I151" s="40">
        <f>SUM(I152:I162)</f>
        <v>0</v>
      </c>
      <c r="J151" s="40">
        <f>SUM(J152:J162)</f>
        <v>7.4966532000000002E-2</v>
      </c>
      <c r="K151" s="40">
        <v>0</v>
      </c>
      <c r="L151" s="40">
        <f>SUM(L152:L162)</f>
        <v>0.18982411199999996</v>
      </c>
      <c r="M151" s="40">
        <v>0.41597786879999993</v>
      </c>
      <c r="N151" s="41" t="s">
        <v>48</v>
      </c>
      <c r="O151" s="40">
        <v>0</v>
      </c>
      <c r="P151" s="41" t="s">
        <v>48</v>
      </c>
      <c r="Q151" s="40">
        <f t="shared" si="21"/>
        <v>0.15118722479999996</v>
      </c>
      <c r="R151" s="40">
        <f t="shared" si="31"/>
        <v>0.26479064399999996</v>
      </c>
      <c r="S151" s="56">
        <v>0</v>
      </c>
      <c r="T151" s="41" t="s">
        <v>48</v>
      </c>
    </row>
    <row r="152" spans="1:20" ht="30" x14ac:dyDescent="0.25">
      <c r="A152" s="22" t="s">
        <v>24</v>
      </c>
      <c r="B152" s="23" t="s">
        <v>97</v>
      </c>
      <c r="C152" s="24" t="s">
        <v>98</v>
      </c>
      <c r="D152" s="39">
        <f t="shared" si="29"/>
        <v>4.1597786880000001E-2</v>
      </c>
      <c r="E152" s="39">
        <v>0</v>
      </c>
      <c r="F152" s="39">
        <f t="shared" si="23"/>
        <v>4.1597786880000001E-2</v>
      </c>
      <c r="G152" s="39">
        <f t="shared" si="32"/>
        <v>4.1597786880000001E-2</v>
      </c>
      <c r="H152" s="39">
        <f t="shared" si="24"/>
        <v>3.9431327999999995E-2</v>
      </c>
      <c r="I152" s="39">
        <v>0</v>
      </c>
      <c r="J152" s="39">
        <v>0</v>
      </c>
      <c r="K152" s="39">
        <v>0</v>
      </c>
      <c r="L152" s="39">
        <v>3.9431327999999995E-2</v>
      </c>
      <c r="M152" s="39">
        <v>4.1597786880000001E-2</v>
      </c>
      <c r="N152" s="38" t="s">
        <v>48</v>
      </c>
      <c r="O152" s="39">
        <v>0</v>
      </c>
      <c r="P152" s="38" t="s">
        <v>48</v>
      </c>
      <c r="Q152" s="39">
        <f t="shared" si="21"/>
        <v>2.1664588800000065E-3</v>
      </c>
      <c r="R152" s="39">
        <f t="shared" si="31"/>
        <v>3.9431327999999995E-2</v>
      </c>
      <c r="S152" s="68">
        <v>0</v>
      </c>
      <c r="T152" s="38" t="s">
        <v>48</v>
      </c>
    </row>
    <row r="153" spans="1:20" ht="30" x14ac:dyDescent="0.25">
      <c r="A153" s="22" t="s">
        <v>24</v>
      </c>
      <c r="B153" s="23" t="s">
        <v>99</v>
      </c>
      <c r="C153" s="24" t="s">
        <v>100</v>
      </c>
      <c r="D153" s="39">
        <f t="shared" si="29"/>
        <v>4.1597786880000001E-2</v>
      </c>
      <c r="E153" s="39">
        <v>0</v>
      </c>
      <c r="F153" s="39">
        <f t="shared" si="23"/>
        <v>4.1597786880000001E-2</v>
      </c>
      <c r="G153" s="39">
        <f t="shared" si="32"/>
        <v>4.1597786880000001E-2</v>
      </c>
      <c r="H153" s="39">
        <f t="shared" si="24"/>
        <v>3.7924679999999995E-2</v>
      </c>
      <c r="I153" s="39">
        <v>0</v>
      </c>
      <c r="J153" s="39">
        <v>0</v>
      </c>
      <c r="K153" s="39">
        <v>0</v>
      </c>
      <c r="L153" s="39">
        <v>3.7924679999999995E-2</v>
      </c>
      <c r="M153" s="39">
        <v>4.1597786880000001E-2</v>
      </c>
      <c r="N153" s="38" t="s">
        <v>48</v>
      </c>
      <c r="O153" s="39">
        <v>0</v>
      </c>
      <c r="P153" s="38" t="s">
        <v>48</v>
      </c>
      <c r="Q153" s="39">
        <f t="shared" si="21"/>
        <v>3.6731068800000058E-3</v>
      </c>
      <c r="R153" s="39">
        <f t="shared" si="31"/>
        <v>3.7924679999999995E-2</v>
      </c>
      <c r="S153" s="68">
        <v>0</v>
      </c>
      <c r="T153" s="38" t="s">
        <v>48</v>
      </c>
    </row>
    <row r="154" spans="1:20" ht="30" x14ac:dyDescent="0.25">
      <c r="A154" s="22" t="s">
        <v>24</v>
      </c>
      <c r="B154" s="23" t="s">
        <v>101</v>
      </c>
      <c r="C154" s="24" t="s">
        <v>102</v>
      </c>
      <c r="D154" s="39">
        <f t="shared" si="29"/>
        <v>4.1597786880000001E-2</v>
      </c>
      <c r="E154" s="39">
        <v>0</v>
      </c>
      <c r="F154" s="39">
        <f t="shared" si="23"/>
        <v>4.1597786880000001E-2</v>
      </c>
      <c r="G154" s="39">
        <f t="shared" si="32"/>
        <v>4.1597786880000001E-2</v>
      </c>
      <c r="H154" s="39">
        <f t="shared" si="24"/>
        <v>3.7403279999999997E-2</v>
      </c>
      <c r="I154" s="39">
        <v>0</v>
      </c>
      <c r="J154" s="39">
        <v>0</v>
      </c>
      <c r="K154" s="39">
        <v>0</v>
      </c>
      <c r="L154" s="39">
        <v>3.7403279999999997E-2</v>
      </c>
      <c r="M154" s="39">
        <v>4.1597786880000001E-2</v>
      </c>
      <c r="N154" s="38" t="s">
        <v>48</v>
      </c>
      <c r="O154" s="39">
        <v>0</v>
      </c>
      <c r="P154" s="38" t="s">
        <v>48</v>
      </c>
      <c r="Q154" s="39">
        <f t="shared" si="21"/>
        <v>4.194506880000004E-3</v>
      </c>
      <c r="R154" s="39">
        <f t="shared" si="31"/>
        <v>3.7403279999999997E-2</v>
      </c>
      <c r="S154" s="68">
        <v>0</v>
      </c>
      <c r="T154" s="38" t="s">
        <v>48</v>
      </c>
    </row>
    <row r="155" spans="1:20" ht="30" x14ac:dyDescent="0.25">
      <c r="A155" s="22" t="s">
        <v>24</v>
      </c>
      <c r="B155" s="23" t="s">
        <v>103</v>
      </c>
      <c r="C155" s="24" t="s">
        <v>104</v>
      </c>
      <c r="D155" s="39">
        <f t="shared" si="29"/>
        <v>4.1597786880000001E-2</v>
      </c>
      <c r="E155" s="39">
        <v>0</v>
      </c>
      <c r="F155" s="39">
        <f t="shared" si="23"/>
        <v>4.1597786880000001E-2</v>
      </c>
      <c r="G155" s="39">
        <f t="shared" si="32"/>
        <v>4.1597786880000001E-2</v>
      </c>
      <c r="H155" s="39">
        <f t="shared" si="24"/>
        <v>3.7582091999999998E-2</v>
      </c>
      <c r="I155" s="39">
        <v>0</v>
      </c>
      <c r="J155" s="39">
        <v>0</v>
      </c>
      <c r="K155" s="39">
        <v>0</v>
      </c>
      <c r="L155" s="39">
        <v>3.7582091999999998E-2</v>
      </c>
      <c r="M155" s="39">
        <v>4.1597786880000001E-2</v>
      </c>
      <c r="N155" s="38" t="s">
        <v>48</v>
      </c>
      <c r="O155" s="39">
        <v>0</v>
      </c>
      <c r="P155" s="38" t="s">
        <v>48</v>
      </c>
      <c r="Q155" s="39">
        <f t="shared" si="21"/>
        <v>4.0156948800000036E-3</v>
      </c>
      <c r="R155" s="39">
        <f t="shared" si="31"/>
        <v>3.7582091999999998E-2</v>
      </c>
      <c r="S155" s="68">
        <v>0</v>
      </c>
      <c r="T155" s="38" t="s">
        <v>48</v>
      </c>
    </row>
    <row r="156" spans="1:20" ht="30" x14ac:dyDescent="0.25">
      <c r="A156" s="22" t="s">
        <v>24</v>
      </c>
      <c r="B156" s="23" t="s">
        <v>105</v>
      </c>
      <c r="C156" s="24" t="s">
        <v>106</v>
      </c>
      <c r="D156" s="39">
        <f t="shared" si="29"/>
        <v>4.1597786880000001E-2</v>
      </c>
      <c r="E156" s="39">
        <v>0</v>
      </c>
      <c r="F156" s="39">
        <f t="shared" si="23"/>
        <v>4.1597786880000001E-2</v>
      </c>
      <c r="G156" s="39">
        <f t="shared" si="32"/>
        <v>4.1597786880000001E-2</v>
      </c>
      <c r="H156" s="39">
        <f t="shared" si="24"/>
        <v>3.7482731999999998E-2</v>
      </c>
      <c r="I156" s="39">
        <v>0</v>
      </c>
      <c r="J156" s="39">
        <v>0</v>
      </c>
      <c r="K156" s="39">
        <v>0</v>
      </c>
      <c r="L156" s="39">
        <v>3.7482731999999998E-2</v>
      </c>
      <c r="M156" s="39">
        <v>4.1597786880000001E-2</v>
      </c>
      <c r="N156" s="38" t="s">
        <v>48</v>
      </c>
      <c r="O156" s="39">
        <v>0</v>
      </c>
      <c r="P156" s="38" t="s">
        <v>48</v>
      </c>
      <c r="Q156" s="39">
        <f t="shared" ref="Q156:Q219" si="34">F156-H156</f>
        <v>4.1150548800000034E-3</v>
      </c>
      <c r="R156" s="39">
        <f t="shared" si="31"/>
        <v>3.7482731999999998E-2</v>
      </c>
      <c r="S156" s="68">
        <v>0</v>
      </c>
      <c r="T156" s="38" t="s">
        <v>48</v>
      </c>
    </row>
    <row r="157" spans="1:20" ht="30" x14ac:dyDescent="0.25">
      <c r="A157" s="22" t="s">
        <v>24</v>
      </c>
      <c r="B157" s="23" t="s">
        <v>107</v>
      </c>
      <c r="C157" s="24" t="s">
        <v>108</v>
      </c>
      <c r="D157" s="39">
        <f t="shared" si="29"/>
        <v>4.1597786880000001E-2</v>
      </c>
      <c r="E157" s="39">
        <v>0</v>
      </c>
      <c r="F157" s="39">
        <f t="shared" si="23"/>
        <v>4.1597786880000001E-2</v>
      </c>
      <c r="G157" s="39">
        <f t="shared" si="32"/>
        <v>4.1597786880000001E-2</v>
      </c>
      <c r="H157" s="39">
        <f t="shared" ref="H157:H220" si="35">J157+L157</f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4.1597786880000001E-2</v>
      </c>
      <c r="N157" s="38" t="s">
        <v>48</v>
      </c>
      <c r="O157" s="39">
        <v>0</v>
      </c>
      <c r="P157" s="38" t="s">
        <v>48</v>
      </c>
      <c r="Q157" s="39">
        <f t="shared" si="34"/>
        <v>4.1597786880000001E-2</v>
      </c>
      <c r="R157" s="39">
        <f t="shared" si="31"/>
        <v>0</v>
      </c>
      <c r="S157" s="68">
        <v>0</v>
      </c>
      <c r="T157" s="38" t="s">
        <v>48</v>
      </c>
    </row>
    <row r="158" spans="1:20" ht="30" x14ac:dyDescent="0.25">
      <c r="A158" s="22" t="s">
        <v>24</v>
      </c>
      <c r="B158" s="23" t="s">
        <v>109</v>
      </c>
      <c r="C158" s="24" t="s">
        <v>110</v>
      </c>
      <c r="D158" s="39">
        <f t="shared" si="29"/>
        <v>4.1597786880000001E-2</v>
      </c>
      <c r="E158" s="39">
        <v>0</v>
      </c>
      <c r="F158" s="39">
        <f t="shared" si="23"/>
        <v>4.1597786880000001E-2</v>
      </c>
      <c r="G158" s="39">
        <f t="shared" si="32"/>
        <v>4.1597786880000001E-2</v>
      </c>
      <c r="H158" s="39">
        <f t="shared" si="35"/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4.1597786880000001E-2</v>
      </c>
      <c r="N158" s="38" t="s">
        <v>48</v>
      </c>
      <c r="O158" s="39">
        <v>0</v>
      </c>
      <c r="P158" s="38" t="s">
        <v>48</v>
      </c>
      <c r="Q158" s="39">
        <f t="shared" si="34"/>
        <v>4.1597786880000001E-2</v>
      </c>
      <c r="R158" s="39">
        <f t="shared" si="31"/>
        <v>0</v>
      </c>
      <c r="S158" s="68">
        <v>0</v>
      </c>
      <c r="T158" s="38" t="s">
        <v>48</v>
      </c>
    </row>
    <row r="159" spans="1:20" ht="30" x14ac:dyDescent="0.25">
      <c r="A159" s="22" t="s">
        <v>24</v>
      </c>
      <c r="B159" s="23" t="s">
        <v>111</v>
      </c>
      <c r="C159" s="24" t="s">
        <v>112</v>
      </c>
      <c r="D159" s="39">
        <f t="shared" si="29"/>
        <v>4.1597786880000001E-2</v>
      </c>
      <c r="E159" s="39">
        <v>0</v>
      </c>
      <c r="F159" s="39">
        <f t="shared" si="23"/>
        <v>4.1597786880000001E-2</v>
      </c>
      <c r="G159" s="39">
        <f t="shared" si="32"/>
        <v>4.1597786880000001E-2</v>
      </c>
      <c r="H159" s="39">
        <f t="shared" si="35"/>
        <v>0</v>
      </c>
      <c r="I159" s="39">
        <v>0</v>
      </c>
      <c r="J159" s="39">
        <v>0</v>
      </c>
      <c r="K159" s="39">
        <v>0</v>
      </c>
      <c r="L159" s="39">
        <v>0</v>
      </c>
      <c r="M159" s="39">
        <v>4.1597786880000001E-2</v>
      </c>
      <c r="N159" s="38" t="s">
        <v>48</v>
      </c>
      <c r="O159" s="39">
        <v>0</v>
      </c>
      <c r="P159" s="38" t="s">
        <v>48</v>
      </c>
      <c r="Q159" s="39">
        <f t="shared" si="34"/>
        <v>4.1597786880000001E-2</v>
      </c>
      <c r="R159" s="39">
        <f t="shared" si="31"/>
        <v>0</v>
      </c>
      <c r="S159" s="68">
        <v>0</v>
      </c>
      <c r="T159" s="38" t="s">
        <v>48</v>
      </c>
    </row>
    <row r="160" spans="1:20" ht="30" x14ac:dyDescent="0.25">
      <c r="A160" s="22" t="s">
        <v>24</v>
      </c>
      <c r="B160" s="23" t="s">
        <v>113</v>
      </c>
      <c r="C160" s="24" t="s">
        <v>114</v>
      </c>
      <c r="D160" s="39">
        <f t="shared" si="29"/>
        <v>4.1597786880000001E-2</v>
      </c>
      <c r="E160" s="39">
        <v>0</v>
      </c>
      <c r="F160" s="39">
        <f t="shared" si="23"/>
        <v>4.1597786880000001E-2</v>
      </c>
      <c r="G160" s="39">
        <f t="shared" si="32"/>
        <v>4.1597786880000001E-2</v>
      </c>
      <c r="H160" s="39">
        <f t="shared" si="35"/>
        <v>3.7561079999999997E-2</v>
      </c>
      <c r="I160" s="39">
        <v>0</v>
      </c>
      <c r="J160" s="39">
        <v>3.7561079999999997E-2</v>
      </c>
      <c r="K160" s="39">
        <v>0</v>
      </c>
      <c r="L160" s="39">
        <v>0</v>
      </c>
      <c r="M160" s="39">
        <v>4.1597786880000001E-2</v>
      </c>
      <c r="N160" s="38" t="s">
        <v>48</v>
      </c>
      <c r="O160" s="39">
        <v>0</v>
      </c>
      <c r="P160" s="38" t="s">
        <v>48</v>
      </c>
      <c r="Q160" s="39">
        <f t="shared" si="34"/>
        <v>4.0367068800000044E-3</v>
      </c>
      <c r="R160" s="39">
        <f t="shared" si="31"/>
        <v>3.7561079999999997E-2</v>
      </c>
      <c r="S160" s="68">
        <v>0</v>
      </c>
      <c r="T160" s="38" t="s">
        <v>48</v>
      </c>
    </row>
    <row r="161" spans="1:20" ht="30" x14ac:dyDescent="0.25">
      <c r="A161" s="22" t="s">
        <v>24</v>
      </c>
      <c r="B161" s="23" t="s">
        <v>115</v>
      </c>
      <c r="C161" s="24" t="s">
        <v>116</v>
      </c>
      <c r="D161" s="39">
        <f t="shared" si="29"/>
        <v>4.1597786880000001E-2</v>
      </c>
      <c r="E161" s="39">
        <v>0</v>
      </c>
      <c r="F161" s="39">
        <f t="shared" si="23"/>
        <v>4.1597786880000001E-2</v>
      </c>
      <c r="G161" s="39">
        <f t="shared" si="32"/>
        <v>4.1597786880000001E-2</v>
      </c>
      <c r="H161" s="39">
        <f t="shared" si="35"/>
        <v>0</v>
      </c>
      <c r="I161" s="39">
        <v>0</v>
      </c>
      <c r="J161" s="39">
        <v>0</v>
      </c>
      <c r="K161" s="39">
        <v>0</v>
      </c>
      <c r="L161" s="39">
        <v>0</v>
      </c>
      <c r="M161" s="39">
        <v>4.1597786880000001E-2</v>
      </c>
      <c r="N161" s="38" t="s">
        <v>48</v>
      </c>
      <c r="O161" s="39">
        <v>0</v>
      </c>
      <c r="P161" s="38" t="s">
        <v>48</v>
      </c>
      <c r="Q161" s="39">
        <f t="shared" si="34"/>
        <v>4.1597786880000001E-2</v>
      </c>
      <c r="R161" s="39">
        <f t="shared" si="31"/>
        <v>0</v>
      </c>
      <c r="S161" s="68">
        <v>0</v>
      </c>
      <c r="T161" s="38" t="s">
        <v>48</v>
      </c>
    </row>
    <row r="162" spans="1:20" x14ac:dyDescent="0.25">
      <c r="A162" s="28" t="s">
        <v>24</v>
      </c>
      <c r="B162" s="23" t="s">
        <v>371</v>
      </c>
      <c r="C162" s="50" t="s">
        <v>372</v>
      </c>
      <c r="D162" s="39">
        <f t="shared" si="29"/>
        <v>0</v>
      </c>
      <c r="E162" s="39">
        <v>0</v>
      </c>
      <c r="F162" s="39">
        <f t="shared" si="23"/>
        <v>0</v>
      </c>
      <c r="G162" s="39">
        <f t="shared" si="32"/>
        <v>0</v>
      </c>
      <c r="H162" s="39">
        <f t="shared" si="35"/>
        <v>3.7405451999999999E-2</v>
      </c>
      <c r="I162" s="39">
        <v>0</v>
      </c>
      <c r="J162" s="39">
        <v>3.7405451999999999E-2</v>
      </c>
      <c r="K162" s="39">
        <v>0</v>
      </c>
      <c r="L162" s="39">
        <v>0</v>
      </c>
      <c r="M162" s="39">
        <v>0</v>
      </c>
      <c r="N162" s="38" t="s">
        <v>48</v>
      </c>
      <c r="O162" s="39">
        <v>0</v>
      </c>
      <c r="P162" s="38" t="s">
        <v>48</v>
      </c>
      <c r="Q162" s="39">
        <f t="shared" si="34"/>
        <v>-3.7405451999999999E-2</v>
      </c>
      <c r="R162" s="39">
        <f t="shared" si="31"/>
        <v>3.7405451999999999E-2</v>
      </c>
      <c r="S162" s="68">
        <v>0</v>
      </c>
      <c r="T162" s="38" t="s">
        <v>438</v>
      </c>
    </row>
    <row r="163" spans="1:20" ht="42.75" x14ac:dyDescent="0.25">
      <c r="A163" s="25" t="s">
        <v>25</v>
      </c>
      <c r="B163" s="26" t="s">
        <v>117</v>
      </c>
      <c r="C163" s="27" t="s">
        <v>51</v>
      </c>
      <c r="D163" s="40">
        <f t="shared" si="29"/>
        <v>35.525836053762731</v>
      </c>
      <c r="E163" s="40">
        <f>SUM(E164:E225)</f>
        <v>0.15397043999999999</v>
      </c>
      <c r="F163" s="40">
        <f t="shared" si="23"/>
        <v>35.371865613762729</v>
      </c>
      <c r="G163" s="40">
        <f t="shared" ref="G163:O163" si="36">SUM(G164:G225)</f>
        <v>35.525836053762731</v>
      </c>
      <c r="H163" s="40">
        <f t="shared" si="35"/>
        <v>20.352057563999999</v>
      </c>
      <c r="I163" s="40">
        <f>SUM(I164:I227)</f>
        <v>0.81620378562711826</v>
      </c>
      <c r="J163" s="40">
        <f>SUM(J164:J227)</f>
        <v>18.286087788</v>
      </c>
      <c r="K163" s="40">
        <f t="shared" si="36"/>
        <v>8.552257118644075</v>
      </c>
      <c r="L163" s="40">
        <f>SUM(L164:L227)</f>
        <v>2.0659697759999998</v>
      </c>
      <c r="M163" s="40">
        <f t="shared" si="36"/>
        <v>22.970471976610185</v>
      </c>
      <c r="N163" s="41" t="s">
        <v>48</v>
      </c>
      <c r="O163" s="40">
        <f t="shared" si="36"/>
        <v>3.1869031728813546</v>
      </c>
      <c r="P163" s="41" t="s">
        <v>48</v>
      </c>
      <c r="Q163" s="40">
        <f t="shared" si="34"/>
        <v>15.01980804976273</v>
      </c>
      <c r="R163" s="40">
        <f t="shared" si="31"/>
        <v>10.983596659728805</v>
      </c>
      <c r="S163" s="56">
        <f t="shared" si="33"/>
        <v>117.24013978348623</v>
      </c>
      <c r="T163" s="41" t="s">
        <v>48</v>
      </c>
    </row>
    <row r="164" spans="1:20" ht="44.25" customHeight="1" x14ac:dyDescent="0.25">
      <c r="A164" s="61" t="s">
        <v>25</v>
      </c>
      <c r="B164" s="62" t="s">
        <v>489</v>
      </c>
      <c r="C164" s="58" t="s">
        <v>490</v>
      </c>
      <c r="D164" s="39">
        <v>0</v>
      </c>
      <c r="E164" s="39">
        <f>49132.43*1.2/1000000</f>
        <v>5.8958916E-2</v>
      </c>
      <c r="F164" s="39">
        <f t="shared" si="23"/>
        <v>-5.8958916E-2</v>
      </c>
      <c r="G164" s="39">
        <v>0</v>
      </c>
      <c r="H164" s="39">
        <f t="shared" si="35"/>
        <v>0</v>
      </c>
      <c r="I164" s="39">
        <v>0</v>
      </c>
      <c r="J164" s="39">
        <v>0</v>
      </c>
      <c r="K164" s="39">
        <v>0</v>
      </c>
      <c r="L164" s="39">
        <v>0</v>
      </c>
      <c r="M164" s="39">
        <v>0</v>
      </c>
      <c r="N164" s="38" t="s">
        <v>48</v>
      </c>
      <c r="O164" s="39">
        <v>0</v>
      </c>
      <c r="P164" s="38" t="s">
        <v>48</v>
      </c>
      <c r="Q164" s="39">
        <f t="shared" si="34"/>
        <v>-5.8958916E-2</v>
      </c>
      <c r="R164" s="39">
        <f t="shared" si="31"/>
        <v>0</v>
      </c>
      <c r="S164" s="68">
        <v>0</v>
      </c>
      <c r="T164" s="42" t="s">
        <v>440</v>
      </c>
    </row>
    <row r="165" spans="1:20" ht="30" x14ac:dyDescent="0.25">
      <c r="A165" s="52" t="s">
        <v>25</v>
      </c>
      <c r="B165" s="33" t="s">
        <v>373</v>
      </c>
      <c r="C165" s="34" t="s">
        <v>374</v>
      </c>
      <c r="D165" s="39">
        <f t="shared" si="29"/>
        <v>0</v>
      </c>
      <c r="E165" s="39">
        <f>79176.27*1.2/1000000</f>
        <v>9.5011524E-2</v>
      </c>
      <c r="F165" s="39">
        <f t="shared" si="23"/>
        <v>-9.5011524E-2</v>
      </c>
      <c r="G165" s="39">
        <f t="shared" ref="G165:G178" si="37">I165+K165+M165+O165</f>
        <v>0</v>
      </c>
      <c r="H165" s="39">
        <f t="shared" si="35"/>
        <v>2.4937979160000001</v>
      </c>
      <c r="I165" s="39">
        <v>0</v>
      </c>
      <c r="J165" s="39">
        <v>2.4937979160000001</v>
      </c>
      <c r="K165" s="39">
        <v>0</v>
      </c>
      <c r="L165" s="39">
        <v>0</v>
      </c>
      <c r="M165" s="39">
        <v>0</v>
      </c>
      <c r="N165" s="38" t="s">
        <v>48</v>
      </c>
      <c r="O165" s="39">
        <v>0</v>
      </c>
      <c r="P165" s="38" t="s">
        <v>48</v>
      </c>
      <c r="Q165" s="39">
        <f t="shared" si="34"/>
        <v>-2.5888094399999999</v>
      </c>
      <c r="R165" s="39">
        <f t="shared" si="31"/>
        <v>2.4937979160000001</v>
      </c>
      <c r="S165" s="68">
        <v>0</v>
      </c>
      <c r="T165" s="42" t="s">
        <v>434</v>
      </c>
    </row>
    <row r="166" spans="1:20" ht="30" x14ac:dyDescent="0.25">
      <c r="A166" s="28" t="s">
        <v>25</v>
      </c>
      <c r="B166" s="23" t="s">
        <v>118</v>
      </c>
      <c r="C166" s="29" t="s">
        <v>119</v>
      </c>
      <c r="D166" s="39">
        <f t="shared" si="29"/>
        <v>5.2469568000000004</v>
      </c>
      <c r="E166" s="39">
        <v>0</v>
      </c>
      <c r="F166" s="39">
        <f t="shared" si="23"/>
        <v>5.2469568000000004</v>
      </c>
      <c r="G166" s="39">
        <f t="shared" si="37"/>
        <v>5.2469568000000004</v>
      </c>
      <c r="H166" s="39">
        <f t="shared" si="35"/>
        <v>0</v>
      </c>
      <c r="I166" s="39">
        <v>4.5255527999999996E-2</v>
      </c>
      <c r="J166" s="39">
        <v>0</v>
      </c>
      <c r="K166" s="39">
        <v>0</v>
      </c>
      <c r="L166" s="39">
        <v>0</v>
      </c>
      <c r="M166" s="39">
        <v>5.2017012720000002</v>
      </c>
      <c r="N166" s="38" t="s">
        <v>48</v>
      </c>
      <c r="O166" s="39">
        <v>0</v>
      </c>
      <c r="P166" s="38" t="s">
        <v>48</v>
      </c>
      <c r="Q166" s="39">
        <f t="shared" si="34"/>
        <v>5.2469568000000004</v>
      </c>
      <c r="R166" s="39">
        <f t="shared" si="31"/>
        <v>-4.5255527999999996E-2</v>
      </c>
      <c r="S166" s="68">
        <f t="shared" si="33"/>
        <v>-100</v>
      </c>
      <c r="T166" s="43" t="s">
        <v>439</v>
      </c>
    </row>
    <row r="167" spans="1:20" ht="30" x14ac:dyDescent="0.25">
      <c r="A167" s="28" t="s">
        <v>25</v>
      </c>
      <c r="B167" s="23" t="s">
        <v>120</v>
      </c>
      <c r="C167" s="29" t="s">
        <v>121</v>
      </c>
      <c r="D167" s="39">
        <f t="shared" si="29"/>
        <v>1.1140584</v>
      </c>
      <c r="E167" s="39">
        <v>0</v>
      </c>
      <c r="F167" s="39">
        <f t="shared" si="23"/>
        <v>1.1140584</v>
      </c>
      <c r="G167" s="39">
        <f t="shared" si="37"/>
        <v>1.1140584</v>
      </c>
      <c r="H167" s="39">
        <f t="shared" si="35"/>
        <v>0</v>
      </c>
      <c r="I167" s="39">
        <v>0.06</v>
      </c>
      <c r="J167" s="39">
        <v>0</v>
      </c>
      <c r="K167" s="39">
        <v>0</v>
      </c>
      <c r="L167" s="39">
        <v>0</v>
      </c>
      <c r="M167" s="39">
        <v>0</v>
      </c>
      <c r="N167" s="38" t="s">
        <v>48</v>
      </c>
      <c r="O167" s="39">
        <v>1.0540584</v>
      </c>
      <c r="P167" s="38" t="s">
        <v>48</v>
      </c>
      <c r="Q167" s="39">
        <f t="shared" si="34"/>
        <v>1.1140584</v>
      </c>
      <c r="R167" s="39">
        <f t="shared" si="31"/>
        <v>-0.06</v>
      </c>
      <c r="S167" s="68">
        <f t="shared" si="33"/>
        <v>-100</v>
      </c>
      <c r="T167" s="43" t="s">
        <v>439</v>
      </c>
    </row>
    <row r="168" spans="1:20" ht="30" x14ac:dyDescent="0.25">
      <c r="A168" s="30" t="s">
        <v>25</v>
      </c>
      <c r="B168" s="23" t="s">
        <v>375</v>
      </c>
      <c r="C168" s="51" t="s">
        <v>376</v>
      </c>
      <c r="D168" s="39">
        <f t="shared" si="29"/>
        <v>0</v>
      </c>
      <c r="E168" s="39">
        <v>0</v>
      </c>
      <c r="F168" s="39">
        <f t="shared" ref="F168:F245" si="38">D168-E168</f>
        <v>0</v>
      </c>
      <c r="G168" s="39">
        <f t="shared" si="37"/>
        <v>0</v>
      </c>
      <c r="H168" s="39">
        <f t="shared" si="35"/>
        <v>5.2257275999999998E-2</v>
      </c>
      <c r="I168" s="39">
        <v>0</v>
      </c>
      <c r="J168" s="39">
        <v>5.2257275999999998E-2</v>
      </c>
      <c r="K168" s="39">
        <v>0</v>
      </c>
      <c r="L168" s="39">
        <v>0</v>
      </c>
      <c r="M168" s="39">
        <v>0</v>
      </c>
      <c r="N168" s="38" t="s">
        <v>48</v>
      </c>
      <c r="O168" s="39">
        <v>0</v>
      </c>
      <c r="P168" s="38" t="s">
        <v>48</v>
      </c>
      <c r="Q168" s="39">
        <f t="shared" si="34"/>
        <v>-5.2257275999999998E-2</v>
      </c>
      <c r="R168" s="39">
        <f t="shared" si="31"/>
        <v>5.2257275999999998E-2</v>
      </c>
      <c r="S168" s="68">
        <v>0</v>
      </c>
      <c r="T168" s="42" t="s">
        <v>435</v>
      </c>
    </row>
    <row r="169" spans="1:20" ht="30" x14ac:dyDescent="0.25">
      <c r="A169" s="30" t="s">
        <v>25</v>
      </c>
      <c r="B169" s="23" t="s">
        <v>377</v>
      </c>
      <c r="C169" s="51" t="s">
        <v>378</v>
      </c>
      <c r="D169" s="39">
        <f t="shared" si="29"/>
        <v>0</v>
      </c>
      <c r="E169" s="39">
        <v>0</v>
      </c>
      <c r="F169" s="39">
        <f t="shared" si="38"/>
        <v>0</v>
      </c>
      <c r="G169" s="39">
        <f t="shared" si="37"/>
        <v>0</v>
      </c>
      <c r="H169" s="39">
        <f t="shared" si="35"/>
        <v>5.5317768000000003E-2</v>
      </c>
      <c r="I169" s="39">
        <v>0</v>
      </c>
      <c r="J169" s="39">
        <v>5.5317768000000003E-2</v>
      </c>
      <c r="K169" s="39">
        <v>0</v>
      </c>
      <c r="L169" s="39">
        <v>0</v>
      </c>
      <c r="M169" s="39">
        <v>0</v>
      </c>
      <c r="N169" s="38" t="s">
        <v>48</v>
      </c>
      <c r="O169" s="39">
        <v>0</v>
      </c>
      <c r="P169" s="38" t="s">
        <v>48</v>
      </c>
      <c r="Q169" s="39">
        <f t="shared" si="34"/>
        <v>-5.5317768000000003E-2</v>
      </c>
      <c r="R169" s="39">
        <f t="shared" si="31"/>
        <v>5.5317768000000003E-2</v>
      </c>
      <c r="S169" s="68">
        <v>0</v>
      </c>
      <c r="T169" s="42" t="s">
        <v>435</v>
      </c>
    </row>
    <row r="170" spans="1:20" ht="30" x14ac:dyDescent="0.25">
      <c r="A170" s="30" t="s">
        <v>25</v>
      </c>
      <c r="B170" s="23" t="s">
        <v>379</v>
      </c>
      <c r="C170" s="51" t="s">
        <v>380</v>
      </c>
      <c r="D170" s="39">
        <f t="shared" si="29"/>
        <v>0</v>
      </c>
      <c r="E170" s="39">
        <v>0</v>
      </c>
      <c r="F170" s="39">
        <f t="shared" si="38"/>
        <v>0</v>
      </c>
      <c r="G170" s="39">
        <f t="shared" si="37"/>
        <v>0</v>
      </c>
      <c r="H170" s="39">
        <f t="shared" si="35"/>
        <v>7.0376064000000002E-2</v>
      </c>
      <c r="I170" s="39">
        <v>0</v>
      </c>
      <c r="J170" s="39">
        <v>7.0376064000000002E-2</v>
      </c>
      <c r="K170" s="39">
        <v>0</v>
      </c>
      <c r="L170" s="39">
        <v>0</v>
      </c>
      <c r="M170" s="39">
        <v>0</v>
      </c>
      <c r="N170" s="38" t="s">
        <v>48</v>
      </c>
      <c r="O170" s="39">
        <v>0</v>
      </c>
      <c r="P170" s="38" t="s">
        <v>48</v>
      </c>
      <c r="Q170" s="39">
        <f t="shared" si="34"/>
        <v>-7.0376064000000002E-2</v>
      </c>
      <c r="R170" s="39">
        <f t="shared" si="31"/>
        <v>7.0376064000000002E-2</v>
      </c>
      <c r="S170" s="68">
        <v>0</v>
      </c>
      <c r="T170" s="42" t="s">
        <v>433</v>
      </c>
    </row>
    <row r="171" spans="1:20" ht="30" x14ac:dyDescent="0.25">
      <c r="A171" s="30" t="s">
        <v>25</v>
      </c>
      <c r="B171" s="23" t="s">
        <v>381</v>
      </c>
      <c r="C171" s="51" t="s">
        <v>382</v>
      </c>
      <c r="D171" s="39">
        <f t="shared" si="29"/>
        <v>0</v>
      </c>
      <c r="E171" s="39">
        <v>0</v>
      </c>
      <c r="F171" s="39">
        <f t="shared" si="38"/>
        <v>0</v>
      </c>
      <c r="G171" s="39">
        <f t="shared" si="37"/>
        <v>0</v>
      </c>
      <c r="H171" s="39">
        <f t="shared" si="35"/>
        <v>9.9619883999999992E-2</v>
      </c>
      <c r="I171" s="39">
        <v>0</v>
      </c>
      <c r="J171" s="39">
        <v>5.5021415999999997E-2</v>
      </c>
      <c r="K171" s="39">
        <v>0</v>
      </c>
      <c r="L171" s="39">
        <v>4.4598467999999995E-2</v>
      </c>
      <c r="M171" s="39">
        <v>0</v>
      </c>
      <c r="N171" s="38" t="s">
        <v>48</v>
      </c>
      <c r="O171" s="39">
        <v>0</v>
      </c>
      <c r="P171" s="38" t="s">
        <v>48</v>
      </c>
      <c r="Q171" s="39">
        <f t="shared" si="34"/>
        <v>-9.9619883999999992E-2</v>
      </c>
      <c r="R171" s="39">
        <f t="shared" si="31"/>
        <v>9.9619883999999992E-2</v>
      </c>
      <c r="S171" s="68">
        <v>0</v>
      </c>
      <c r="T171" s="42" t="s">
        <v>433</v>
      </c>
    </row>
    <row r="172" spans="1:20" ht="30" x14ac:dyDescent="0.25">
      <c r="A172" s="30" t="s">
        <v>25</v>
      </c>
      <c r="B172" s="23" t="s">
        <v>383</v>
      </c>
      <c r="C172" s="51" t="s">
        <v>384</v>
      </c>
      <c r="D172" s="39">
        <f t="shared" si="29"/>
        <v>0</v>
      </c>
      <c r="E172" s="39">
        <v>0</v>
      </c>
      <c r="F172" s="39">
        <f t="shared" si="38"/>
        <v>0</v>
      </c>
      <c r="G172" s="39">
        <f t="shared" si="37"/>
        <v>0</v>
      </c>
      <c r="H172" s="39">
        <f t="shared" si="35"/>
        <v>7.3959131999999997E-2</v>
      </c>
      <c r="I172" s="39">
        <v>0</v>
      </c>
      <c r="J172" s="39">
        <v>7.3959131999999997E-2</v>
      </c>
      <c r="K172" s="39">
        <v>0</v>
      </c>
      <c r="L172" s="39">
        <v>0</v>
      </c>
      <c r="M172" s="39">
        <v>0</v>
      </c>
      <c r="N172" s="38" t="s">
        <v>48</v>
      </c>
      <c r="O172" s="39">
        <v>0</v>
      </c>
      <c r="P172" s="38" t="s">
        <v>48</v>
      </c>
      <c r="Q172" s="39">
        <f t="shared" si="34"/>
        <v>-7.3959131999999997E-2</v>
      </c>
      <c r="R172" s="39">
        <f t="shared" si="31"/>
        <v>7.3959131999999997E-2</v>
      </c>
      <c r="S172" s="68">
        <v>0</v>
      </c>
      <c r="T172" s="42" t="s">
        <v>433</v>
      </c>
    </row>
    <row r="173" spans="1:20" ht="30" x14ac:dyDescent="0.25">
      <c r="A173" s="30" t="s">
        <v>25</v>
      </c>
      <c r="B173" s="23" t="s">
        <v>385</v>
      </c>
      <c r="C173" s="51" t="s">
        <v>386</v>
      </c>
      <c r="D173" s="39">
        <f t="shared" si="29"/>
        <v>0</v>
      </c>
      <c r="E173" s="39">
        <v>0</v>
      </c>
      <c r="F173" s="39">
        <f t="shared" si="38"/>
        <v>0</v>
      </c>
      <c r="G173" s="39">
        <f t="shared" si="37"/>
        <v>0</v>
      </c>
      <c r="H173" s="39">
        <f t="shared" si="35"/>
        <v>9.2915591999999991E-2</v>
      </c>
      <c r="I173" s="39">
        <v>0</v>
      </c>
      <c r="J173" s="39">
        <v>9.2915591999999991E-2</v>
      </c>
      <c r="K173" s="39">
        <v>0</v>
      </c>
      <c r="L173" s="39">
        <v>0</v>
      </c>
      <c r="M173" s="39">
        <v>0</v>
      </c>
      <c r="N173" s="38" t="s">
        <v>48</v>
      </c>
      <c r="O173" s="39">
        <v>0</v>
      </c>
      <c r="P173" s="38" t="s">
        <v>48</v>
      </c>
      <c r="Q173" s="39">
        <f t="shared" si="34"/>
        <v>-9.2915591999999991E-2</v>
      </c>
      <c r="R173" s="39">
        <f t="shared" si="31"/>
        <v>9.2915591999999991E-2</v>
      </c>
      <c r="S173" s="68">
        <v>0</v>
      </c>
      <c r="T173" s="42" t="s">
        <v>433</v>
      </c>
    </row>
    <row r="174" spans="1:20" ht="30" x14ac:dyDescent="0.25">
      <c r="A174" s="30" t="s">
        <v>25</v>
      </c>
      <c r="B174" s="23" t="s">
        <v>387</v>
      </c>
      <c r="C174" s="51" t="s">
        <v>388</v>
      </c>
      <c r="D174" s="39">
        <f t="shared" si="29"/>
        <v>0</v>
      </c>
      <c r="E174" s="39">
        <v>0</v>
      </c>
      <c r="F174" s="39">
        <f t="shared" si="38"/>
        <v>0</v>
      </c>
      <c r="G174" s="39">
        <f t="shared" si="37"/>
        <v>0</v>
      </c>
      <c r="H174" s="39">
        <f t="shared" si="35"/>
        <v>6.9647712000000001E-2</v>
      </c>
      <c r="I174" s="39">
        <v>0</v>
      </c>
      <c r="J174" s="39">
        <v>6.9647712000000001E-2</v>
      </c>
      <c r="K174" s="39">
        <v>0</v>
      </c>
      <c r="L174" s="39">
        <v>0</v>
      </c>
      <c r="M174" s="39">
        <v>0</v>
      </c>
      <c r="N174" s="38" t="s">
        <v>48</v>
      </c>
      <c r="O174" s="39">
        <v>0</v>
      </c>
      <c r="P174" s="38" t="s">
        <v>48</v>
      </c>
      <c r="Q174" s="39">
        <f t="shared" si="34"/>
        <v>-6.9647712000000001E-2</v>
      </c>
      <c r="R174" s="39">
        <f t="shared" si="31"/>
        <v>6.9647712000000001E-2</v>
      </c>
      <c r="S174" s="68">
        <v>0</v>
      </c>
      <c r="T174" s="42" t="s">
        <v>434</v>
      </c>
    </row>
    <row r="175" spans="1:20" ht="30" x14ac:dyDescent="0.25">
      <c r="A175" s="30" t="s">
        <v>25</v>
      </c>
      <c r="B175" s="23" t="s">
        <v>389</v>
      </c>
      <c r="C175" s="51" t="s">
        <v>390</v>
      </c>
      <c r="D175" s="39">
        <f t="shared" si="29"/>
        <v>0</v>
      </c>
      <c r="E175" s="39">
        <v>0</v>
      </c>
      <c r="F175" s="39">
        <f t="shared" si="38"/>
        <v>0</v>
      </c>
      <c r="G175" s="39">
        <f t="shared" si="37"/>
        <v>0</v>
      </c>
      <c r="H175" s="39">
        <f t="shared" si="35"/>
        <v>7.5607439999999998E-2</v>
      </c>
      <c r="I175" s="39">
        <v>0</v>
      </c>
      <c r="J175" s="39">
        <v>7.5607439999999998E-2</v>
      </c>
      <c r="K175" s="39">
        <v>0</v>
      </c>
      <c r="L175" s="39">
        <v>0</v>
      </c>
      <c r="M175" s="39">
        <v>0</v>
      </c>
      <c r="N175" s="38" t="s">
        <v>48</v>
      </c>
      <c r="O175" s="39">
        <v>0</v>
      </c>
      <c r="P175" s="38" t="s">
        <v>48</v>
      </c>
      <c r="Q175" s="39">
        <f t="shared" si="34"/>
        <v>-7.5607439999999998E-2</v>
      </c>
      <c r="R175" s="39">
        <f t="shared" si="31"/>
        <v>7.5607439999999998E-2</v>
      </c>
      <c r="S175" s="68">
        <v>0</v>
      </c>
      <c r="T175" s="42" t="s">
        <v>434</v>
      </c>
    </row>
    <row r="176" spans="1:20" ht="30" x14ac:dyDescent="0.25">
      <c r="A176" s="30" t="s">
        <v>25</v>
      </c>
      <c r="B176" s="23" t="s">
        <v>391</v>
      </c>
      <c r="C176" s="51" t="s">
        <v>392</v>
      </c>
      <c r="D176" s="39">
        <f t="shared" si="29"/>
        <v>0</v>
      </c>
      <c r="E176" s="39">
        <v>0</v>
      </c>
      <c r="F176" s="39">
        <f t="shared" si="38"/>
        <v>0</v>
      </c>
      <c r="G176" s="39">
        <f t="shared" si="37"/>
        <v>0</v>
      </c>
      <c r="H176" s="39">
        <f t="shared" si="35"/>
        <v>3.3876167999999998E-2</v>
      </c>
      <c r="I176" s="39">
        <v>0</v>
      </c>
      <c r="J176" s="39">
        <v>3.3876167999999998E-2</v>
      </c>
      <c r="K176" s="39">
        <v>0</v>
      </c>
      <c r="L176" s="39">
        <v>0</v>
      </c>
      <c r="M176" s="39">
        <v>0</v>
      </c>
      <c r="N176" s="38" t="s">
        <v>48</v>
      </c>
      <c r="O176" s="39">
        <v>0</v>
      </c>
      <c r="P176" s="38" t="s">
        <v>48</v>
      </c>
      <c r="Q176" s="39">
        <f t="shared" si="34"/>
        <v>-3.3876167999999998E-2</v>
      </c>
      <c r="R176" s="39">
        <f t="shared" si="31"/>
        <v>3.3876167999999998E-2</v>
      </c>
      <c r="S176" s="68">
        <v>0</v>
      </c>
      <c r="T176" s="42" t="s">
        <v>434</v>
      </c>
    </row>
    <row r="177" spans="1:20" ht="30" x14ac:dyDescent="0.25">
      <c r="A177" s="30" t="s">
        <v>25</v>
      </c>
      <c r="B177" s="23" t="s">
        <v>393</v>
      </c>
      <c r="C177" s="51" t="s">
        <v>394</v>
      </c>
      <c r="D177" s="39">
        <f t="shared" si="29"/>
        <v>0</v>
      </c>
      <c r="E177" s="39">
        <v>0</v>
      </c>
      <c r="F177" s="39">
        <f t="shared" si="38"/>
        <v>0</v>
      </c>
      <c r="G177" s="39">
        <f t="shared" si="37"/>
        <v>0</v>
      </c>
      <c r="H177" s="39">
        <f t="shared" si="35"/>
        <v>1.8885203999999999E-2</v>
      </c>
      <c r="I177" s="39">
        <v>0</v>
      </c>
      <c r="J177" s="39">
        <v>1.8885203999999999E-2</v>
      </c>
      <c r="K177" s="39">
        <v>0</v>
      </c>
      <c r="L177" s="39">
        <v>0</v>
      </c>
      <c r="M177" s="39">
        <v>0</v>
      </c>
      <c r="N177" s="38" t="s">
        <v>48</v>
      </c>
      <c r="O177" s="39">
        <v>0</v>
      </c>
      <c r="P177" s="38" t="s">
        <v>48</v>
      </c>
      <c r="Q177" s="39">
        <f t="shared" si="34"/>
        <v>-1.8885203999999999E-2</v>
      </c>
      <c r="R177" s="39">
        <f t="shared" si="31"/>
        <v>1.8885203999999999E-2</v>
      </c>
      <c r="S177" s="68">
        <v>0</v>
      </c>
      <c r="T177" s="42" t="s">
        <v>434</v>
      </c>
    </row>
    <row r="178" spans="1:20" ht="30" x14ac:dyDescent="0.25">
      <c r="A178" s="30" t="s">
        <v>25</v>
      </c>
      <c r="B178" s="23" t="s">
        <v>395</v>
      </c>
      <c r="C178" s="51" t="s">
        <v>396</v>
      </c>
      <c r="D178" s="39">
        <f t="shared" si="29"/>
        <v>0</v>
      </c>
      <c r="E178" s="39">
        <v>0</v>
      </c>
      <c r="F178" s="39">
        <f t="shared" si="38"/>
        <v>0</v>
      </c>
      <c r="G178" s="39">
        <f t="shared" si="37"/>
        <v>0</v>
      </c>
      <c r="H178" s="39">
        <f t="shared" si="35"/>
        <v>0.10463767199999999</v>
      </c>
      <c r="I178" s="39">
        <v>0</v>
      </c>
      <c r="J178" s="39">
        <v>1.7119055999999997E-2</v>
      </c>
      <c r="K178" s="39">
        <v>0</v>
      </c>
      <c r="L178" s="39">
        <v>8.7518615999999994E-2</v>
      </c>
      <c r="M178" s="39">
        <v>0</v>
      </c>
      <c r="N178" s="38" t="s">
        <v>48</v>
      </c>
      <c r="O178" s="39">
        <v>0</v>
      </c>
      <c r="P178" s="38" t="s">
        <v>48</v>
      </c>
      <c r="Q178" s="39">
        <f t="shared" si="34"/>
        <v>-0.10463767199999999</v>
      </c>
      <c r="R178" s="39">
        <f t="shared" si="31"/>
        <v>0.10463767199999999</v>
      </c>
      <c r="S178" s="68">
        <v>0</v>
      </c>
      <c r="T178" s="42" t="s">
        <v>434</v>
      </c>
    </row>
    <row r="179" spans="1:20" ht="30" x14ac:dyDescent="0.25">
      <c r="A179" s="30" t="s">
        <v>25</v>
      </c>
      <c r="B179" s="23" t="s">
        <v>590</v>
      </c>
      <c r="C179" s="51" t="s">
        <v>591</v>
      </c>
      <c r="D179" s="39">
        <v>0</v>
      </c>
      <c r="E179" s="39">
        <v>0</v>
      </c>
      <c r="F179" s="39">
        <v>0</v>
      </c>
      <c r="G179" s="39">
        <v>0</v>
      </c>
      <c r="H179" s="39">
        <f t="shared" si="35"/>
        <v>7.0754940000000002E-2</v>
      </c>
      <c r="I179" s="39">
        <v>0</v>
      </c>
      <c r="J179" s="39">
        <v>0</v>
      </c>
      <c r="K179" s="39">
        <v>0</v>
      </c>
      <c r="L179" s="39">
        <v>7.0754940000000002E-2</v>
      </c>
      <c r="M179" s="39">
        <v>0</v>
      </c>
      <c r="N179" s="38" t="s">
        <v>48</v>
      </c>
      <c r="O179" s="39">
        <v>0</v>
      </c>
      <c r="P179" s="38" t="s">
        <v>48</v>
      </c>
      <c r="Q179" s="39">
        <f t="shared" si="34"/>
        <v>-7.0754940000000002E-2</v>
      </c>
      <c r="R179" s="39">
        <f t="shared" si="31"/>
        <v>7.0754940000000002E-2</v>
      </c>
      <c r="S179" s="68">
        <v>0</v>
      </c>
      <c r="T179" s="42" t="s">
        <v>433</v>
      </c>
    </row>
    <row r="180" spans="1:20" ht="30" x14ac:dyDescent="0.25">
      <c r="A180" s="30" t="s">
        <v>25</v>
      </c>
      <c r="B180" s="23" t="s">
        <v>592</v>
      </c>
      <c r="C180" s="51" t="s">
        <v>593</v>
      </c>
      <c r="D180" s="39">
        <v>0</v>
      </c>
      <c r="E180" s="39">
        <v>0</v>
      </c>
      <c r="F180" s="39">
        <v>0</v>
      </c>
      <c r="G180" s="39">
        <v>0</v>
      </c>
      <c r="H180" s="39">
        <f t="shared" si="35"/>
        <v>4.9573463999999991E-2</v>
      </c>
      <c r="I180" s="39">
        <v>0</v>
      </c>
      <c r="J180" s="39">
        <v>0</v>
      </c>
      <c r="K180" s="39">
        <v>0</v>
      </c>
      <c r="L180" s="39">
        <v>4.9573463999999991E-2</v>
      </c>
      <c r="M180" s="39">
        <v>0</v>
      </c>
      <c r="N180" s="38" t="s">
        <v>48</v>
      </c>
      <c r="O180" s="39">
        <v>0</v>
      </c>
      <c r="P180" s="38" t="s">
        <v>48</v>
      </c>
      <c r="Q180" s="39">
        <f t="shared" si="34"/>
        <v>-4.9573463999999991E-2</v>
      </c>
      <c r="R180" s="39">
        <f t="shared" si="31"/>
        <v>4.9573463999999991E-2</v>
      </c>
      <c r="S180" s="68">
        <v>0</v>
      </c>
      <c r="T180" s="42" t="s">
        <v>434</v>
      </c>
    </row>
    <row r="181" spans="1:20" ht="30" x14ac:dyDescent="0.25">
      <c r="A181" s="30" t="s">
        <v>25</v>
      </c>
      <c r="B181" s="23" t="s">
        <v>594</v>
      </c>
      <c r="C181" s="51" t="s">
        <v>595</v>
      </c>
      <c r="D181" s="39">
        <v>0</v>
      </c>
      <c r="E181" s="39">
        <v>0</v>
      </c>
      <c r="F181" s="39">
        <v>0</v>
      </c>
      <c r="G181" s="39">
        <v>0</v>
      </c>
      <c r="H181" s="39">
        <f t="shared" si="35"/>
        <v>2.2944552E-2</v>
      </c>
      <c r="I181" s="39">
        <v>0</v>
      </c>
      <c r="J181" s="39">
        <v>0</v>
      </c>
      <c r="K181" s="39">
        <v>0</v>
      </c>
      <c r="L181" s="39">
        <v>2.2944552E-2</v>
      </c>
      <c r="M181" s="39">
        <v>0</v>
      </c>
      <c r="N181" s="38" t="s">
        <v>48</v>
      </c>
      <c r="O181" s="39">
        <v>0</v>
      </c>
      <c r="P181" s="38" t="s">
        <v>48</v>
      </c>
      <c r="Q181" s="39">
        <f t="shared" si="34"/>
        <v>-2.2944552E-2</v>
      </c>
      <c r="R181" s="39">
        <f t="shared" si="31"/>
        <v>2.2944552E-2</v>
      </c>
      <c r="S181" s="68">
        <v>0</v>
      </c>
      <c r="T181" s="42" t="s">
        <v>434</v>
      </c>
    </row>
    <row r="182" spans="1:20" x14ac:dyDescent="0.25">
      <c r="A182" s="30" t="s">
        <v>25</v>
      </c>
      <c r="B182" s="23" t="s">
        <v>596</v>
      </c>
      <c r="C182" s="51" t="s">
        <v>597</v>
      </c>
      <c r="D182" s="39">
        <v>0</v>
      </c>
      <c r="E182" s="39">
        <v>0</v>
      </c>
      <c r="F182" s="39">
        <v>0</v>
      </c>
      <c r="G182" s="39">
        <v>0</v>
      </c>
      <c r="H182" s="39">
        <f t="shared" si="35"/>
        <v>3.1017503999999994E-2</v>
      </c>
      <c r="I182" s="39">
        <v>0</v>
      </c>
      <c r="J182" s="39">
        <v>0</v>
      </c>
      <c r="K182" s="39">
        <v>0</v>
      </c>
      <c r="L182" s="39">
        <v>3.1017503999999994E-2</v>
      </c>
      <c r="M182" s="39">
        <v>0</v>
      </c>
      <c r="N182" s="38" t="s">
        <v>48</v>
      </c>
      <c r="O182" s="39">
        <v>0</v>
      </c>
      <c r="P182" s="38" t="s">
        <v>48</v>
      </c>
      <c r="Q182" s="39">
        <f t="shared" si="34"/>
        <v>-3.1017503999999994E-2</v>
      </c>
      <c r="R182" s="39">
        <f t="shared" si="31"/>
        <v>3.1017503999999994E-2</v>
      </c>
      <c r="S182" s="68">
        <v>0</v>
      </c>
      <c r="T182" s="42" t="s">
        <v>438</v>
      </c>
    </row>
    <row r="183" spans="1:20" ht="30" x14ac:dyDescent="0.25">
      <c r="A183" s="30" t="s">
        <v>25</v>
      </c>
      <c r="B183" s="23" t="s">
        <v>598</v>
      </c>
      <c r="C183" s="51" t="s">
        <v>599</v>
      </c>
      <c r="D183" s="39">
        <v>0</v>
      </c>
      <c r="E183" s="39">
        <v>0</v>
      </c>
      <c r="F183" s="39">
        <v>0</v>
      </c>
      <c r="G183" s="39">
        <v>0</v>
      </c>
      <c r="H183" s="39">
        <f t="shared" si="35"/>
        <v>0.13769780399999998</v>
      </c>
      <c r="I183" s="39">
        <v>0</v>
      </c>
      <c r="J183" s="39">
        <v>0</v>
      </c>
      <c r="K183" s="39">
        <v>0</v>
      </c>
      <c r="L183" s="39">
        <v>0.13769780399999998</v>
      </c>
      <c r="M183" s="39">
        <v>0</v>
      </c>
      <c r="N183" s="38" t="s">
        <v>48</v>
      </c>
      <c r="O183" s="39">
        <v>0</v>
      </c>
      <c r="P183" s="38" t="s">
        <v>48</v>
      </c>
      <c r="Q183" s="39">
        <f t="shared" si="34"/>
        <v>-0.13769780399999998</v>
      </c>
      <c r="R183" s="39">
        <f t="shared" si="31"/>
        <v>0.13769780399999998</v>
      </c>
      <c r="S183" s="68">
        <v>0</v>
      </c>
      <c r="T183" s="42" t="s">
        <v>434</v>
      </c>
    </row>
    <row r="184" spans="1:20" ht="30" x14ac:dyDescent="0.25">
      <c r="A184" s="30" t="s">
        <v>25</v>
      </c>
      <c r="B184" s="23" t="s">
        <v>122</v>
      </c>
      <c r="C184" s="24" t="s">
        <v>123</v>
      </c>
      <c r="D184" s="39">
        <f t="shared" si="29"/>
        <v>0.30541317966101705</v>
      </c>
      <c r="E184" s="39">
        <v>0</v>
      </c>
      <c r="F184" s="39">
        <f t="shared" si="38"/>
        <v>0.30541317966101705</v>
      </c>
      <c r="G184" s="39">
        <f t="shared" ref="G184:G207" si="39">I184+K184+M184+O184</f>
        <v>0.30541317966101705</v>
      </c>
      <c r="H184" s="39">
        <f t="shared" si="35"/>
        <v>0</v>
      </c>
      <c r="I184" s="39">
        <v>0</v>
      </c>
      <c r="J184" s="39">
        <v>0</v>
      </c>
      <c r="K184" s="39">
        <v>0</v>
      </c>
      <c r="L184" s="39">
        <v>0</v>
      </c>
      <c r="M184" s="39">
        <v>0.30541317966101705</v>
      </c>
      <c r="N184" s="38" t="s">
        <v>48</v>
      </c>
      <c r="O184" s="39">
        <v>0</v>
      </c>
      <c r="P184" s="38" t="s">
        <v>48</v>
      </c>
      <c r="Q184" s="39">
        <f t="shared" si="34"/>
        <v>0.30541317966101705</v>
      </c>
      <c r="R184" s="39">
        <f t="shared" si="31"/>
        <v>0</v>
      </c>
      <c r="S184" s="68">
        <v>0</v>
      </c>
      <c r="T184" s="38" t="s">
        <v>48</v>
      </c>
    </row>
    <row r="185" spans="1:20" ht="30" x14ac:dyDescent="0.25">
      <c r="A185" s="30" t="s">
        <v>25</v>
      </c>
      <c r="B185" s="23" t="s">
        <v>124</v>
      </c>
      <c r="C185" s="24" t="s">
        <v>125</v>
      </c>
      <c r="D185" s="39">
        <f t="shared" si="29"/>
        <v>0.22905988474576283</v>
      </c>
      <c r="E185" s="39">
        <v>0</v>
      </c>
      <c r="F185" s="39">
        <f t="shared" si="38"/>
        <v>0.22905988474576283</v>
      </c>
      <c r="G185" s="39">
        <f t="shared" si="39"/>
        <v>0.22905988474576283</v>
      </c>
      <c r="H185" s="39">
        <f t="shared" si="35"/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0.22905988474576283</v>
      </c>
      <c r="N185" s="38" t="s">
        <v>48</v>
      </c>
      <c r="O185" s="39">
        <v>0</v>
      </c>
      <c r="P185" s="38" t="s">
        <v>48</v>
      </c>
      <c r="Q185" s="39">
        <f t="shared" si="34"/>
        <v>0.22905988474576283</v>
      </c>
      <c r="R185" s="39">
        <f t="shared" si="31"/>
        <v>0</v>
      </c>
      <c r="S185" s="68">
        <v>0</v>
      </c>
      <c r="T185" s="38" t="s">
        <v>48</v>
      </c>
    </row>
    <row r="186" spans="1:20" ht="30" x14ac:dyDescent="0.25">
      <c r="A186" s="30" t="s">
        <v>25</v>
      </c>
      <c r="B186" s="23" t="s">
        <v>126</v>
      </c>
      <c r="C186" s="24" t="s">
        <v>127</v>
      </c>
      <c r="D186" s="39">
        <f t="shared" si="29"/>
        <v>0.22905988474576283</v>
      </c>
      <c r="E186" s="39">
        <v>0</v>
      </c>
      <c r="F186" s="39">
        <f t="shared" si="38"/>
        <v>0.22905988474576283</v>
      </c>
      <c r="G186" s="39">
        <f t="shared" si="39"/>
        <v>0.22905988474576283</v>
      </c>
      <c r="H186" s="39">
        <f t="shared" si="35"/>
        <v>0</v>
      </c>
      <c r="I186" s="39">
        <v>0</v>
      </c>
      <c r="J186" s="39">
        <v>0</v>
      </c>
      <c r="K186" s="39">
        <v>0</v>
      </c>
      <c r="L186" s="39">
        <v>0</v>
      </c>
      <c r="M186" s="39">
        <v>0.22905988474576283</v>
      </c>
      <c r="N186" s="38" t="s">
        <v>48</v>
      </c>
      <c r="O186" s="39">
        <v>0</v>
      </c>
      <c r="P186" s="38" t="s">
        <v>48</v>
      </c>
      <c r="Q186" s="39">
        <f t="shared" si="34"/>
        <v>0.22905988474576283</v>
      </c>
      <c r="R186" s="39">
        <f t="shared" si="31"/>
        <v>0</v>
      </c>
      <c r="S186" s="68">
        <v>0</v>
      </c>
      <c r="T186" s="38" t="s">
        <v>48</v>
      </c>
    </row>
    <row r="187" spans="1:20" ht="30" x14ac:dyDescent="0.25">
      <c r="A187" s="30" t="s">
        <v>25</v>
      </c>
      <c r="B187" s="23" t="s">
        <v>128</v>
      </c>
      <c r="C187" s="24" t="s">
        <v>129</v>
      </c>
      <c r="D187" s="39">
        <f t="shared" si="29"/>
        <v>0.22905988474576283</v>
      </c>
      <c r="E187" s="39">
        <v>0</v>
      </c>
      <c r="F187" s="39">
        <f t="shared" si="38"/>
        <v>0.22905988474576283</v>
      </c>
      <c r="G187" s="39">
        <f t="shared" si="39"/>
        <v>0.22905988474576283</v>
      </c>
      <c r="H187" s="39">
        <f t="shared" si="35"/>
        <v>0</v>
      </c>
      <c r="I187" s="39">
        <v>0</v>
      </c>
      <c r="J187" s="39">
        <v>0</v>
      </c>
      <c r="K187" s="39">
        <v>0</v>
      </c>
      <c r="L187" s="39">
        <v>0</v>
      </c>
      <c r="M187" s="39">
        <v>0.22905988474576283</v>
      </c>
      <c r="N187" s="38" t="s">
        <v>48</v>
      </c>
      <c r="O187" s="39">
        <v>0</v>
      </c>
      <c r="P187" s="38" t="s">
        <v>48</v>
      </c>
      <c r="Q187" s="39">
        <f t="shared" si="34"/>
        <v>0.22905988474576283</v>
      </c>
      <c r="R187" s="39">
        <f t="shared" si="31"/>
        <v>0</v>
      </c>
      <c r="S187" s="68">
        <v>0</v>
      </c>
      <c r="T187" s="38" t="s">
        <v>48</v>
      </c>
    </row>
    <row r="188" spans="1:20" ht="30" x14ac:dyDescent="0.25">
      <c r="A188" s="30" t="s">
        <v>25</v>
      </c>
      <c r="B188" s="23" t="s">
        <v>130</v>
      </c>
      <c r="C188" s="24" t="s">
        <v>131</v>
      </c>
      <c r="D188" s="39">
        <f t="shared" si="29"/>
        <v>0.30541317966101705</v>
      </c>
      <c r="E188" s="39">
        <v>0</v>
      </c>
      <c r="F188" s="39">
        <f t="shared" si="38"/>
        <v>0.30541317966101705</v>
      </c>
      <c r="G188" s="39">
        <f t="shared" si="39"/>
        <v>0.30541317966101705</v>
      </c>
      <c r="H188" s="39">
        <f t="shared" si="35"/>
        <v>0</v>
      </c>
      <c r="I188" s="39">
        <v>0</v>
      </c>
      <c r="J188" s="39">
        <v>0</v>
      </c>
      <c r="K188" s="39">
        <v>0</v>
      </c>
      <c r="L188" s="39">
        <v>0</v>
      </c>
      <c r="M188" s="39">
        <v>0.30541317966101705</v>
      </c>
      <c r="N188" s="38" t="s">
        <v>48</v>
      </c>
      <c r="O188" s="39">
        <v>0</v>
      </c>
      <c r="P188" s="38" t="s">
        <v>48</v>
      </c>
      <c r="Q188" s="39">
        <f t="shared" si="34"/>
        <v>0.30541317966101705</v>
      </c>
      <c r="R188" s="39">
        <f t="shared" si="31"/>
        <v>0</v>
      </c>
      <c r="S188" s="68">
        <v>0</v>
      </c>
      <c r="T188" s="38" t="s">
        <v>48</v>
      </c>
    </row>
    <row r="189" spans="1:20" ht="30" x14ac:dyDescent="0.25">
      <c r="A189" s="30" t="s">
        <v>25</v>
      </c>
      <c r="B189" s="23" t="s">
        <v>132</v>
      </c>
      <c r="C189" s="24" t="s">
        <v>133</v>
      </c>
      <c r="D189" s="39">
        <f t="shared" si="29"/>
        <v>0.22905988474576283</v>
      </c>
      <c r="E189" s="39">
        <v>0</v>
      </c>
      <c r="F189" s="39">
        <f t="shared" si="38"/>
        <v>0.22905988474576283</v>
      </c>
      <c r="G189" s="39">
        <f t="shared" si="39"/>
        <v>0.22905988474576283</v>
      </c>
      <c r="H189" s="39">
        <f t="shared" si="35"/>
        <v>0</v>
      </c>
      <c r="I189" s="39">
        <v>0</v>
      </c>
      <c r="J189" s="39">
        <v>0</v>
      </c>
      <c r="K189" s="39">
        <v>0</v>
      </c>
      <c r="L189" s="39">
        <v>0</v>
      </c>
      <c r="M189" s="39">
        <v>0.22905988474576283</v>
      </c>
      <c r="N189" s="38" t="s">
        <v>48</v>
      </c>
      <c r="O189" s="39">
        <v>0</v>
      </c>
      <c r="P189" s="38" t="s">
        <v>48</v>
      </c>
      <c r="Q189" s="39">
        <f t="shared" si="34"/>
        <v>0.22905988474576283</v>
      </c>
      <c r="R189" s="39">
        <f t="shared" si="31"/>
        <v>0</v>
      </c>
      <c r="S189" s="68">
        <v>0</v>
      </c>
      <c r="T189" s="38" t="s">
        <v>48</v>
      </c>
    </row>
    <row r="190" spans="1:20" ht="30" x14ac:dyDescent="0.25">
      <c r="A190" s="30" t="s">
        <v>25</v>
      </c>
      <c r="B190" s="31" t="s">
        <v>134</v>
      </c>
      <c r="C190" s="32" t="s">
        <v>135</v>
      </c>
      <c r="D190" s="39">
        <f t="shared" si="29"/>
        <v>0.124959661016949</v>
      </c>
      <c r="E190" s="39">
        <v>0</v>
      </c>
      <c r="F190" s="39">
        <f t="shared" si="38"/>
        <v>0.124959661016949</v>
      </c>
      <c r="G190" s="39">
        <f t="shared" si="39"/>
        <v>0.124959661016949</v>
      </c>
      <c r="H190" s="39">
        <f t="shared" si="35"/>
        <v>0</v>
      </c>
      <c r="I190" s="39">
        <v>0</v>
      </c>
      <c r="J190" s="39">
        <v>0</v>
      </c>
      <c r="K190" s="39">
        <v>0</v>
      </c>
      <c r="L190" s="39">
        <v>0</v>
      </c>
      <c r="M190" s="39">
        <v>0.124959661016949</v>
      </c>
      <c r="N190" s="38" t="s">
        <v>48</v>
      </c>
      <c r="O190" s="39">
        <v>0</v>
      </c>
      <c r="P190" s="38" t="s">
        <v>48</v>
      </c>
      <c r="Q190" s="39">
        <f t="shared" si="34"/>
        <v>0.124959661016949</v>
      </c>
      <c r="R190" s="39">
        <f t="shared" si="31"/>
        <v>0</v>
      </c>
      <c r="S190" s="68">
        <v>0</v>
      </c>
      <c r="T190" s="38" t="s">
        <v>48</v>
      </c>
    </row>
    <row r="191" spans="1:20" ht="30" x14ac:dyDescent="0.25">
      <c r="A191" s="30" t="s">
        <v>25</v>
      </c>
      <c r="B191" s="23" t="s">
        <v>136</v>
      </c>
      <c r="C191" s="24" t="s">
        <v>137</v>
      </c>
      <c r="D191" s="39">
        <f t="shared" si="29"/>
        <v>0.37805489735593195</v>
      </c>
      <c r="E191" s="39">
        <v>0</v>
      </c>
      <c r="F191" s="39">
        <f t="shared" si="38"/>
        <v>0.37805489735593195</v>
      </c>
      <c r="G191" s="39">
        <f t="shared" si="39"/>
        <v>0.37805489735593195</v>
      </c>
      <c r="H191" s="39">
        <f t="shared" si="35"/>
        <v>0</v>
      </c>
      <c r="I191" s="39">
        <v>0</v>
      </c>
      <c r="J191" s="39">
        <v>0</v>
      </c>
      <c r="K191" s="39">
        <v>0</v>
      </c>
      <c r="L191" s="39">
        <v>0</v>
      </c>
      <c r="M191" s="39">
        <v>0.37805489735593195</v>
      </c>
      <c r="N191" s="38" t="s">
        <v>48</v>
      </c>
      <c r="O191" s="39">
        <v>0</v>
      </c>
      <c r="P191" s="38" t="s">
        <v>48</v>
      </c>
      <c r="Q191" s="39">
        <f t="shared" si="34"/>
        <v>0.37805489735593195</v>
      </c>
      <c r="R191" s="39">
        <f t="shared" si="31"/>
        <v>0</v>
      </c>
      <c r="S191" s="68">
        <v>0</v>
      </c>
      <c r="T191" s="38" t="s">
        <v>48</v>
      </c>
    </row>
    <row r="192" spans="1:20" ht="30" x14ac:dyDescent="0.25">
      <c r="A192" s="30" t="s">
        <v>25</v>
      </c>
      <c r="B192" s="23" t="s">
        <v>138</v>
      </c>
      <c r="C192" s="24" t="s">
        <v>139</v>
      </c>
      <c r="D192" s="39">
        <f t="shared" si="29"/>
        <v>0.13817999267796602</v>
      </c>
      <c r="E192" s="39">
        <v>0</v>
      </c>
      <c r="F192" s="39">
        <f t="shared" si="38"/>
        <v>0.13817999267796602</v>
      </c>
      <c r="G192" s="39">
        <f t="shared" si="39"/>
        <v>0.13817999267796602</v>
      </c>
      <c r="H192" s="39">
        <f t="shared" si="35"/>
        <v>0</v>
      </c>
      <c r="I192" s="39">
        <v>0</v>
      </c>
      <c r="J192" s="39">
        <v>0</v>
      </c>
      <c r="K192" s="39">
        <v>0</v>
      </c>
      <c r="L192" s="39">
        <v>0</v>
      </c>
      <c r="M192" s="39">
        <v>0.13817999267796602</v>
      </c>
      <c r="N192" s="38" t="s">
        <v>48</v>
      </c>
      <c r="O192" s="39">
        <v>0</v>
      </c>
      <c r="P192" s="38" t="s">
        <v>48</v>
      </c>
      <c r="Q192" s="39">
        <f t="shared" si="34"/>
        <v>0.13817999267796602</v>
      </c>
      <c r="R192" s="39">
        <f t="shared" si="31"/>
        <v>0</v>
      </c>
      <c r="S192" s="68">
        <v>0</v>
      </c>
      <c r="T192" s="38" t="s">
        <v>48</v>
      </c>
    </row>
    <row r="193" spans="1:20" ht="30" x14ac:dyDescent="0.25">
      <c r="A193" s="30" t="s">
        <v>25</v>
      </c>
      <c r="B193" s="23" t="s">
        <v>140</v>
      </c>
      <c r="C193" s="24" t="s">
        <v>141</v>
      </c>
      <c r="D193" s="39">
        <f t="shared" si="29"/>
        <v>0.14529864467796602</v>
      </c>
      <c r="E193" s="39">
        <v>0</v>
      </c>
      <c r="F193" s="39">
        <f t="shared" si="38"/>
        <v>0.14529864467796602</v>
      </c>
      <c r="G193" s="39">
        <f t="shared" si="39"/>
        <v>0.14529864467796602</v>
      </c>
      <c r="H193" s="39">
        <f t="shared" si="35"/>
        <v>0</v>
      </c>
      <c r="I193" s="39">
        <v>0</v>
      </c>
      <c r="J193" s="39">
        <v>0</v>
      </c>
      <c r="K193" s="39">
        <v>0</v>
      </c>
      <c r="L193" s="39">
        <v>0</v>
      </c>
      <c r="M193" s="39">
        <v>0.14529864467796602</v>
      </c>
      <c r="N193" s="38" t="s">
        <v>48</v>
      </c>
      <c r="O193" s="39">
        <v>0</v>
      </c>
      <c r="P193" s="38" t="s">
        <v>48</v>
      </c>
      <c r="Q193" s="39">
        <f t="shared" si="34"/>
        <v>0.14529864467796602</v>
      </c>
      <c r="R193" s="39">
        <f t="shared" si="31"/>
        <v>0</v>
      </c>
      <c r="S193" s="68">
        <v>0</v>
      </c>
      <c r="T193" s="38" t="s">
        <v>48</v>
      </c>
    </row>
    <row r="194" spans="1:20" ht="30" x14ac:dyDescent="0.25">
      <c r="A194" s="30" t="s">
        <v>25</v>
      </c>
      <c r="B194" s="23" t="s">
        <v>142</v>
      </c>
      <c r="C194" s="24" t="s">
        <v>143</v>
      </c>
      <c r="D194" s="39">
        <f t="shared" si="29"/>
        <v>0.34699626101694897</v>
      </c>
      <c r="E194" s="39">
        <v>0</v>
      </c>
      <c r="F194" s="39">
        <f t="shared" si="38"/>
        <v>0.34699626101694897</v>
      </c>
      <c r="G194" s="39">
        <f t="shared" si="39"/>
        <v>0.34699626101694897</v>
      </c>
      <c r="H194" s="39">
        <f t="shared" si="35"/>
        <v>0</v>
      </c>
      <c r="I194" s="39">
        <v>0</v>
      </c>
      <c r="J194" s="39">
        <v>0</v>
      </c>
      <c r="K194" s="39">
        <v>0</v>
      </c>
      <c r="L194" s="39">
        <v>0</v>
      </c>
      <c r="M194" s="39">
        <v>0.34699626101694897</v>
      </c>
      <c r="N194" s="38" t="s">
        <v>48</v>
      </c>
      <c r="O194" s="39">
        <v>0</v>
      </c>
      <c r="P194" s="38" t="s">
        <v>48</v>
      </c>
      <c r="Q194" s="39">
        <f t="shared" si="34"/>
        <v>0.34699626101694897</v>
      </c>
      <c r="R194" s="39">
        <f t="shared" si="31"/>
        <v>0</v>
      </c>
      <c r="S194" s="68">
        <v>0</v>
      </c>
      <c r="T194" s="38" t="s">
        <v>48</v>
      </c>
    </row>
    <row r="195" spans="1:20" ht="30" x14ac:dyDescent="0.25">
      <c r="A195" s="30" t="s">
        <v>25</v>
      </c>
      <c r="B195" s="23" t="s">
        <v>144</v>
      </c>
      <c r="C195" s="24" t="s">
        <v>145</v>
      </c>
      <c r="D195" s="39">
        <f t="shared" si="29"/>
        <v>5.4873551999999999E-2</v>
      </c>
      <c r="E195" s="39">
        <v>0</v>
      </c>
      <c r="F195" s="39">
        <f t="shared" si="38"/>
        <v>5.4873551999999999E-2</v>
      </c>
      <c r="G195" s="39">
        <f t="shared" si="39"/>
        <v>5.4873551999999999E-2</v>
      </c>
      <c r="H195" s="39">
        <f t="shared" si="35"/>
        <v>0</v>
      </c>
      <c r="I195" s="39">
        <v>0</v>
      </c>
      <c r="J195" s="39">
        <v>0</v>
      </c>
      <c r="K195" s="39">
        <v>0</v>
      </c>
      <c r="L195" s="39">
        <v>0</v>
      </c>
      <c r="M195" s="39">
        <v>5.4873551999999999E-2</v>
      </c>
      <c r="N195" s="38" t="s">
        <v>48</v>
      </c>
      <c r="O195" s="39">
        <v>0</v>
      </c>
      <c r="P195" s="38" t="s">
        <v>48</v>
      </c>
      <c r="Q195" s="39">
        <f t="shared" si="34"/>
        <v>5.4873551999999999E-2</v>
      </c>
      <c r="R195" s="39">
        <f t="shared" si="31"/>
        <v>0</v>
      </c>
      <c r="S195" s="68">
        <v>0</v>
      </c>
      <c r="T195" s="38" t="s">
        <v>48</v>
      </c>
    </row>
    <row r="196" spans="1:20" ht="30" x14ac:dyDescent="0.25">
      <c r="A196" s="30" t="s">
        <v>25</v>
      </c>
      <c r="B196" s="23" t="s">
        <v>146</v>
      </c>
      <c r="C196" s="24" t="s">
        <v>147</v>
      </c>
      <c r="D196" s="39">
        <f t="shared" si="29"/>
        <v>0.13919694467796601</v>
      </c>
      <c r="E196" s="39">
        <v>0</v>
      </c>
      <c r="F196" s="39">
        <f t="shared" si="38"/>
        <v>0.13919694467796601</v>
      </c>
      <c r="G196" s="39">
        <f t="shared" si="39"/>
        <v>0.13919694467796601</v>
      </c>
      <c r="H196" s="39">
        <f t="shared" si="35"/>
        <v>0</v>
      </c>
      <c r="I196" s="39">
        <v>0</v>
      </c>
      <c r="J196" s="39">
        <v>0</v>
      </c>
      <c r="K196" s="39">
        <v>0</v>
      </c>
      <c r="L196" s="39">
        <v>0</v>
      </c>
      <c r="M196" s="39">
        <v>0.13919694467796601</v>
      </c>
      <c r="N196" s="38" t="s">
        <v>48</v>
      </c>
      <c r="O196" s="39">
        <v>0</v>
      </c>
      <c r="P196" s="38" t="s">
        <v>48</v>
      </c>
      <c r="Q196" s="39">
        <f t="shared" si="34"/>
        <v>0.13919694467796601</v>
      </c>
      <c r="R196" s="39">
        <f t="shared" si="31"/>
        <v>0</v>
      </c>
      <c r="S196" s="68">
        <v>0</v>
      </c>
      <c r="T196" s="38" t="s">
        <v>48</v>
      </c>
    </row>
    <row r="197" spans="1:20" ht="30" x14ac:dyDescent="0.25">
      <c r="A197" s="30" t="s">
        <v>25</v>
      </c>
      <c r="B197" s="23" t="s">
        <v>148</v>
      </c>
      <c r="C197" s="24" t="s">
        <v>149</v>
      </c>
      <c r="D197" s="39">
        <f t="shared" si="29"/>
        <v>0.19407050033898296</v>
      </c>
      <c r="E197" s="39">
        <v>0</v>
      </c>
      <c r="F197" s="39">
        <f t="shared" si="38"/>
        <v>0.19407050033898296</v>
      </c>
      <c r="G197" s="39">
        <f t="shared" si="39"/>
        <v>0.19407050033898296</v>
      </c>
      <c r="H197" s="39">
        <f t="shared" si="35"/>
        <v>0</v>
      </c>
      <c r="I197" s="39">
        <v>0</v>
      </c>
      <c r="J197" s="39">
        <v>0</v>
      </c>
      <c r="K197" s="39">
        <v>0</v>
      </c>
      <c r="L197" s="39">
        <v>0</v>
      </c>
      <c r="M197" s="39">
        <v>0.19407050033898296</v>
      </c>
      <c r="N197" s="38" t="s">
        <v>48</v>
      </c>
      <c r="O197" s="39">
        <v>0</v>
      </c>
      <c r="P197" s="38" t="s">
        <v>48</v>
      </c>
      <c r="Q197" s="39">
        <f t="shared" si="34"/>
        <v>0.19407050033898296</v>
      </c>
      <c r="R197" s="39">
        <f t="shared" si="31"/>
        <v>0</v>
      </c>
      <c r="S197" s="68">
        <v>0</v>
      </c>
      <c r="T197" s="38" t="s">
        <v>48</v>
      </c>
    </row>
    <row r="198" spans="1:20" ht="30" x14ac:dyDescent="0.25">
      <c r="A198" s="30" t="s">
        <v>25</v>
      </c>
      <c r="B198" s="23" t="s">
        <v>150</v>
      </c>
      <c r="C198" s="24" t="s">
        <v>151</v>
      </c>
      <c r="D198" s="39">
        <f t="shared" si="29"/>
        <v>1.139064467796612</v>
      </c>
      <c r="E198" s="39">
        <v>0</v>
      </c>
      <c r="F198" s="39">
        <f t="shared" si="38"/>
        <v>1.139064467796612</v>
      </c>
      <c r="G198" s="39">
        <f t="shared" si="39"/>
        <v>1.139064467796612</v>
      </c>
      <c r="H198" s="39">
        <f t="shared" si="35"/>
        <v>0</v>
      </c>
      <c r="I198" s="39">
        <v>0</v>
      </c>
      <c r="J198" s="39">
        <v>0</v>
      </c>
      <c r="K198" s="39">
        <v>1.139064467796612</v>
      </c>
      <c r="L198" s="39">
        <v>0</v>
      </c>
      <c r="M198" s="39">
        <v>0</v>
      </c>
      <c r="N198" s="38" t="s">
        <v>48</v>
      </c>
      <c r="O198" s="39">
        <v>0</v>
      </c>
      <c r="P198" s="38" t="s">
        <v>48</v>
      </c>
      <c r="Q198" s="39">
        <f t="shared" si="34"/>
        <v>1.139064467796612</v>
      </c>
      <c r="R198" s="39">
        <f t="shared" si="31"/>
        <v>-1.139064467796612</v>
      </c>
      <c r="S198" s="68">
        <f t="shared" si="33"/>
        <v>-100</v>
      </c>
      <c r="T198" s="38" t="s">
        <v>48</v>
      </c>
    </row>
    <row r="199" spans="1:20" ht="30" x14ac:dyDescent="0.25">
      <c r="A199" s="30" t="s">
        <v>25</v>
      </c>
      <c r="B199" s="23" t="s">
        <v>152</v>
      </c>
      <c r="C199" s="24" t="s">
        <v>153</v>
      </c>
      <c r="D199" s="39">
        <f t="shared" si="29"/>
        <v>4.5562578711864479</v>
      </c>
      <c r="E199" s="39">
        <v>0</v>
      </c>
      <c r="F199" s="39">
        <f t="shared" si="38"/>
        <v>4.5562578711864479</v>
      </c>
      <c r="G199" s="39">
        <f t="shared" si="39"/>
        <v>4.5562578711864479</v>
      </c>
      <c r="H199" s="39">
        <f t="shared" si="35"/>
        <v>0</v>
      </c>
      <c r="I199" s="39">
        <v>0</v>
      </c>
      <c r="J199" s="39">
        <v>0</v>
      </c>
      <c r="K199" s="39">
        <v>4.5562578711864479</v>
      </c>
      <c r="L199" s="39">
        <v>0</v>
      </c>
      <c r="M199" s="39">
        <v>0</v>
      </c>
      <c r="N199" s="38" t="s">
        <v>48</v>
      </c>
      <c r="O199" s="39">
        <v>0</v>
      </c>
      <c r="P199" s="38" t="s">
        <v>48</v>
      </c>
      <c r="Q199" s="39">
        <f t="shared" si="34"/>
        <v>4.5562578711864479</v>
      </c>
      <c r="R199" s="39">
        <f t="shared" si="31"/>
        <v>-4.5562578711864479</v>
      </c>
      <c r="S199" s="68">
        <f t="shared" si="33"/>
        <v>-100</v>
      </c>
      <c r="T199" s="38" t="s">
        <v>48</v>
      </c>
    </row>
    <row r="200" spans="1:20" ht="30" x14ac:dyDescent="0.25">
      <c r="A200" s="30" t="s">
        <v>25</v>
      </c>
      <c r="B200" s="23" t="s">
        <v>154</v>
      </c>
      <c r="C200" s="24" t="s">
        <v>155</v>
      </c>
      <c r="D200" s="39">
        <f t="shared" si="29"/>
        <v>3.7968815593220393</v>
      </c>
      <c r="E200" s="39">
        <v>0</v>
      </c>
      <c r="F200" s="39">
        <f t="shared" si="38"/>
        <v>3.7968815593220393</v>
      </c>
      <c r="G200" s="39">
        <f t="shared" si="39"/>
        <v>3.7968815593220393</v>
      </c>
      <c r="H200" s="39">
        <f t="shared" si="35"/>
        <v>0</v>
      </c>
      <c r="I200" s="39">
        <v>0</v>
      </c>
      <c r="J200" s="39">
        <v>0</v>
      </c>
      <c r="K200" s="39">
        <v>0</v>
      </c>
      <c r="L200" s="39">
        <v>0</v>
      </c>
      <c r="M200" s="39">
        <v>3.7968815593220393</v>
      </c>
      <c r="N200" s="38" t="s">
        <v>48</v>
      </c>
      <c r="O200" s="39">
        <v>0</v>
      </c>
      <c r="P200" s="38" t="s">
        <v>48</v>
      </c>
      <c r="Q200" s="39">
        <f t="shared" si="34"/>
        <v>3.7968815593220393</v>
      </c>
      <c r="R200" s="39">
        <f t="shared" si="31"/>
        <v>0</v>
      </c>
      <c r="S200" s="68">
        <v>0</v>
      </c>
      <c r="T200" s="38" t="s">
        <v>48</v>
      </c>
    </row>
    <row r="201" spans="1:20" ht="30" x14ac:dyDescent="0.25">
      <c r="A201" s="30" t="s">
        <v>25</v>
      </c>
      <c r="B201" s="23" t="s">
        <v>156</v>
      </c>
      <c r="C201" s="24" t="s">
        <v>157</v>
      </c>
      <c r="D201" s="39">
        <f t="shared" si="29"/>
        <v>3.7968815593220393</v>
      </c>
      <c r="E201" s="39">
        <v>0</v>
      </c>
      <c r="F201" s="39">
        <f t="shared" si="38"/>
        <v>3.7968815593220393</v>
      </c>
      <c r="G201" s="39">
        <f t="shared" si="39"/>
        <v>3.7968815593220393</v>
      </c>
      <c r="H201" s="39">
        <f t="shared" si="35"/>
        <v>0</v>
      </c>
      <c r="I201" s="39">
        <v>0</v>
      </c>
      <c r="J201" s="39">
        <v>0</v>
      </c>
      <c r="K201" s="39">
        <v>0</v>
      </c>
      <c r="L201" s="39">
        <v>0</v>
      </c>
      <c r="M201" s="39">
        <v>3.7968815593220393</v>
      </c>
      <c r="N201" s="38" t="s">
        <v>48</v>
      </c>
      <c r="O201" s="39">
        <v>0</v>
      </c>
      <c r="P201" s="38" t="s">
        <v>48</v>
      </c>
      <c r="Q201" s="39">
        <f t="shared" si="34"/>
        <v>3.7968815593220393</v>
      </c>
      <c r="R201" s="39">
        <f t="shared" si="31"/>
        <v>0</v>
      </c>
      <c r="S201" s="68">
        <v>0</v>
      </c>
      <c r="T201" s="38" t="s">
        <v>48</v>
      </c>
    </row>
    <row r="202" spans="1:20" ht="30" x14ac:dyDescent="0.25">
      <c r="A202" s="30" t="s">
        <v>25</v>
      </c>
      <c r="B202" s="23" t="s">
        <v>158</v>
      </c>
      <c r="C202" s="24" t="s">
        <v>159</v>
      </c>
      <c r="D202" s="39">
        <f t="shared" si="29"/>
        <v>1.8984407796610197</v>
      </c>
      <c r="E202" s="39">
        <v>0</v>
      </c>
      <c r="F202" s="39">
        <f t="shared" si="38"/>
        <v>1.8984407796610197</v>
      </c>
      <c r="G202" s="39">
        <f t="shared" si="39"/>
        <v>1.8984407796610197</v>
      </c>
      <c r="H202" s="39">
        <f t="shared" si="35"/>
        <v>0</v>
      </c>
      <c r="I202" s="39">
        <v>0</v>
      </c>
      <c r="J202" s="39">
        <v>0</v>
      </c>
      <c r="K202" s="39">
        <v>0</v>
      </c>
      <c r="L202" s="39">
        <v>0</v>
      </c>
      <c r="M202" s="39">
        <v>1.8984407796610197</v>
      </c>
      <c r="N202" s="38" t="s">
        <v>48</v>
      </c>
      <c r="O202" s="39">
        <v>0</v>
      </c>
      <c r="P202" s="38" t="s">
        <v>48</v>
      </c>
      <c r="Q202" s="39">
        <f t="shared" si="34"/>
        <v>1.8984407796610197</v>
      </c>
      <c r="R202" s="39">
        <f t="shared" si="31"/>
        <v>0</v>
      </c>
      <c r="S202" s="68">
        <v>0</v>
      </c>
      <c r="T202" s="38" t="s">
        <v>48</v>
      </c>
    </row>
    <row r="203" spans="1:20" ht="30" x14ac:dyDescent="0.25">
      <c r="A203" s="30" t="s">
        <v>25</v>
      </c>
      <c r="B203" s="23" t="s">
        <v>160</v>
      </c>
      <c r="C203" s="24" t="s">
        <v>161</v>
      </c>
      <c r="D203" s="39">
        <f t="shared" si="29"/>
        <v>0.37968815593220395</v>
      </c>
      <c r="E203" s="39">
        <v>0</v>
      </c>
      <c r="F203" s="39">
        <f t="shared" si="38"/>
        <v>0.37968815593220395</v>
      </c>
      <c r="G203" s="39">
        <f t="shared" si="39"/>
        <v>0.37968815593220395</v>
      </c>
      <c r="H203" s="39">
        <f t="shared" si="35"/>
        <v>0</v>
      </c>
      <c r="I203" s="39">
        <v>0</v>
      </c>
      <c r="J203" s="39">
        <v>0</v>
      </c>
      <c r="K203" s="39">
        <v>0</v>
      </c>
      <c r="L203" s="39">
        <v>0</v>
      </c>
      <c r="M203" s="39">
        <v>0.37968815593220395</v>
      </c>
      <c r="N203" s="38" t="s">
        <v>48</v>
      </c>
      <c r="O203" s="39">
        <v>0</v>
      </c>
      <c r="P203" s="38" t="s">
        <v>48</v>
      </c>
      <c r="Q203" s="39">
        <f t="shared" si="34"/>
        <v>0.37968815593220395</v>
      </c>
      <c r="R203" s="39">
        <f t="shared" si="31"/>
        <v>0</v>
      </c>
      <c r="S203" s="68">
        <v>0</v>
      </c>
      <c r="T203" s="38" t="s">
        <v>48</v>
      </c>
    </row>
    <row r="204" spans="1:20" ht="30" x14ac:dyDescent="0.25">
      <c r="A204" s="30" t="s">
        <v>25</v>
      </c>
      <c r="B204" s="23" t="s">
        <v>397</v>
      </c>
      <c r="C204" s="51" t="s">
        <v>398</v>
      </c>
      <c r="D204" s="39">
        <f t="shared" si="29"/>
        <v>0</v>
      </c>
      <c r="E204" s="39">
        <v>0</v>
      </c>
      <c r="F204" s="39">
        <f t="shared" si="38"/>
        <v>0</v>
      </c>
      <c r="G204" s="39">
        <f t="shared" si="39"/>
        <v>0</v>
      </c>
      <c r="H204" s="39">
        <f t="shared" si="35"/>
        <v>4.1981141520000005</v>
      </c>
      <c r="I204" s="39">
        <v>0</v>
      </c>
      <c r="J204" s="39">
        <v>4.1981141520000005</v>
      </c>
      <c r="K204" s="39">
        <v>0</v>
      </c>
      <c r="L204" s="39">
        <v>0</v>
      </c>
      <c r="M204" s="39">
        <v>0</v>
      </c>
      <c r="N204" s="38" t="s">
        <v>48</v>
      </c>
      <c r="O204" s="39">
        <v>0</v>
      </c>
      <c r="P204" s="38" t="s">
        <v>48</v>
      </c>
      <c r="Q204" s="39">
        <f t="shared" si="34"/>
        <v>-4.1981141520000005</v>
      </c>
      <c r="R204" s="39">
        <f t="shared" si="31"/>
        <v>4.1981141520000005</v>
      </c>
      <c r="S204" s="68">
        <v>0</v>
      </c>
      <c r="T204" s="42" t="s">
        <v>434</v>
      </c>
    </row>
    <row r="205" spans="1:20" ht="30" x14ac:dyDescent="0.25">
      <c r="A205" s="30" t="s">
        <v>25</v>
      </c>
      <c r="B205" s="23" t="s">
        <v>399</v>
      </c>
      <c r="C205" s="51" t="s">
        <v>400</v>
      </c>
      <c r="D205" s="39">
        <f t="shared" si="29"/>
        <v>0</v>
      </c>
      <c r="E205" s="39">
        <v>0</v>
      </c>
      <c r="F205" s="39">
        <f t="shared" si="38"/>
        <v>0</v>
      </c>
      <c r="G205" s="39">
        <f t="shared" si="39"/>
        <v>0</v>
      </c>
      <c r="H205" s="39">
        <f t="shared" si="35"/>
        <v>3.3482836319999998</v>
      </c>
      <c r="I205" s="39">
        <v>0</v>
      </c>
      <c r="J205" s="39">
        <v>3.3482836319999998</v>
      </c>
      <c r="K205" s="39">
        <v>0</v>
      </c>
      <c r="L205" s="39">
        <v>0</v>
      </c>
      <c r="M205" s="39">
        <v>0</v>
      </c>
      <c r="N205" s="38" t="s">
        <v>48</v>
      </c>
      <c r="O205" s="39">
        <v>0</v>
      </c>
      <c r="P205" s="38" t="s">
        <v>48</v>
      </c>
      <c r="Q205" s="39">
        <f t="shared" si="34"/>
        <v>-3.3482836319999998</v>
      </c>
      <c r="R205" s="39">
        <f t="shared" si="31"/>
        <v>3.3482836319999998</v>
      </c>
      <c r="S205" s="68">
        <v>0</v>
      </c>
      <c r="T205" s="42" t="s">
        <v>434</v>
      </c>
    </row>
    <row r="206" spans="1:20" ht="30" x14ac:dyDescent="0.25">
      <c r="A206" s="30" t="s">
        <v>25</v>
      </c>
      <c r="B206" s="23" t="s">
        <v>401</v>
      </c>
      <c r="C206" s="51" t="s">
        <v>402</v>
      </c>
      <c r="D206" s="39">
        <f t="shared" ref="D206:D316" si="40">G206</f>
        <v>0</v>
      </c>
      <c r="E206" s="39">
        <v>0</v>
      </c>
      <c r="F206" s="39">
        <f t="shared" si="38"/>
        <v>0</v>
      </c>
      <c r="G206" s="39">
        <f t="shared" si="39"/>
        <v>0</v>
      </c>
      <c r="H206" s="39">
        <f t="shared" si="35"/>
        <v>4.0035611400000004</v>
      </c>
      <c r="I206" s="39">
        <v>0</v>
      </c>
      <c r="J206" s="39">
        <v>4.0035611400000004</v>
      </c>
      <c r="K206" s="39">
        <v>0</v>
      </c>
      <c r="L206" s="39">
        <v>0</v>
      </c>
      <c r="M206" s="39">
        <v>0</v>
      </c>
      <c r="N206" s="38" t="s">
        <v>48</v>
      </c>
      <c r="O206" s="39">
        <v>0</v>
      </c>
      <c r="P206" s="38" t="s">
        <v>48</v>
      </c>
      <c r="Q206" s="39">
        <f t="shared" si="34"/>
        <v>-4.0035611400000004</v>
      </c>
      <c r="R206" s="39">
        <f t="shared" si="31"/>
        <v>4.0035611400000004</v>
      </c>
      <c r="S206" s="68">
        <v>0</v>
      </c>
      <c r="T206" s="42" t="s">
        <v>434</v>
      </c>
    </row>
    <row r="207" spans="1:20" ht="30" x14ac:dyDescent="0.25">
      <c r="A207" s="30" t="s">
        <v>25</v>
      </c>
      <c r="B207" s="23" t="s">
        <v>403</v>
      </c>
      <c r="C207" s="51" t="s">
        <v>404</v>
      </c>
      <c r="D207" s="39">
        <f t="shared" si="40"/>
        <v>0</v>
      </c>
      <c r="E207" s="39">
        <v>0</v>
      </c>
      <c r="F207" s="39">
        <f t="shared" si="38"/>
        <v>0</v>
      </c>
      <c r="G207" s="39">
        <f t="shared" si="39"/>
        <v>0</v>
      </c>
      <c r="H207" s="39">
        <f t="shared" si="35"/>
        <v>3.3553727519999996</v>
      </c>
      <c r="I207" s="39">
        <v>0</v>
      </c>
      <c r="J207" s="39">
        <v>3.3553727519999996</v>
      </c>
      <c r="K207" s="39">
        <v>0</v>
      </c>
      <c r="L207" s="39">
        <v>0</v>
      </c>
      <c r="M207" s="39">
        <v>0</v>
      </c>
      <c r="N207" s="38" t="s">
        <v>48</v>
      </c>
      <c r="O207" s="39">
        <v>0</v>
      </c>
      <c r="P207" s="38" t="s">
        <v>48</v>
      </c>
      <c r="Q207" s="39">
        <f t="shared" si="34"/>
        <v>-3.3553727519999996</v>
      </c>
      <c r="R207" s="39">
        <f t="shared" si="31"/>
        <v>3.3553727519999996</v>
      </c>
      <c r="S207" s="68">
        <v>0</v>
      </c>
      <c r="T207" s="42" t="s">
        <v>434</v>
      </c>
    </row>
    <row r="208" spans="1:20" ht="30" x14ac:dyDescent="0.25">
      <c r="A208" s="30" t="s">
        <v>25</v>
      </c>
      <c r="B208" s="23" t="s">
        <v>600</v>
      </c>
      <c r="C208" s="51" t="s">
        <v>601</v>
      </c>
      <c r="D208" s="39">
        <v>0</v>
      </c>
      <c r="E208" s="39">
        <v>0</v>
      </c>
      <c r="F208" s="39">
        <v>0</v>
      </c>
      <c r="G208" s="39">
        <v>0</v>
      </c>
      <c r="H208" s="39">
        <f t="shared" si="35"/>
        <v>5.9802168000000003E-2</v>
      </c>
      <c r="I208" s="39">
        <v>0</v>
      </c>
      <c r="J208" s="39">
        <v>0</v>
      </c>
      <c r="K208" s="39">
        <v>0</v>
      </c>
      <c r="L208" s="39">
        <v>5.9802168000000003E-2</v>
      </c>
      <c r="M208" s="39">
        <v>0</v>
      </c>
      <c r="N208" s="38" t="s">
        <v>48</v>
      </c>
      <c r="O208" s="39">
        <v>0</v>
      </c>
      <c r="P208" s="38" t="s">
        <v>48</v>
      </c>
      <c r="Q208" s="39">
        <f t="shared" si="34"/>
        <v>-5.9802168000000003E-2</v>
      </c>
      <c r="R208" s="39">
        <f t="shared" si="31"/>
        <v>5.9802168000000003E-2</v>
      </c>
      <c r="S208" s="68">
        <v>0</v>
      </c>
      <c r="T208" s="42" t="s">
        <v>714</v>
      </c>
    </row>
    <row r="209" spans="1:20" ht="30" x14ac:dyDescent="0.25">
      <c r="A209" s="30" t="s">
        <v>25</v>
      </c>
      <c r="B209" s="31" t="s">
        <v>162</v>
      </c>
      <c r="C209" s="32" t="s">
        <v>163</v>
      </c>
      <c r="D209" s="39">
        <f t="shared" si="40"/>
        <v>0.36204500338983125</v>
      </c>
      <c r="E209" s="39">
        <v>0</v>
      </c>
      <c r="F209" s="39">
        <f t="shared" si="38"/>
        <v>0.36204500338983125</v>
      </c>
      <c r="G209" s="39">
        <f t="shared" ref="G209:G218" si="41">I209+K209+M209+O209</f>
        <v>0.36204500338983125</v>
      </c>
      <c r="H209" s="39">
        <f t="shared" si="35"/>
        <v>0</v>
      </c>
      <c r="I209" s="39">
        <v>0</v>
      </c>
      <c r="J209" s="39">
        <v>0</v>
      </c>
      <c r="K209" s="39">
        <v>0.36204500338983125</v>
      </c>
      <c r="L209" s="39">
        <v>0</v>
      </c>
      <c r="M209" s="39">
        <v>0</v>
      </c>
      <c r="N209" s="38" t="s">
        <v>48</v>
      </c>
      <c r="O209" s="39">
        <v>0</v>
      </c>
      <c r="P209" s="38" t="s">
        <v>48</v>
      </c>
      <c r="Q209" s="39">
        <f t="shared" si="34"/>
        <v>0.36204500338983125</v>
      </c>
      <c r="R209" s="39">
        <f t="shared" si="31"/>
        <v>-0.36204500338983125</v>
      </c>
      <c r="S209" s="68">
        <f t="shared" si="33"/>
        <v>-100</v>
      </c>
      <c r="T209" s="43" t="s">
        <v>439</v>
      </c>
    </row>
    <row r="210" spans="1:20" ht="30" x14ac:dyDescent="0.25">
      <c r="A210" s="30" t="s">
        <v>25</v>
      </c>
      <c r="B210" s="31" t="s">
        <v>164</v>
      </c>
      <c r="C210" s="32" t="s">
        <v>165</v>
      </c>
      <c r="D210" s="39">
        <f t="shared" si="40"/>
        <v>0.36204500338983125</v>
      </c>
      <c r="E210" s="39">
        <v>0</v>
      </c>
      <c r="F210" s="39">
        <f t="shared" si="38"/>
        <v>0.36204500338983125</v>
      </c>
      <c r="G210" s="39">
        <f t="shared" si="41"/>
        <v>0.36204500338983125</v>
      </c>
      <c r="H210" s="39">
        <f t="shared" si="35"/>
        <v>0</v>
      </c>
      <c r="I210" s="39">
        <v>0</v>
      </c>
      <c r="J210" s="39">
        <v>0</v>
      </c>
      <c r="K210" s="39">
        <v>0.36204500338983125</v>
      </c>
      <c r="L210" s="39">
        <v>0</v>
      </c>
      <c r="M210" s="39">
        <v>0</v>
      </c>
      <c r="N210" s="38" t="s">
        <v>48</v>
      </c>
      <c r="O210" s="39">
        <v>0</v>
      </c>
      <c r="P210" s="38" t="s">
        <v>48</v>
      </c>
      <c r="Q210" s="39">
        <f t="shared" si="34"/>
        <v>0.36204500338983125</v>
      </c>
      <c r="R210" s="39">
        <f t="shared" ref="R210:R272" si="42">(J210+L210)-(I210+K210)</f>
        <v>-0.36204500338983125</v>
      </c>
      <c r="S210" s="68">
        <f t="shared" ref="S210:S254" si="43">(J210+L210)/(I210+K210)*100-100</f>
        <v>-100</v>
      </c>
      <c r="T210" s="43" t="s">
        <v>439</v>
      </c>
    </row>
    <row r="211" spans="1:20" x14ac:dyDescent="0.25">
      <c r="A211" s="30" t="s">
        <v>25</v>
      </c>
      <c r="B211" s="31" t="s">
        <v>166</v>
      </c>
      <c r="C211" s="32" t="s">
        <v>167</v>
      </c>
      <c r="D211" s="39">
        <f t="shared" si="40"/>
        <v>0.36204500338983125</v>
      </c>
      <c r="E211" s="39">
        <v>0</v>
      </c>
      <c r="F211" s="39">
        <f t="shared" si="38"/>
        <v>0.36204500338983125</v>
      </c>
      <c r="G211" s="39">
        <f t="shared" si="41"/>
        <v>0.36204500338983125</v>
      </c>
      <c r="H211" s="39">
        <f t="shared" si="35"/>
        <v>0</v>
      </c>
      <c r="I211" s="39">
        <v>0</v>
      </c>
      <c r="J211" s="39">
        <v>0</v>
      </c>
      <c r="K211" s="39">
        <v>0</v>
      </c>
      <c r="L211" s="39">
        <v>0</v>
      </c>
      <c r="M211" s="39">
        <v>0.36204500338983125</v>
      </c>
      <c r="N211" s="38" t="s">
        <v>48</v>
      </c>
      <c r="O211" s="39">
        <v>0</v>
      </c>
      <c r="P211" s="38" t="s">
        <v>48</v>
      </c>
      <c r="Q211" s="39">
        <f t="shared" si="34"/>
        <v>0.36204500338983125</v>
      </c>
      <c r="R211" s="39">
        <f t="shared" si="42"/>
        <v>0</v>
      </c>
      <c r="S211" s="68">
        <v>0</v>
      </c>
      <c r="T211" s="38" t="s">
        <v>48</v>
      </c>
    </row>
    <row r="212" spans="1:20" x14ac:dyDescent="0.25">
      <c r="A212" s="30" t="s">
        <v>25</v>
      </c>
      <c r="B212" s="31" t="s">
        <v>168</v>
      </c>
      <c r="C212" s="32" t="s">
        <v>169</v>
      </c>
      <c r="D212" s="39">
        <f t="shared" si="40"/>
        <v>0.36204500338983125</v>
      </c>
      <c r="E212" s="39">
        <v>0</v>
      </c>
      <c r="F212" s="39">
        <f t="shared" si="38"/>
        <v>0.36204500338983125</v>
      </c>
      <c r="G212" s="39">
        <f t="shared" si="41"/>
        <v>0.36204500338983125</v>
      </c>
      <c r="H212" s="39">
        <f t="shared" si="35"/>
        <v>0</v>
      </c>
      <c r="I212" s="39">
        <v>0</v>
      </c>
      <c r="J212" s="39">
        <v>0</v>
      </c>
      <c r="K212" s="39">
        <v>0</v>
      </c>
      <c r="L212" s="39">
        <v>0</v>
      </c>
      <c r="M212" s="39">
        <v>0.36204500338983125</v>
      </c>
      <c r="N212" s="38" t="s">
        <v>48</v>
      </c>
      <c r="O212" s="39">
        <v>0</v>
      </c>
      <c r="P212" s="38" t="s">
        <v>48</v>
      </c>
      <c r="Q212" s="39">
        <f t="shared" si="34"/>
        <v>0.36204500338983125</v>
      </c>
      <c r="R212" s="39">
        <f t="shared" si="42"/>
        <v>0</v>
      </c>
      <c r="S212" s="68">
        <v>0</v>
      </c>
      <c r="T212" s="38" t="s">
        <v>48</v>
      </c>
    </row>
    <row r="213" spans="1:20" x14ac:dyDescent="0.25">
      <c r="A213" s="30" t="s">
        <v>25</v>
      </c>
      <c r="B213" s="31" t="s">
        <v>170</v>
      </c>
      <c r="C213" s="32" t="s">
        <v>171</v>
      </c>
      <c r="D213" s="39">
        <f t="shared" si="40"/>
        <v>0.36204500338983125</v>
      </c>
      <c r="E213" s="39">
        <v>0</v>
      </c>
      <c r="F213" s="39">
        <f t="shared" si="38"/>
        <v>0.36204500338983125</v>
      </c>
      <c r="G213" s="39">
        <f t="shared" si="41"/>
        <v>0.36204500338983125</v>
      </c>
      <c r="H213" s="39">
        <f t="shared" si="35"/>
        <v>0</v>
      </c>
      <c r="I213" s="39">
        <v>0</v>
      </c>
      <c r="J213" s="39">
        <v>0</v>
      </c>
      <c r="K213" s="39">
        <v>0</v>
      </c>
      <c r="L213" s="39">
        <v>0</v>
      </c>
      <c r="M213" s="39">
        <v>0.36204500338983125</v>
      </c>
      <c r="N213" s="38" t="s">
        <v>48</v>
      </c>
      <c r="O213" s="39">
        <v>0</v>
      </c>
      <c r="P213" s="38" t="s">
        <v>48</v>
      </c>
      <c r="Q213" s="39">
        <f t="shared" si="34"/>
        <v>0.36204500338983125</v>
      </c>
      <c r="R213" s="39">
        <f t="shared" si="42"/>
        <v>0</v>
      </c>
      <c r="S213" s="68">
        <v>0</v>
      </c>
      <c r="T213" s="38" t="s">
        <v>48</v>
      </c>
    </row>
    <row r="214" spans="1:20" x14ac:dyDescent="0.25">
      <c r="A214" s="30" t="s">
        <v>25</v>
      </c>
      <c r="B214" s="31" t="s">
        <v>172</v>
      </c>
      <c r="C214" s="32" t="s">
        <v>173</v>
      </c>
      <c r="D214" s="39">
        <f t="shared" si="40"/>
        <v>0.36204500338983125</v>
      </c>
      <c r="E214" s="39">
        <v>0</v>
      </c>
      <c r="F214" s="39">
        <f t="shared" si="38"/>
        <v>0.36204500338983125</v>
      </c>
      <c r="G214" s="39">
        <f t="shared" si="41"/>
        <v>0.36204500338983125</v>
      </c>
      <c r="H214" s="39">
        <f t="shared" si="35"/>
        <v>0</v>
      </c>
      <c r="I214" s="39">
        <v>0</v>
      </c>
      <c r="J214" s="39">
        <v>0</v>
      </c>
      <c r="K214" s="39">
        <v>0</v>
      </c>
      <c r="L214" s="39">
        <v>0</v>
      </c>
      <c r="M214" s="39">
        <v>0.36204500338983125</v>
      </c>
      <c r="N214" s="38" t="s">
        <v>48</v>
      </c>
      <c r="O214" s="39">
        <v>0</v>
      </c>
      <c r="P214" s="38" t="s">
        <v>48</v>
      </c>
      <c r="Q214" s="39">
        <f t="shared" si="34"/>
        <v>0.36204500338983125</v>
      </c>
      <c r="R214" s="39">
        <f t="shared" si="42"/>
        <v>0</v>
      </c>
      <c r="S214" s="68">
        <v>0</v>
      </c>
      <c r="T214" s="38" t="s">
        <v>48</v>
      </c>
    </row>
    <row r="215" spans="1:20" x14ac:dyDescent="0.25">
      <c r="A215" s="30" t="s">
        <v>25</v>
      </c>
      <c r="B215" s="31" t="s">
        <v>174</v>
      </c>
      <c r="C215" s="32" t="s">
        <v>175</v>
      </c>
      <c r="D215" s="39">
        <f t="shared" si="40"/>
        <v>0.90511250847457791</v>
      </c>
      <c r="E215" s="39">
        <v>0</v>
      </c>
      <c r="F215" s="39">
        <f t="shared" si="38"/>
        <v>0.90511250847457791</v>
      </c>
      <c r="G215" s="39">
        <f t="shared" si="41"/>
        <v>0.90511250847457791</v>
      </c>
      <c r="H215" s="39">
        <f t="shared" si="35"/>
        <v>0</v>
      </c>
      <c r="I215" s="39">
        <v>0</v>
      </c>
      <c r="J215" s="39">
        <v>0</v>
      </c>
      <c r="K215" s="39">
        <v>0</v>
      </c>
      <c r="L215" s="39">
        <v>0</v>
      </c>
      <c r="M215" s="39">
        <v>0.90511250847457791</v>
      </c>
      <c r="N215" s="38" t="s">
        <v>48</v>
      </c>
      <c r="O215" s="39">
        <v>0</v>
      </c>
      <c r="P215" s="38" t="s">
        <v>48</v>
      </c>
      <c r="Q215" s="39">
        <f t="shared" si="34"/>
        <v>0.90511250847457791</v>
      </c>
      <c r="R215" s="39">
        <f t="shared" si="42"/>
        <v>0</v>
      </c>
      <c r="S215" s="68">
        <v>0</v>
      </c>
      <c r="T215" s="38" t="s">
        <v>48</v>
      </c>
    </row>
    <row r="216" spans="1:20" x14ac:dyDescent="0.25">
      <c r="A216" s="30" t="s">
        <v>25</v>
      </c>
      <c r="B216" s="31" t="s">
        <v>176</v>
      </c>
      <c r="C216" s="32" t="s">
        <v>177</v>
      </c>
      <c r="D216" s="39">
        <f t="shared" si="40"/>
        <v>0.36204500338983125</v>
      </c>
      <c r="E216" s="39">
        <v>0</v>
      </c>
      <c r="F216" s="39">
        <f t="shared" si="38"/>
        <v>0.36204500338983125</v>
      </c>
      <c r="G216" s="39">
        <f t="shared" si="41"/>
        <v>0.36204500338983125</v>
      </c>
      <c r="H216" s="39">
        <f t="shared" si="35"/>
        <v>0</v>
      </c>
      <c r="I216" s="39">
        <v>0</v>
      </c>
      <c r="J216" s="39">
        <v>0</v>
      </c>
      <c r="K216" s="39">
        <v>0</v>
      </c>
      <c r="L216" s="39">
        <v>0</v>
      </c>
      <c r="M216" s="39">
        <v>0.36204500338983125</v>
      </c>
      <c r="N216" s="38" t="s">
        <v>48</v>
      </c>
      <c r="O216" s="39">
        <v>0</v>
      </c>
      <c r="P216" s="38" t="s">
        <v>48</v>
      </c>
      <c r="Q216" s="39">
        <f t="shared" si="34"/>
        <v>0.36204500338983125</v>
      </c>
      <c r="R216" s="39">
        <f t="shared" si="42"/>
        <v>0</v>
      </c>
      <c r="S216" s="68">
        <v>0</v>
      </c>
      <c r="T216" s="38" t="s">
        <v>48</v>
      </c>
    </row>
    <row r="217" spans="1:20" ht="30" x14ac:dyDescent="0.25">
      <c r="A217" s="30" t="s">
        <v>25</v>
      </c>
      <c r="B217" s="31" t="s">
        <v>178</v>
      </c>
      <c r="C217" s="32" t="s">
        <v>179</v>
      </c>
      <c r="D217" s="39">
        <f t="shared" si="40"/>
        <v>3.3005040000000001</v>
      </c>
      <c r="E217" s="39">
        <v>0</v>
      </c>
      <c r="F217" s="39">
        <f t="shared" si="38"/>
        <v>3.3005040000000001</v>
      </c>
      <c r="G217" s="39">
        <f t="shared" si="41"/>
        <v>3.3005040000000001</v>
      </c>
      <c r="H217" s="39">
        <f t="shared" si="35"/>
        <v>0</v>
      </c>
      <c r="I217" s="39">
        <v>0.33005040000000002</v>
      </c>
      <c r="J217" s="39">
        <v>0</v>
      </c>
      <c r="K217" s="39">
        <v>0.99015120000000001</v>
      </c>
      <c r="L217" s="39">
        <v>0</v>
      </c>
      <c r="M217" s="39">
        <v>0.99015120000000001</v>
      </c>
      <c r="N217" s="38" t="s">
        <v>48</v>
      </c>
      <c r="O217" s="39">
        <v>0.99015120000000001</v>
      </c>
      <c r="P217" s="38" t="s">
        <v>48</v>
      </c>
      <c r="Q217" s="39">
        <f t="shared" si="34"/>
        <v>3.3005040000000001</v>
      </c>
      <c r="R217" s="39">
        <f t="shared" si="42"/>
        <v>-1.3202016000000001</v>
      </c>
      <c r="S217" s="68">
        <f t="shared" si="43"/>
        <v>-100</v>
      </c>
      <c r="T217" s="93" t="s">
        <v>713</v>
      </c>
    </row>
    <row r="218" spans="1:20" ht="30" x14ac:dyDescent="0.25">
      <c r="A218" s="28" t="s">
        <v>25</v>
      </c>
      <c r="B218" s="23" t="s">
        <v>405</v>
      </c>
      <c r="C218" s="50" t="s">
        <v>181</v>
      </c>
      <c r="D218" s="39">
        <f t="shared" si="40"/>
        <v>0</v>
      </c>
      <c r="E218" s="39">
        <v>0</v>
      </c>
      <c r="F218" s="39">
        <f t="shared" si="38"/>
        <v>0</v>
      </c>
      <c r="G218" s="39">
        <f t="shared" si="41"/>
        <v>0</v>
      </c>
      <c r="H218" s="39">
        <f t="shared" si="35"/>
        <v>0.271975368</v>
      </c>
      <c r="I218" s="39">
        <v>0</v>
      </c>
      <c r="J218" s="39">
        <v>0.271975368</v>
      </c>
      <c r="K218" s="39">
        <v>0</v>
      </c>
      <c r="L218" s="39">
        <v>0</v>
      </c>
      <c r="M218" s="39">
        <v>0</v>
      </c>
      <c r="N218" s="38" t="s">
        <v>48</v>
      </c>
      <c r="O218" s="39">
        <v>0</v>
      </c>
      <c r="P218" s="38" t="s">
        <v>48</v>
      </c>
      <c r="Q218" s="39">
        <f t="shared" si="34"/>
        <v>-0.271975368</v>
      </c>
      <c r="R218" s="39">
        <f t="shared" si="42"/>
        <v>0.271975368</v>
      </c>
      <c r="S218" s="68">
        <v>0</v>
      </c>
      <c r="T218" s="94"/>
    </row>
    <row r="219" spans="1:20" ht="30" x14ac:dyDescent="0.25">
      <c r="A219" s="28" t="s">
        <v>25</v>
      </c>
      <c r="B219" s="23" t="s">
        <v>602</v>
      </c>
      <c r="C219" s="50" t="s">
        <v>603</v>
      </c>
      <c r="D219" s="39">
        <v>0</v>
      </c>
      <c r="E219" s="39">
        <v>0</v>
      </c>
      <c r="F219" s="39">
        <v>0</v>
      </c>
      <c r="G219" s="39">
        <v>0</v>
      </c>
      <c r="H219" s="39">
        <f t="shared" si="35"/>
        <v>0.25475386799999999</v>
      </c>
      <c r="I219" s="39">
        <v>0</v>
      </c>
      <c r="J219" s="39">
        <v>0</v>
      </c>
      <c r="K219" s="39">
        <v>0</v>
      </c>
      <c r="L219" s="39">
        <v>0.25475386799999999</v>
      </c>
      <c r="M219" s="39">
        <v>0</v>
      </c>
      <c r="N219" s="38" t="s">
        <v>48</v>
      </c>
      <c r="O219" s="39">
        <v>0</v>
      </c>
      <c r="P219" s="38" t="s">
        <v>48</v>
      </c>
      <c r="Q219" s="39">
        <f t="shared" si="34"/>
        <v>-0.25475386799999999</v>
      </c>
      <c r="R219" s="39">
        <f t="shared" si="42"/>
        <v>0.25475386799999999</v>
      </c>
      <c r="S219" s="68">
        <v>0</v>
      </c>
      <c r="T219" s="94"/>
    </row>
    <row r="220" spans="1:20" ht="30" x14ac:dyDescent="0.25">
      <c r="A220" s="28" t="s">
        <v>25</v>
      </c>
      <c r="B220" s="23" t="s">
        <v>604</v>
      </c>
      <c r="C220" s="50" t="s">
        <v>605</v>
      </c>
      <c r="D220" s="39">
        <v>0</v>
      </c>
      <c r="E220" s="39">
        <v>0</v>
      </c>
      <c r="F220" s="39">
        <v>0</v>
      </c>
      <c r="G220" s="39">
        <v>0</v>
      </c>
      <c r="H220" s="39">
        <f t="shared" si="35"/>
        <v>0.25672840799999996</v>
      </c>
      <c r="I220" s="39">
        <v>0</v>
      </c>
      <c r="J220" s="39">
        <v>0</v>
      </c>
      <c r="K220" s="39">
        <v>0</v>
      </c>
      <c r="L220" s="39">
        <v>0.25672840799999996</v>
      </c>
      <c r="M220" s="39">
        <v>0</v>
      </c>
      <c r="N220" s="38" t="s">
        <v>48</v>
      </c>
      <c r="O220" s="39">
        <v>0</v>
      </c>
      <c r="P220" s="38" t="s">
        <v>48</v>
      </c>
      <c r="Q220" s="39">
        <f t="shared" ref="Q220:Q282" si="44">F220-H220</f>
        <v>-0.25672840799999996</v>
      </c>
      <c r="R220" s="39">
        <f t="shared" si="42"/>
        <v>0.25672840799999996</v>
      </c>
      <c r="S220" s="68">
        <v>0</v>
      </c>
      <c r="T220" s="94"/>
    </row>
    <row r="221" spans="1:20" ht="30" x14ac:dyDescent="0.25">
      <c r="A221" s="28" t="s">
        <v>25</v>
      </c>
      <c r="B221" s="23" t="s">
        <v>606</v>
      </c>
      <c r="C221" s="50" t="s">
        <v>607</v>
      </c>
      <c r="D221" s="39">
        <v>0</v>
      </c>
      <c r="E221" s="39">
        <v>0</v>
      </c>
      <c r="F221" s="39">
        <v>0</v>
      </c>
      <c r="G221" s="39">
        <v>0</v>
      </c>
      <c r="H221" s="39">
        <f t="shared" ref="H221:H283" si="45">J221+L221</f>
        <v>0.26529336000000003</v>
      </c>
      <c r="I221" s="39">
        <v>0</v>
      </c>
      <c r="J221" s="39">
        <v>0</v>
      </c>
      <c r="K221" s="39">
        <v>0</v>
      </c>
      <c r="L221" s="39">
        <v>0.26529336000000003</v>
      </c>
      <c r="M221" s="39">
        <v>0</v>
      </c>
      <c r="N221" s="38" t="s">
        <v>48</v>
      </c>
      <c r="O221" s="39">
        <v>0</v>
      </c>
      <c r="P221" s="38" t="s">
        <v>48</v>
      </c>
      <c r="Q221" s="39">
        <f t="shared" si="44"/>
        <v>-0.26529336000000003</v>
      </c>
      <c r="R221" s="39">
        <f t="shared" si="42"/>
        <v>0.26529336000000003</v>
      </c>
      <c r="S221" s="68">
        <v>0</v>
      </c>
      <c r="T221" s="94"/>
    </row>
    <row r="222" spans="1:20" ht="30" x14ac:dyDescent="0.25">
      <c r="A222" s="28" t="s">
        <v>25</v>
      </c>
      <c r="B222" s="23" t="s">
        <v>608</v>
      </c>
      <c r="C222" s="50" t="s">
        <v>609</v>
      </c>
      <c r="D222" s="39">
        <v>0</v>
      </c>
      <c r="E222" s="39">
        <v>0</v>
      </c>
      <c r="F222" s="39">
        <v>0</v>
      </c>
      <c r="G222" s="39">
        <v>0</v>
      </c>
      <c r="H222" s="39">
        <f t="shared" si="45"/>
        <v>1.4799191999999999E-2</v>
      </c>
      <c r="I222" s="39">
        <v>0</v>
      </c>
      <c r="J222" s="39">
        <v>0</v>
      </c>
      <c r="K222" s="39">
        <v>0</v>
      </c>
      <c r="L222" s="39">
        <v>1.4799191999999999E-2</v>
      </c>
      <c r="M222" s="39">
        <v>0</v>
      </c>
      <c r="N222" s="38" t="s">
        <v>48</v>
      </c>
      <c r="O222" s="39">
        <v>0</v>
      </c>
      <c r="P222" s="38" t="s">
        <v>48</v>
      </c>
      <c r="Q222" s="39">
        <f t="shared" si="44"/>
        <v>-1.4799191999999999E-2</v>
      </c>
      <c r="R222" s="39">
        <f t="shared" si="42"/>
        <v>1.4799191999999999E-2</v>
      </c>
      <c r="S222" s="68">
        <v>0</v>
      </c>
      <c r="T222" s="94"/>
    </row>
    <row r="223" spans="1:20" ht="30" x14ac:dyDescent="0.25">
      <c r="A223" s="28" t="s">
        <v>25</v>
      </c>
      <c r="B223" s="23" t="s">
        <v>610</v>
      </c>
      <c r="C223" s="50" t="s">
        <v>611</v>
      </c>
      <c r="D223" s="39">
        <v>0</v>
      </c>
      <c r="E223" s="39">
        <v>0</v>
      </c>
      <c r="F223" s="39">
        <v>0</v>
      </c>
      <c r="G223" s="39">
        <v>0</v>
      </c>
      <c r="H223" s="39">
        <f t="shared" si="45"/>
        <v>1.7168123999999996E-2</v>
      </c>
      <c r="I223" s="39">
        <v>0</v>
      </c>
      <c r="J223" s="39">
        <v>0</v>
      </c>
      <c r="K223" s="39">
        <v>0</v>
      </c>
      <c r="L223" s="39">
        <v>1.7168123999999996E-2</v>
      </c>
      <c r="M223" s="39">
        <v>0</v>
      </c>
      <c r="N223" s="38" t="s">
        <v>48</v>
      </c>
      <c r="O223" s="39">
        <v>0</v>
      </c>
      <c r="P223" s="38" t="s">
        <v>48</v>
      </c>
      <c r="Q223" s="39">
        <f t="shared" si="44"/>
        <v>-1.7168123999999996E-2</v>
      </c>
      <c r="R223" s="39">
        <f t="shared" si="42"/>
        <v>1.7168123999999996E-2</v>
      </c>
      <c r="S223" s="68">
        <v>0</v>
      </c>
      <c r="T223" s="94"/>
    </row>
    <row r="224" spans="1:20" ht="30" x14ac:dyDescent="0.25">
      <c r="A224" s="28" t="s">
        <v>25</v>
      </c>
      <c r="B224" s="23" t="s">
        <v>612</v>
      </c>
      <c r="C224" s="50" t="s">
        <v>613</v>
      </c>
      <c r="D224" s="39">
        <v>0</v>
      </c>
      <c r="E224" s="39">
        <v>0</v>
      </c>
      <c r="F224" s="39">
        <v>0</v>
      </c>
      <c r="G224" s="39">
        <v>0</v>
      </c>
      <c r="H224" s="39">
        <f t="shared" si="45"/>
        <v>1.5168000000000001E-2</v>
      </c>
      <c r="I224" s="39">
        <v>0</v>
      </c>
      <c r="J224" s="39">
        <v>0</v>
      </c>
      <c r="K224" s="39">
        <v>0</v>
      </c>
      <c r="L224" s="39">
        <v>1.5168000000000001E-2</v>
      </c>
      <c r="M224" s="39">
        <v>0</v>
      </c>
      <c r="N224" s="38" t="s">
        <v>48</v>
      </c>
      <c r="O224" s="39">
        <v>0</v>
      </c>
      <c r="P224" s="38" t="s">
        <v>48</v>
      </c>
      <c r="Q224" s="39">
        <f t="shared" si="44"/>
        <v>-1.5168000000000001E-2</v>
      </c>
      <c r="R224" s="39">
        <f t="shared" si="42"/>
        <v>1.5168000000000001E-2</v>
      </c>
      <c r="S224" s="68">
        <v>0</v>
      </c>
      <c r="T224" s="94"/>
    </row>
    <row r="225" spans="1:20" ht="30" x14ac:dyDescent="0.25">
      <c r="A225" s="30" t="s">
        <v>25</v>
      </c>
      <c r="B225" s="31" t="s">
        <v>180</v>
      </c>
      <c r="C225" s="32" t="s">
        <v>181</v>
      </c>
      <c r="D225" s="39">
        <f t="shared" si="40"/>
        <v>3.8089785762711825</v>
      </c>
      <c r="E225" s="39">
        <v>0</v>
      </c>
      <c r="F225" s="39">
        <f t="shared" si="38"/>
        <v>3.8089785762711825</v>
      </c>
      <c r="G225" s="39">
        <f>I225+K225+M225+O225</f>
        <v>3.8089785762711825</v>
      </c>
      <c r="H225" s="39">
        <f t="shared" si="45"/>
        <v>0</v>
      </c>
      <c r="I225" s="39">
        <v>0.38089785762711831</v>
      </c>
      <c r="J225" s="39">
        <v>0</v>
      </c>
      <c r="K225" s="39">
        <v>1.1426935728813548</v>
      </c>
      <c r="L225" s="39">
        <v>0</v>
      </c>
      <c r="M225" s="39">
        <v>1.1426935728813548</v>
      </c>
      <c r="N225" s="38" t="s">
        <v>48</v>
      </c>
      <c r="O225" s="39">
        <v>1.1426935728813548</v>
      </c>
      <c r="P225" s="38" t="s">
        <v>48</v>
      </c>
      <c r="Q225" s="39">
        <f t="shared" si="44"/>
        <v>3.8089785762711825</v>
      </c>
      <c r="R225" s="39">
        <f t="shared" si="42"/>
        <v>-1.523591430508473</v>
      </c>
      <c r="S225" s="68">
        <f t="shared" si="43"/>
        <v>-100</v>
      </c>
      <c r="T225" s="94"/>
    </row>
    <row r="226" spans="1:20" ht="30" x14ac:dyDescent="0.25">
      <c r="A226" s="28" t="s">
        <v>25</v>
      </c>
      <c r="B226" s="23" t="s">
        <v>614</v>
      </c>
      <c r="C226" s="50" t="s">
        <v>603</v>
      </c>
      <c r="D226" s="39">
        <v>0</v>
      </c>
      <c r="E226" s="39">
        <v>0</v>
      </c>
      <c r="F226" s="39">
        <v>0</v>
      </c>
      <c r="G226" s="39">
        <v>0</v>
      </c>
      <c r="H226" s="39">
        <f t="shared" si="45"/>
        <v>0.34307949600000004</v>
      </c>
      <c r="I226" s="39">
        <v>0</v>
      </c>
      <c r="J226" s="39">
        <v>0</v>
      </c>
      <c r="K226" s="39">
        <v>0</v>
      </c>
      <c r="L226" s="39">
        <v>0.34307949600000004</v>
      </c>
      <c r="M226" s="39">
        <v>0</v>
      </c>
      <c r="N226" s="38" t="s">
        <v>48</v>
      </c>
      <c r="O226" s="39">
        <v>0</v>
      </c>
      <c r="P226" s="38" t="s">
        <v>48</v>
      </c>
      <c r="Q226" s="39">
        <f t="shared" si="44"/>
        <v>-0.34307949600000004</v>
      </c>
      <c r="R226" s="39">
        <f t="shared" si="42"/>
        <v>0.34307949600000004</v>
      </c>
      <c r="S226" s="68">
        <v>0</v>
      </c>
      <c r="T226" s="94"/>
    </row>
    <row r="227" spans="1:20" ht="30" x14ac:dyDescent="0.25">
      <c r="A227" s="28" t="s">
        <v>25</v>
      </c>
      <c r="B227" s="23" t="s">
        <v>615</v>
      </c>
      <c r="C227" s="50" t="s">
        <v>609</v>
      </c>
      <c r="D227" s="39">
        <v>0</v>
      </c>
      <c r="E227" s="39">
        <v>0</v>
      </c>
      <c r="F227" s="39">
        <v>0</v>
      </c>
      <c r="G227" s="39">
        <v>0</v>
      </c>
      <c r="H227" s="39">
        <f t="shared" si="45"/>
        <v>0.39507181199999997</v>
      </c>
      <c r="I227" s="39">
        <v>0</v>
      </c>
      <c r="J227" s="39">
        <v>0</v>
      </c>
      <c r="K227" s="39">
        <v>0</v>
      </c>
      <c r="L227" s="39">
        <v>0.39507181199999997</v>
      </c>
      <c r="M227" s="39">
        <v>0</v>
      </c>
      <c r="N227" s="38" t="s">
        <v>48</v>
      </c>
      <c r="O227" s="39">
        <v>0</v>
      </c>
      <c r="P227" s="38" t="s">
        <v>48</v>
      </c>
      <c r="Q227" s="39">
        <f t="shared" si="44"/>
        <v>-0.39507181199999997</v>
      </c>
      <c r="R227" s="39">
        <f t="shared" si="42"/>
        <v>0.39507181199999997</v>
      </c>
      <c r="S227" s="68">
        <v>0</v>
      </c>
      <c r="T227" s="95"/>
    </row>
    <row r="228" spans="1:20" ht="28.5" x14ac:dyDescent="0.25">
      <c r="A228" s="11" t="s">
        <v>26</v>
      </c>
      <c r="B228" s="14" t="s">
        <v>186</v>
      </c>
      <c r="C228" s="15" t="s">
        <v>51</v>
      </c>
      <c r="D228" s="40">
        <f t="shared" si="40"/>
        <v>117.58717092000001</v>
      </c>
      <c r="E228" s="40">
        <f>E229</f>
        <v>6.5520720479999994</v>
      </c>
      <c r="F228" s="40">
        <f t="shared" si="38"/>
        <v>111.03509887200001</v>
      </c>
      <c r="G228" s="40">
        <f>I228+K228+M228+O228</f>
        <v>117.58717092000001</v>
      </c>
      <c r="H228" s="40">
        <f t="shared" si="45"/>
        <v>13.100062260000003</v>
      </c>
      <c r="I228" s="40">
        <f>I229</f>
        <v>6.9098342039999991</v>
      </c>
      <c r="J228" s="40">
        <f>J229</f>
        <v>3.5275608840000001</v>
      </c>
      <c r="K228" s="40">
        <v>71.643159347999998</v>
      </c>
      <c r="L228" s="40">
        <f>L229</f>
        <v>9.5725013760000035</v>
      </c>
      <c r="M228" s="40">
        <v>15.001965876</v>
      </c>
      <c r="N228" s="41" t="s">
        <v>48</v>
      </c>
      <c r="O228" s="40">
        <v>24.032211492000002</v>
      </c>
      <c r="P228" s="41" t="s">
        <v>48</v>
      </c>
      <c r="Q228" s="40">
        <f t="shared" si="44"/>
        <v>97.935036612000005</v>
      </c>
      <c r="R228" s="40">
        <f t="shared" si="42"/>
        <v>-65.452931292000002</v>
      </c>
      <c r="S228" s="56">
        <f t="shared" si="43"/>
        <v>-83.323280669974579</v>
      </c>
      <c r="T228" s="41" t="s">
        <v>48</v>
      </c>
    </row>
    <row r="229" spans="1:20" x14ac:dyDescent="0.25">
      <c r="A229" s="11" t="s">
        <v>187</v>
      </c>
      <c r="B229" s="14" t="s">
        <v>188</v>
      </c>
      <c r="C229" s="15" t="s">
        <v>51</v>
      </c>
      <c r="D229" s="40">
        <f t="shared" si="40"/>
        <v>117.58717091999999</v>
      </c>
      <c r="E229" s="40">
        <f>SUM(E230:E301)</f>
        <v>6.5520720479999994</v>
      </c>
      <c r="F229" s="40">
        <f t="shared" si="38"/>
        <v>111.03509887199999</v>
      </c>
      <c r="G229" s="40">
        <f>SUM(G230:G301)</f>
        <v>117.58717091999999</v>
      </c>
      <c r="H229" s="40">
        <f t="shared" si="45"/>
        <v>13.100062260000003</v>
      </c>
      <c r="I229" s="40">
        <f>SUM(I230:I313)</f>
        <v>6.9098342039999991</v>
      </c>
      <c r="J229" s="40">
        <f>SUM(J230:J313)</f>
        <v>3.5275608840000001</v>
      </c>
      <c r="K229" s="40">
        <f>SUM(K230:K301)</f>
        <v>71.643159347999998</v>
      </c>
      <c r="L229" s="40">
        <f>SUM(L230:L313)</f>
        <v>9.5725013760000035</v>
      </c>
      <c r="M229" s="40">
        <f>SUM(M230:M301)</f>
        <v>15.001965876</v>
      </c>
      <c r="N229" s="41" t="s">
        <v>48</v>
      </c>
      <c r="O229" s="40">
        <f>SUM(O230:O301)</f>
        <v>24.032211492000002</v>
      </c>
      <c r="P229" s="41" t="s">
        <v>48</v>
      </c>
      <c r="Q229" s="40">
        <f t="shared" si="44"/>
        <v>97.93503661199999</v>
      </c>
      <c r="R229" s="40">
        <f t="shared" si="42"/>
        <v>-65.452931292000002</v>
      </c>
      <c r="S229" s="56">
        <f t="shared" si="43"/>
        <v>-83.323280669974579</v>
      </c>
      <c r="T229" s="41" t="s">
        <v>48</v>
      </c>
    </row>
    <row r="230" spans="1:20" x14ac:dyDescent="0.25">
      <c r="A230" s="19" t="s">
        <v>187</v>
      </c>
      <c r="B230" s="20" t="s">
        <v>482</v>
      </c>
      <c r="C230" s="49" t="s">
        <v>483</v>
      </c>
      <c r="D230" s="39">
        <v>0</v>
      </c>
      <c r="E230" s="39">
        <f>19749.72*1.2/1000000</f>
        <v>2.3699664000000002E-2</v>
      </c>
      <c r="F230" s="39">
        <f t="shared" si="38"/>
        <v>-2.3699664000000002E-2</v>
      </c>
      <c r="G230" s="39">
        <v>0</v>
      </c>
      <c r="H230" s="39">
        <f t="shared" si="45"/>
        <v>0</v>
      </c>
      <c r="I230" s="39">
        <v>0</v>
      </c>
      <c r="J230" s="39">
        <v>0</v>
      </c>
      <c r="K230" s="39">
        <v>0</v>
      </c>
      <c r="L230" s="39">
        <v>0</v>
      </c>
      <c r="M230" s="39">
        <v>0</v>
      </c>
      <c r="N230" s="38" t="s">
        <v>48</v>
      </c>
      <c r="O230" s="39">
        <v>0</v>
      </c>
      <c r="P230" s="38" t="s">
        <v>48</v>
      </c>
      <c r="Q230" s="39">
        <f t="shared" si="44"/>
        <v>-2.3699664000000002E-2</v>
      </c>
      <c r="R230" s="39">
        <f t="shared" si="42"/>
        <v>0</v>
      </c>
      <c r="S230" s="68">
        <v>0</v>
      </c>
      <c r="T230" s="38" t="s">
        <v>48</v>
      </c>
    </row>
    <row r="231" spans="1:20" ht="30" x14ac:dyDescent="0.25">
      <c r="A231" s="19" t="s">
        <v>187</v>
      </c>
      <c r="B231" s="20" t="s">
        <v>491</v>
      </c>
      <c r="C231" s="49" t="s">
        <v>492</v>
      </c>
      <c r="D231" s="39">
        <v>0</v>
      </c>
      <c r="E231" s="39">
        <f>33654.68*1.2/1000000</f>
        <v>4.0385615999999999E-2</v>
      </c>
      <c r="F231" s="39">
        <f t="shared" si="38"/>
        <v>-4.0385615999999999E-2</v>
      </c>
      <c r="G231" s="39">
        <v>0</v>
      </c>
      <c r="H231" s="39">
        <f t="shared" si="45"/>
        <v>0</v>
      </c>
      <c r="I231" s="39">
        <v>0</v>
      </c>
      <c r="J231" s="39">
        <v>0</v>
      </c>
      <c r="K231" s="39">
        <v>0</v>
      </c>
      <c r="L231" s="39">
        <v>0</v>
      </c>
      <c r="M231" s="39">
        <v>0</v>
      </c>
      <c r="N231" s="38" t="s">
        <v>48</v>
      </c>
      <c r="O231" s="39">
        <v>0</v>
      </c>
      <c r="P231" s="38" t="s">
        <v>48</v>
      </c>
      <c r="Q231" s="39">
        <f t="shared" si="44"/>
        <v>-4.0385615999999999E-2</v>
      </c>
      <c r="R231" s="39">
        <f t="shared" si="42"/>
        <v>0</v>
      </c>
      <c r="S231" s="68">
        <v>0</v>
      </c>
      <c r="T231" s="38" t="s">
        <v>48</v>
      </c>
    </row>
    <row r="232" spans="1:20" ht="30" x14ac:dyDescent="0.25">
      <c r="A232" s="19" t="s">
        <v>187</v>
      </c>
      <c r="B232" s="20" t="s">
        <v>417</v>
      </c>
      <c r="C232" s="49" t="s">
        <v>484</v>
      </c>
      <c r="D232" s="39">
        <v>0</v>
      </c>
      <c r="E232" s="39">
        <f>13688.2*1.2/1000000</f>
        <v>1.6425840000000001E-2</v>
      </c>
      <c r="F232" s="39">
        <f t="shared" si="38"/>
        <v>-1.6425840000000001E-2</v>
      </c>
      <c r="G232" s="39">
        <v>0</v>
      </c>
      <c r="H232" s="39">
        <f t="shared" si="45"/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8" t="s">
        <v>48</v>
      </c>
      <c r="O232" s="39">
        <v>0</v>
      </c>
      <c r="P232" s="38" t="s">
        <v>48</v>
      </c>
      <c r="Q232" s="39">
        <f t="shared" si="44"/>
        <v>-1.6425840000000001E-2</v>
      </c>
      <c r="R232" s="39">
        <f t="shared" si="42"/>
        <v>0</v>
      </c>
      <c r="S232" s="68">
        <v>0</v>
      </c>
      <c r="T232" s="38" t="s">
        <v>48</v>
      </c>
    </row>
    <row r="233" spans="1:20" ht="30" x14ac:dyDescent="0.25">
      <c r="A233" s="19" t="s">
        <v>187</v>
      </c>
      <c r="B233" s="20" t="s">
        <v>487</v>
      </c>
      <c r="C233" s="49" t="s">
        <v>488</v>
      </c>
      <c r="D233" s="39">
        <v>0</v>
      </c>
      <c r="E233" s="39">
        <f>46606.37*1.2/1000000</f>
        <v>5.5927643999999999E-2</v>
      </c>
      <c r="F233" s="39">
        <f t="shared" si="38"/>
        <v>-5.5927643999999999E-2</v>
      </c>
      <c r="G233" s="39">
        <v>0</v>
      </c>
      <c r="H233" s="39">
        <f t="shared" si="45"/>
        <v>0</v>
      </c>
      <c r="I233" s="39">
        <v>0</v>
      </c>
      <c r="J233" s="39">
        <v>0</v>
      </c>
      <c r="K233" s="39">
        <v>0</v>
      </c>
      <c r="L233" s="39">
        <v>0</v>
      </c>
      <c r="M233" s="39">
        <v>0</v>
      </c>
      <c r="N233" s="38" t="s">
        <v>48</v>
      </c>
      <c r="O233" s="39">
        <v>0</v>
      </c>
      <c r="P233" s="38" t="s">
        <v>48</v>
      </c>
      <c r="Q233" s="39">
        <f t="shared" si="44"/>
        <v>-5.5927643999999999E-2</v>
      </c>
      <c r="R233" s="39">
        <f t="shared" si="42"/>
        <v>0</v>
      </c>
      <c r="S233" s="68">
        <v>0</v>
      </c>
      <c r="T233" s="38" t="s">
        <v>48</v>
      </c>
    </row>
    <row r="234" spans="1:20" x14ac:dyDescent="0.25">
      <c r="A234" s="19" t="s">
        <v>187</v>
      </c>
      <c r="B234" s="35" t="s">
        <v>478</v>
      </c>
      <c r="C234" s="32" t="s">
        <v>479</v>
      </c>
      <c r="D234" s="39">
        <v>0</v>
      </c>
      <c r="E234" s="39">
        <f>14778.45*1.2/1000000</f>
        <v>1.7734139999999999E-2</v>
      </c>
      <c r="F234" s="39">
        <f t="shared" si="38"/>
        <v>-1.7734139999999999E-2</v>
      </c>
      <c r="G234" s="39">
        <v>0</v>
      </c>
      <c r="H234" s="39">
        <f t="shared" si="45"/>
        <v>0</v>
      </c>
      <c r="I234" s="39">
        <v>0</v>
      </c>
      <c r="J234" s="39">
        <v>0</v>
      </c>
      <c r="K234" s="39">
        <v>0</v>
      </c>
      <c r="L234" s="39">
        <v>0</v>
      </c>
      <c r="M234" s="39">
        <v>0</v>
      </c>
      <c r="N234" s="38" t="s">
        <v>48</v>
      </c>
      <c r="O234" s="39">
        <v>0</v>
      </c>
      <c r="P234" s="38" t="s">
        <v>48</v>
      </c>
      <c r="Q234" s="39">
        <f t="shared" si="44"/>
        <v>-1.7734139999999999E-2</v>
      </c>
      <c r="R234" s="39">
        <f t="shared" si="42"/>
        <v>0</v>
      </c>
      <c r="S234" s="68">
        <v>0</v>
      </c>
      <c r="T234" s="38" t="s">
        <v>48</v>
      </c>
    </row>
    <row r="235" spans="1:20" x14ac:dyDescent="0.25">
      <c r="A235" s="19" t="s">
        <v>187</v>
      </c>
      <c r="B235" s="35" t="s">
        <v>480</v>
      </c>
      <c r="C235" s="32" t="s">
        <v>481</v>
      </c>
      <c r="D235" s="39">
        <v>0</v>
      </c>
      <c r="E235" s="39">
        <f>16276.32*1.2/1000000</f>
        <v>1.9531583999999998E-2</v>
      </c>
      <c r="F235" s="39">
        <f t="shared" si="38"/>
        <v>-1.9531583999999998E-2</v>
      </c>
      <c r="G235" s="39">
        <v>0</v>
      </c>
      <c r="H235" s="39">
        <f t="shared" si="45"/>
        <v>0</v>
      </c>
      <c r="I235" s="39">
        <v>0</v>
      </c>
      <c r="J235" s="39">
        <v>0</v>
      </c>
      <c r="K235" s="39">
        <v>0</v>
      </c>
      <c r="L235" s="39">
        <v>0</v>
      </c>
      <c r="M235" s="39">
        <v>0</v>
      </c>
      <c r="N235" s="38" t="s">
        <v>48</v>
      </c>
      <c r="O235" s="39">
        <v>0</v>
      </c>
      <c r="P235" s="38" t="s">
        <v>48</v>
      </c>
      <c r="Q235" s="39">
        <f t="shared" si="44"/>
        <v>-1.9531583999999998E-2</v>
      </c>
      <c r="R235" s="39">
        <f t="shared" si="42"/>
        <v>0</v>
      </c>
      <c r="S235" s="68">
        <v>0</v>
      </c>
      <c r="T235" s="38" t="s">
        <v>48</v>
      </c>
    </row>
    <row r="236" spans="1:20" x14ac:dyDescent="0.25">
      <c r="A236" s="19" t="s">
        <v>187</v>
      </c>
      <c r="B236" s="35" t="s">
        <v>485</v>
      </c>
      <c r="C236" s="32" t="s">
        <v>486</v>
      </c>
      <c r="D236" s="39">
        <v>0</v>
      </c>
      <c r="E236" s="39">
        <f>18116.35*1.2/1000000</f>
        <v>2.1739619999999998E-2</v>
      </c>
      <c r="F236" s="39">
        <f t="shared" si="38"/>
        <v>-2.1739619999999998E-2</v>
      </c>
      <c r="G236" s="39">
        <v>0</v>
      </c>
      <c r="H236" s="39">
        <f t="shared" si="45"/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8" t="s">
        <v>48</v>
      </c>
      <c r="O236" s="39">
        <v>0</v>
      </c>
      <c r="P236" s="38" t="s">
        <v>48</v>
      </c>
      <c r="Q236" s="39">
        <f t="shared" si="44"/>
        <v>-2.1739619999999998E-2</v>
      </c>
      <c r="R236" s="39">
        <f t="shared" si="42"/>
        <v>0</v>
      </c>
      <c r="S236" s="68">
        <v>0</v>
      </c>
      <c r="T236" s="38" t="s">
        <v>48</v>
      </c>
    </row>
    <row r="237" spans="1:20" x14ac:dyDescent="0.25">
      <c r="A237" s="19" t="s">
        <v>187</v>
      </c>
      <c r="B237" s="35" t="s">
        <v>493</v>
      </c>
      <c r="C237" s="49" t="s">
        <v>494</v>
      </c>
      <c r="D237" s="39">
        <v>0</v>
      </c>
      <c r="E237" s="39">
        <f>19037.35*1.2/1000000</f>
        <v>2.2844819999999995E-2</v>
      </c>
      <c r="F237" s="39">
        <f t="shared" si="38"/>
        <v>-2.2844819999999995E-2</v>
      </c>
      <c r="G237" s="39">
        <v>0</v>
      </c>
      <c r="H237" s="39">
        <f t="shared" si="45"/>
        <v>0</v>
      </c>
      <c r="I237" s="39">
        <v>0</v>
      </c>
      <c r="J237" s="39">
        <v>0</v>
      </c>
      <c r="K237" s="39">
        <v>0</v>
      </c>
      <c r="L237" s="39">
        <v>0</v>
      </c>
      <c r="M237" s="39">
        <v>0</v>
      </c>
      <c r="N237" s="38" t="s">
        <v>48</v>
      </c>
      <c r="O237" s="39">
        <v>0</v>
      </c>
      <c r="P237" s="38" t="s">
        <v>48</v>
      </c>
      <c r="Q237" s="39">
        <f t="shared" si="44"/>
        <v>-2.2844819999999995E-2</v>
      </c>
      <c r="R237" s="39">
        <f t="shared" si="42"/>
        <v>0</v>
      </c>
      <c r="S237" s="68">
        <v>0</v>
      </c>
      <c r="T237" s="38" t="s">
        <v>48</v>
      </c>
    </row>
    <row r="238" spans="1:20" x14ac:dyDescent="0.25">
      <c r="A238" s="19" t="s">
        <v>187</v>
      </c>
      <c r="B238" s="35" t="s">
        <v>495</v>
      </c>
      <c r="C238" s="49" t="s">
        <v>496</v>
      </c>
      <c r="D238" s="39">
        <v>0</v>
      </c>
      <c r="E238" s="39">
        <f>90852.24*1.2/1000000</f>
        <v>0.10902268800000001</v>
      </c>
      <c r="F238" s="39">
        <f t="shared" si="38"/>
        <v>-0.10902268800000001</v>
      </c>
      <c r="G238" s="39">
        <v>0</v>
      </c>
      <c r="H238" s="39">
        <f t="shared" si="45"/>
        <v>0</v>
      </c>
      <c r="I238" s="39">
        <v>0</v>
      </c>
      <c r="J238" s="39">
        <v>0</v>
      </c>
      <c r="K238" s="39">
        <v>0</v>
      </c>
      <c r="L238" s="39">
        <v>0</v>
      </c>
      <c r="M238" s="39">
        <v>0</v>
      </c>
      <c r="N238" s="38" t="s">
        <v>48</v>
      </c>
      <c r="O238" s="39">
        <v>0</v>
      </c>
      <c r="P238" s="38" t="s">
        <v>48</v>
      </c>
      <c r="Q238" s="39">
        <f t="shared" si="44"/>
        <v>-0.10902268800000001</v>
      </c>
      <c r="R238" s="39">
        <f t="shared" si="42"/>
        <v>0</v>
      </c>
      <c r="S238" s="68">
        <v>0</v>
      </c>
      <c r="T238" s="38" t="s">
        <v>48</v>
      </c>
    </row>
    <row r="239" spans="1:20" ht="30" x14ac:dyDescent="0.25">
      <c r="A239" s="28" t="s">
        <v>187</v>
      </c>
      <c r="B239" s="23" t="s">
        <v>406</v>
      </c>
      <c r="C239" s="50" t="s">
        <v>407</v>
      </c>
      <c r="D239" s="39">
        <f t="shared" si="40"/>
        <v>0</v>
      </c>
      <c r="E239" s="39">
        <v>0</v>
      </c>
      <c r="F239" s="39">
        <f t="shared" si="38"/>
        <v>0</v>
      </c>
      <c r="G239" s="39">
        <f t="shared" ref="G239:G256" si="46">I239+K239+M239+O239</f>
        <v>0</v>
      </c>
      <c r="H239" s="39">
        <f t="shared" si="45"/>
        <v>0.17718924000000003</v>
      </c>
      <c r="I239" s="39">
        <v>0</v>
      </c>
      <c r="J239" s="39">
        <v>0.17718924000000003</v>
      </c>
      <c r="K239" s="39">
        <v>0</v>
      </c>
      <c r="L239" s="39">
        <v>0</v>
      </c>
      <c r="M239" s="39">
        <v>0</v>
      </c>
      <c r="N239" s="38" t="s">
        <v>48</v>
      </c>
      <c r="O239" s="39">
        <v>0</v>
      </c>
      <c r="P239" s="38" t="s">
        <v>48</v>
      </c>
      <c r="Q239" s="39">
        <f t="shared" si="44"/>
        <v>-0.17718924000000003</v>
      </c>
      <c r="R239" s="39">
        <f t="shared" si="42"/>
        <v>0.17718924000000003</v>
      </c>
      <c r="S239" s="68">
        <v>0</v>
      </c>
      <c r="T239" s="42" t="s">
        <v>434</v>
      </c>
    </row>
    <row r="240" spans="1:20" ht="30" x14ac:dyDescent="0.25">
      <c r="A240" s="52" t="s">
        <v>187</v>
      </c>
      <c r="B240" s="23" t="s">
        <v>408</v>
      </c>
      <c r="C240" s="51" t="s">
        <v>409</v>
      </c>
      <c r="D240" s="39">
        <f t="shared" si="40"/>
        <v>0</v>
      </c>
      <c r="E240" s="39">
        <v>0</v>
      </c>
      <c r="F240" s="39">
        <f t="shared" si="38"/>
        <v>0</v>
      </c>
      <c r="G240" s="39">
        <f t="shared" si="46"/>
        <v>0</v>
      </c>
      <c r="H240" s="39">
        <f t="shared" si="45"/>
        <v>0.47313257999999997</v>
      </c>
      <c r="I240" s="39">
        <v>0</v>
      </c>
      <c r="J240" s="39">
        <v>0.45022481999999997</v>
      </c>
      <c r="K240" s="39">
        <v>0</v>
      </c>
      <c r="L240" s="39">
        <v>2.2907759999999999E-2</v>
      </c>
      <c r="M240" s="39">
        <v>0</v>
      </c>
      <c r="N240" s="38" t="s">
        <v>48</v>
      </c>
      <c r="O240" s="39">
        <v>0</v>
      </c>
      <c r="P240" s="38" t="s">
        <v>48</v>
      </c>
      <c r="Q240" s="39">
        <f t="shared" si="44"/>
        <v>-0.47313257999999997</v>
      </c>
      <c r="R240" s="39">
        <f t="shared" si="42"/>
        <v>0.47313257999999997</v>
      </c>
      <c r="S240" s="68">
        <v>0</v>
      </c>
      <c r="T240" s="42" t="s">
        <v>434</v>
      </c>
    </row>
    <row r="241" spans="1:20" ht="30" x14ac:dyDescent="0.25">
      <c r="A241" s="52" t="s">
        <v>187</v>
      </c>
      <c r="B241" s="33" t="s">
        <v>410</v>
      </c>
      <c r="C241" s="34" t="s">
        <v>411</v>
      </c>
      <c r="D241" s="39">
        <f t="shared" si="40"/>
        <v>0</v>
      </c>
      <c r="E241" s="39">
        <v>0</v>
      </c>
      <c r="F241" s="39">
        <f t="shared" si="38"/>
        <v>0</v>
      </c>
      <c r="G241" s="39">
        <f t="shared" si="46"/>
        <v>0</v>
      </c>
      <c r="H241" s="39">
        <f t="shared" si="45"/>
        <v>2.6690676000000003E-2</v>
      </c>
      <c r="I241" s="39">
        <v>0</v>
      </c>
      <c r="J241" s="39">
        <v>2.6690676000000003E-2</v>
      </c>
      <c r="K241" s="39">
        <v>0</v>
      </c>
      <c r="L241" s="39">
        <v>0</v>
      </c>
      <c r="M241" s="39">
        <v>0</v>
      </c>
      <c r="N241" s="38" t="s">
        <v>48</v>
      </c>
      <c r="O241" s="39">
        <v>0</v>
      </c>
      <c r="P241" s="38" t="s">
        <v>48</v>
      </c>
      <c r="Q241" s="39">
        <f t="shared" si="44"/>
        <v>-2.6690676000000003E-2</v>
      </c>
      <c r="R241" s="39">
        <f t="shared" si="42"/>
        <v>2.6690676000000003E-2</v>
      </c>
      <c r="S241" s="68">
        <v>0</v>
      </c>
      <c r="T241" s="42" t="s">
        <v>434</v>
      </c>
    </row>
    <row r="242" spans="1:20" ht="30" x14ac:dyDescent="0.25">
      <c r="A242" s="30" t="s">
        <v>187</v>
      </c>
      <c r="B242" s="31" t="s">
        <v>189</v>
      </c>
      <c r="C242" s="32" t="s">
        <v>190</v>
      </c>
      <c r="D242" s="39">
        <f t="shared" si="40"/>
        <v>0.67417982399999998</v>
      </c>
      <c r="E242" s="39">
        <f>17761*1.2/1000000</f>
        <v>2.1313200000000001E-2</v>
      </c>
      <c r="F242" s="39">
        <f t="shared" si="38"/>
        <v>0.65286662399999995</v>
      </c>
      <c r="G242" s="39">
        <f t="shared" si="46"/>
        <v>0.67417982399999998</v>
      </c>
      <c r="H242" s="39">
        <f t="shared" si="45"/>
        <v>0.16281773999999999</v>
      </c>
      <c r="I242" s="39">
        <v>0.11337381599999999</v>
      </c>
      <c r="J242" s="39">
        <v>0</v>
      </c>
      <c r="K242" s="39">
        <v>0.56080600800000002</v>
      </c>
      <c r="L242" s="39">
        <v>0.16281773999999999</v>
      </c>
      <c r="M242" s="39">
        <v>0</v>
      </c>
      <c r="N242" s="38" t="s">
        <v>48</v>
      </c>
      <c r="O242" s="39">
        <v>0</v>
      </c>
      <c r="P242" s="38" t="s">
        <v>48</v>
      </c>
      <c r="Q242" s="39">
        <f t="shared" si="44"/>
        <v>0.49004888399999996</v>
      </c>
      <c r="R242" s="39">
        <f t="shared" si="42"/>
        <v>-0.51136208399999994</v>
      </c>
      <c r="S242" s="68">
        <f t="shared" si="43"/>
        <v>-75.849508661653459</v>
      </c>
      <c r="T242" s="43" t="s">
        <v>439</v>
      </c>
    </row>
    <row r="243" spans="1:20" ht="30" x14ac:dyDescent="0.25">
      <c r="A243" s="22" t="s">
        <v>187</v>
      </c>
      <c r="B243" s="23" t="s">
        <v>191</v>
      </c>
      <c r="C243" s="24" t="s">
        <v>192</v>
      </c>
      <c r="D243" s="39">
        <f t="shared" si="40"/>
        <v>4.1485422359999991</v>
      </c>
      <c r="E243" s="39">
        <f>29215*1.2/1000000</f>
        <v>3.5057999999999999E-2</v>
      </c>
      <c r="F243" s="39">
        <f t="shared" si="38"/>
        <v>4.1134842359999988</v>
      </c>
      <c r="G243" s="39">
        <f t="shared" si="46"/>
        <v>4.1485422359999991</v>
      </c>
      <c r="H243" s="39">
        <f t="shared" si="45"/>
        <v>0</v>
      </c>
      <c r="I243" s="39">
        <v>0.28190096400000003</v>
      </c>
      <c r="J243" s="39">
        <v>0</v>
      </c>
      <c r="K243" s="39">
        <v>0</v>
      </c>
      <c r="L243" s="39">
        <v>0</v>
      </c>
      <c r="M243" s="39">
        <v>0</v>
      </c>
      <c r="N243" s="38" t="s">
        <v>48</v>
      </c>
      <c r="O243" s="39">
        <v>3.8666412719999994</v>
      </c>
      <c r="P243" s="38" t="s">
        <v>48</v>
      </c>
      <c r="Q243" s="39">
        <f t="shared" si="44"/>
        <v>4.1134842359999988</v>
      </c>
      <c r="R243" s="39">
        <f t="shared" si="42"/>
        <v>-0.28190096400000003</v>
      </c>
      <c r="S243" s="68">
        <f t="shared" si="43"/>
        <v>-100</v>
      </c>
      <c r="T243" s="43" t="s">
        <v>439</v>
      </c>
    </row>
    <row r="244" spans="1:20" ht="30" x14ac:dyDescent="0.25">
      <c r="A244" s="22" t="s">
        <v>187</v>
      </c>
      <c r="B244" s="23" t="s">
        <v>193</v>
      </c>
      <c r="C244" s="24" t="s">
        <v>194</v>
      </c>
      <c r="D244" s="39">
        <f t="shared" si="40"/>
        <v>3.893593536</v>
      </c>
      <c r="E244" s="39">
        <f>29640*1.2/1000000</f>
        <v>3.5568000000000002E-2</v>
      </c>
      <c r="F244" s="39">
        <f t="shared" si="38"/>
        <v>3.858025536</v>
      </c>
      <c r="G244" s="39">
        <f t="shared" si="46"/>
        <v>3.893593536</v>
      </c>
      <c r="H244" s="39">
        <f t="shared" si="45"/>
        <v>1.854061884</v>
      </c>
      <c r="I244" s="39">
        <v>0.28893457199999995</v>
      </c>
      <c r="J244" s="39">
        <v>0</v>
      </c>
      <c r="K244" s="39">
        <v>0</v>
      </c>
      <c r="L244" s="39">
        <v>1.854061884</v>
      </c>
      <c r="M244" s="39">
        <v>0</v>
      </c>
      <c r="N244" s="38" t="s">
        <v>48</v>
      </c>
      <c r="O244" s="39">
        <v>3.604658964</v>
      </c>
      <c r="P244" s="38" t="s">
        <v>48</v>
      </c>
      <c r="Q244" s="39">
        <f t="shared" si="44"/>
        <v>2.0039636519999999</v>
      </c>
      <c r="R244" s="39">
        <f t="shared" si="42"/>
        <v>1.565127312</v>
      </c>
      <c r="S244" s="68">
        <f t="shared" si="43"/>
        <v>541.68917937587628</v>
      </c>
      <c r="T244" s="43" t="s">
        <v>439</v>
      </c>
    </row>
    <row r="245" spans="1:20" ht="30" x14ac:dyDescent="0.25">
      <c r="A245" s="22" t="s">
        <v>187</v>
      </c>
      <c r="B245" s="23" t="s">
        <v>195</v>
      </c>
      <c r="C245" s="24" t="s">
        <v>196</v>
      </c>
      <c r="D245" s="39">
        <f t="shared" si="40"/>
        <v>3.3533705279999997</v>
      </c>
      <c r="E245" s="39">
        <f>19878*1.2/1000000</f>
        <v>2.3853599999999999E-2</v>
      </c>
      <c r="F245" s="39">
        <f t="shared" si="38"/>
        <v>3.3295169279999999</v>
      </c>
      <c r="G245" s="39">
        <f t="shared" si="46"/>
        <v>3.3533705279999997</v>
      </c>
      <c r="H245" s="39">
        <f t="shared" si="45"/>
        <v>0</v>
      </c>
      <c r="I245" s="39">
        <v>0.20390425199999998</v>
      </c>
      <c r="J245" s="39">
        <v>0</v>
      </c>
      <c r="K245" s="39">
        <v>0</v>
      </c>
      <c r="L245" s="39">
        <v>0</v>
      </c>
      <c r="M245" s="39">
        <v>3.1494662759999996</v>
      </c>
      <c r="N245" s="38" t="s">
        <v>48</v>
      </c>
      <c r="O245" s="39">
        <v>0</v>
      </c>
      <c r="P245" s="38" t="s">
        <v>48</v>
      </c>
      <c r="Q245" s="39">
        <f t="shared" si="44"/>
        <v>3.3295169279999999</v>
      </c>
      <c r="R245" s="39">
        <f t="shared" si="42"/>
        <v>-0.20390425199999998</v>
      </c>
      <c r="S245" s="68">
        <f t="shared" si="43"/>
        <v>-100</v>
      </c>
      <c r="T245" s="43" t="s">
        <v>439</v>
      </c>
    </row>
    <row r="246" spans="1:20" ht="30" x14ac:dyDescent="0.25">
      <c r="A246" s="22" t="s">
        <v>187</v>
      </c>
      <c r="B246" s="23" t="s">
        <v>197</v>
      </c>
      <c r="C246" s="24" t="s">
        <v>198</v>
      </c>
      <c r="D246" s="39">
        <f t="shared" si="40"/>
        <v>4.9100255879999999</v>
      </c>
      <c r="E246" s="39">
        <f>25723*1.2/1000000</f>
        <v>3.0867599999999999E-2</v>
      </c>
      <c r="F246" s="39">
        <f t="shared" ref="F246:F338" si="47">D246-E246</f>
        <v>4.8791579880000002</v>
      </c>
      <c r="G246" s="39">
        <f t="shared" si="46"/>
        <v>4.9100255879999999</v>
      </c>
      <c r="H246" s="39">
        <f t="shared" si="45"/>
        <v>0</v>
      </c>
      <c r="I246" s="39">
        <v>0.27519184799999996</v>
      </c>
      <c r="J246" s="39">
        <v>0</v>
      </c>
      <c r="K246" s="39">
        <v>4.6348337399999995</v>
      </c>
      <c r="L246" s="39">
        <v>0</v>
      </c>
      <c r="M246" s="39">
        <v>0</v>
      </c>
      <c r="N246" s="38" t="s">
        <v>48</v>
      </c>
      <c r="O246" s="39">
        <v>0</v>
      </c>
      <c r="P246" s="38" t="s">
        <v>48</v>
      </c>
      <c r="Q246" s="39">
        <f t="shared" si="44"/>
        <v>4.8791579880000002</v>
      </c>
      <c r="R246" s="39">
        <f t="shared" si="42"/>
        <v>-4.9100255879999999</v>
      </c>
      <c r="S246" s="68">
        <f t="shared" si="43"/>
        <v>-100</v>
      </c>
      <c r="T246" s="43" t="s">
        <v>439</v>
      </c>
    </row>
    <row r="247" spans="1:20" ht="30" x14ac:dyDescent="0.25">
      <c r="A247" s="22" t="s">
        <v>187</v>
      </c>
      <c r="B247" s="23" t="s">
        <v>199</v>
      </c>
      <c r="C247" s="24" t="s">
        <v>200</v>
      </c>
      <c r="D247" s="39">
        <f t="shared" si="40"/>
        <v>4.1689711679999997</v>
      </c>
      <c r="E247" s="39">
        <f>27559*1.2/1000000</f>
        <v>3.3070799999999997E-2</v>
      </c>
      <c r="F247" s="39">
        <f t="shared" si="47"/>
        <v>4.1359003679999997</v>
      </c>
      <c r="G247" s="39">
        <f t="shared" si="46"/>
        <v>4.1689711679999997</v>
      </c>
      <c r="H247" s="39">
        <f t="shared" si="45"/>
        <v>0.95607898800000002</v>
      </c>
      <c r="I247" s="39">
        <v>0.25660711199999997</v>
      </c>
      <c r="J247" s="39">
        <v>3.4612319999999999E-3</v>
      </c>
      <c r="K247" s="39">
        <v>0</v>
      </c>
      <c r="L247" s="39">
        <v>0.95261775599999998</v>
      </c>
      <c r="M247" s="39">
        <v>0</v>
      </c>
      <c r="N247" s="38" t="s">
        <v>48</v>
      </c>
      <c r="O247" s="39">
        <v>3.9123640559999995</v>
      </c>
      <c r="P247" s="38" t="s">
        <v>48</v>
      </c>
      <c r="Q247" s="39">
        <f t="shared" si="44"/>
        <v>3.1798213799999999</v>
      </c>
      <c r="R247" s="39">
        <f t="shared" si="42"/>
        <v>0.69947187600000005</v>
      </c>
      <c r="S247" s="68">
        <f t="shared" si="43"/>
        <v>272.58475828994176</v>
      </c>
      <c r="T247" s="43" t="s">
        <v>439</v>
      </c>
    </row>
    <row r="248" spans="1:20" ht="30" x14ac:dyDescent="0.25">
      <c r="A248" s="30" t="s">
        <v>187</v>
      </c>
      <c r="B248" s="31" t="s">
        <v>201</v>
      </c>
      <c r="C248" s="32" t="s">
        <v>202</v>
      </c>
      <c r="D248" s="39">
        <f t="shared" si="40"/>
        <v>9.8400000000000001E-2</v>
      </c>
      <c r="E248" s="39">
        <f>19029.46*1.2/1000000</f>
        <v>2.2835352E-2</v>
      </c>
      <c r="F248" s="39">
        <f t="shared" si="47"/>
        <v>7.5564647999999998E-2</v>
      </c>
      <c r="G248" s="39">
        <f t="shared" si="46"/>
        <v>9.8400000000000001E-2</v>
      </c>
      <c r="H248" s="39">
        <f t="shared" si="45"/>
        <v>0.289082652</v>
      </c>
      <c r="I248" s="39">
        <v>1.7999999999999999E-2</v>
      </c>
      <c r="J248" s="39">
        <v>0</v>
      </c>
      <c r="K248" s="39">
        <v>8.0399999999999999E-2</v>
      </c>
      <c r="L248" s="77">
        <v>0.289082652</v>
      </c>
      <c r="M248" s="39">
        <v>0</v>
      </c>
      <c r="N248" s="38" t="s">
        <v>48</v>
      </c>
      <c r="O248" s="39">
        <v>0</v>
      </c>
      <c r="P248" s="38" t="s">
        <v>48</v>
      </c>
      <c r="Q248" s="39">
        <f t="shared" si="44"/>
        <v>-0.21351800399999998</v>
      </c>
      <c r="R248" s="39">
        <f t="shared" si="42"/>
        <v>0.19068265200000001</v>
      </c>
      <c r="S248" s="96">
        <f t="shared" si="43"/>
        <v>193.78318292682928</v>
      </c>
      <c r="T248" s="93" t="s">
        <v>439</v>
      </c>
    </row>
    <row r="249" spans="1:20" ht="30" x14ac:dyDescent="0.25">
      <c r="A249" s="30" t="s">
        <v>187</v>
      </c>
      <c r="B249" s="31" t="s">
        <v>203</v>
      </c>
      <c r="C249" s="32" t="s">
        <v>204</v>
      </c>
      <c r="D249" s="39">
        <f t="shared" si="40"/>
        <v>0.11399999999999999</v>
      </c>
      <c r="E249" s="39">
        <v>0</v>
      </c>
      <c r="F249" s="39">
        <f t="shared" si="47"/>
        <v>0.11399999999999999</v>
      </c>
      <c r="G249" s="39">
        <f t="shared" si="46"/>
        <v>0.11399999999999999</v>
      </c>
      <c r="H249" s="39">
        <f t="shared" si="45"/>
        <v>0</v>
      </c>
      <c r="I249" s="39">
        <v>2.4E-2</v>
      </c>
      <c r="J249" s="39">
        <v>0</v>
      </c>
      <c r="K249" s="39">
        <v>0.09</v>
      </c>
      <c r="L249" s="78"/>
      <c r="M249" s="39">
        <v>0</v>
      </c>
      <c r="N249" s="38" t="s">
        <v>48</v>
      </c>
      <c r="O249" s="39">
        <v>0</v>
      </c>
      <c r="P249" s="38" t="s">
        <v>48</v>
      </c>
      <c r="Q249" s="39">
        <f t="shared" si="44"/>
        <v>0.11399999999999999</v>
      </c>
      <c r="R249" s="39">
        <f t="shared" si="42"/>
        <v>-0.11399999999999999</v>
      </c>
      <c r="S249" s="97">
        <f t="shared" si="43"/>
        <v>-100</v>
      </c>
      <c r="T249" s="94"/>
    </row>
    <row r="250" spans="1:20" ht="30" x14ac:dyDescent="0.25">
      <c r="A250" s="30" t="s">
        <v>187</v>
      </c>
      <c r="B250" s="31" t="s">
        <v>205</v>
      </c>
      <c r="C250" s="32" t="s">
        <v>206</v>
      </c>
      <c r="D250" s="39">
        <f t="shared" si="40"/>
        <v>0.21475447199999997</v>
      </c>
      <c r="E250" s="39">
        <v>0</v>
      </c>
      <c r="F250" s="39">
        <f t="shared" si="47"/>
        <v>0.21475447199999997</v>
      </c>
      <c r="G250" s="39">
        <f t="shared" si="46"/>
        <v>0.21475447199999997</v>
      </c>
      <c r="H250" s="39">
        <f t="shared" si="45"/>
        <v>0</v>
      </c>
      <c r="I250" s="39">
        <v>2.6341271999999995E-2</v>
      </c>
      <c r="J250" s="39">
        <v>0</v>
      </c>
      <c r="K250" s="39">
        <v>0.18841319999999998</v>
      </c>
      <c r="L250" s="79"/>
      <c r="M250" s="39">
        <v>0</v>
      </c>
      <c r="N250" s="38" t="s">
        <v>48</v>
      </c>
      <c r="O250" s="39">
        <v>0</v>
      </c>
      <c r="P250" s="38" t="s">
        <v>48</v>
      </c>
      <c r="Q250" s="39">
        <f t="shared" si="44"/>
        <v>0.21475447199999997</v>
      </c>
      <c r="R250" s="39">
        <f t="shared" si="42"/>
        <v>-0.21475447199999997</v>
      </c>
      <c r="S250" s="98">
        <f t="shared" si="43"/>
        <v>-100</v>
      </c>
      <c r="T250" s="95"/>
    </row>
    <row r="251" spans="1:20" ht="30" x14ac:dyDescent="0.25">
      <c r="A251" s="30" t="s">
        <v>187</v>
      </c>
      <c r="B251" s="31" t="s">
        <v>207</v>
      </c>
      <c r="C251" s="32" t="s">
        <v>208</v>
      </c>
      <c r="D251" s="39">
        <f t="shared" si="40"/>
        <v>0.4768116</v>
      </c>
      <c r="E251" s="39">
        <v>0</v>
      </c>
      <c r="F251" s="39">
        <f t="shared" si="47"/>
        <v>0.4768116</v>
      </c>
      <c r="G251" s="39">
        <f t="shared" si="46"/>
        <v>0.4768116</v>
      </c>
      <c r="H251" s="39">
        <f t="shared" si="45"/>
        <v>0.32193350399999998</v>
      </c>
      <c r="I251" s="39">
        <v>7.4445599999999987E-2</v>
      </c>
      <c r="J251" s="39">
        <v>0</v>
      </c>
      <c r="K251" s="39">
        <v>0.402366</v>
      </c>
      <c r="L251" s="39">
        <v>0.32193350399999998</v>
      </c>
      <c r="M251" s="39">
        <v>0</v>
      </c>
      <c r="N251" s="38" t="s">
        <v>48</v>
      </c>
      <c r="O251" s="39">
        <v>0</v>
      </c>
      <c r="P251" s="38" t="s">
        <v>48</v>
      </c>
      <c r="Q251" s="39">
        <f t="shared" si="44"/>
        <v>0.15487809600000002</v>
      </c>
      <c r="R251" s="39">
        <f t="shared" si="42"/>
        <v>-0.15487809600000002</v>
      </c>
      <c r="S251" s="68">
        <f t="shared" si="43"/>
        <v>-32.482031896875</v>
      </c>
      <c r="T251" s="43" t="s">
        <v>439</v>
      </c>
    </row>
    <row r="252" spans="1:20" ht="30" x14ac:dyDescent="0.25">
      <c r="A252" s="30" t="s">
        <v>187</v>
      </c>
      <c r="B252" s="31" t="s">
        <v>209</v>
      </c>
      <c r="C252" s="32" t="s">
        <v>210</v>
      </c>
      <c r="D252" s="39">
        <f t="shared" si="40"/>
        <v>0.30629999999999996</v>
      </c>
      <c r="E252" s="39">
        <v>0</v>
      </c>
      <c r="F252" s="39">
        <f t="shared" si="47"/>
        <v>0.30629999999999996</v>
      </c>
      <c r="G252" s="39">
        <f t="shared" si="46"/>
        <v>0.30629999999999996</v>
      </c>
      <c r="H252" s="39">
        <f t="shared" si="45"/>
        <v>0.27555015599999999</v>
      </c>
      <c r="I252" s="39">
        <v>4.2000000000000003E-2</v>
      </c>
      <c r="J252" s="39">
        <v>0</v>
      </c>
      <c r="K252" s="39">
        <v>0</v>
      </c>
      <c r="L252" s="39">
        <v>0.27555015599999999</v>
      </c>
      <c r="M252" s="39">
        <v>0.26429999999999998</v>
      </c>
      <c r="N252" s="38" t="s">
        <v>48</v>
      </c>
      <c r="O252" s="39">
        <v>0</v>
      </c>
      <c r="P252" s="38" t="s">
        <v>48</v>
      </c>
      <c r="Q252" s="39">
        <f t="shared" si="44"/>
        <v>3.0749843999999971E-2</v>
      </c>
      <c r="R252" s="39">
        <f t="shared" si="42"/>
        <v>0.23355015599999998</v>
      </c>
      <c r="S252" s="68">
        <f t="shared" si="43"/>
        <v>556.07179999999994</v>
      </c>
      <c r="T252" s="43" t="s">
        <v>48</v>
      </c>
    </row>
    <row r="253" spans="1:20" ht="30" x14ac:dyDescent="0.25">
      <c r="A253" s="30" t="s">
        <v>187</v>
      </c>
      <c r="B253" s="31" t="s">
        <v>211</v>
      </c>
      <c r="C253" s="32" t="s">
        <v>212</v>
      </c>
      <c r="D253" s="39">
        <f t="shared" si="40"/>
        <v>0.24690240000000002</v>
      </c>
      <c r="E253" s="39">
        <f>15230*1.2/1000000</f>
        <v>1.8276000000000001E-2</v>
      </c>
      <c r="F253" s="39">
        <f t="shared" si="47"/>
        <v>0.22862640000000001</v>
      </c>
      <c r="G253" s="39">
        <f t="shared" si="46"/>
        <v>0.24690240000000002</v>
      </c>
      <c r="H253" s="39">
        <f t="shared" si="45"/>
        <v>0.33288983999999999</v>
      </c>
      <c r="I253" s="39">
        <v>3.6600000000000001E-2</v>
      </c>
      <c r="J253" s="39">
        <v>3.4012319999999997E-3</v>
      </c>
      <c r="K253" s="39">
        <v>0</v>
      </c>
      <c r="L253" s="39">
        <v>0.32948860800000002</v>
      </c>
      <c r="M253" s="39">
        <v>0.21030240000000003</v>
      </c>
      <c r="N253" s="38" t="s">
        <v>48</v>
      </c>
      <c r="O253" s="39">
        <v>0</v>
      </c>
      <c r="P253" s="38" t="s">
        <v>48</v>
      </c>
      <c r="Q253" s="39">
        <f t="shared" si="44"/>
        <v>-0.10426343999999999</v>
      </c>
      <c r="R253" s="39">
        <f t="shared" si="42"/>
        <v>0.29628983999999997</v>
      </c>
      <c r="S253" s="68">
        <f t="shared" si="43"/>
        <v>809.53508196721305</v>
      </c>
      <c r="T253" s="43" t="s">
        <v>439</v>
      </c>
    </row>
    <row r="254" spans="1:20" ht="30" x14ac:dyDescent="0.25">
      <c r="A254" s="30" t="s">
        <v>187</v>
      </c>
      <c r="B254" s="31" t="s">
        <v>213</v>
      </c>
      <c r="C254" s="32" t="s">
        <v>214</v>
      </c>
      <c r="D254" s="39">
        <f t="shared" si="40"/>
        <v>0.251535756</v>
      </c>
      <c r="E254" s="39">
        <f>22781.46*1.2/1000000</f>
        <v>2.7337751999999996E-2</v>
      </c>
      <c r="F254" s="39">
        <f t="shared" si="47"/>
        <v>0.22419800400000001</v>
      </c>
      <c r="G254" s="39">
        <f t="shared" si="46"/>
        <v>0.251535756</v>
      </c>
      <c r="H254" s="39">
        <f t="shared" si="45"/>
        <v>0.14839351200000001</v>
      </c>
      <c r="I254" s="39">
        <v>4.3543355999999998E-2</v>
      </c>
      <c r="J254" s="39">
        <v>0</v>
      </c>
      <c r="K254" s="39">
        <v>0</v>
      </c>
      <c r="L254" s="39">
        <v>0.14839351200000001</v>
      </c>
      <c r="M254" s="39">
        <v>0.20799239999999999</v>
      </c>
      <c r="N254" s="38" t="s">
        <v>48</v>
      </c>
      <c r="O254" s="39">
        <v>0</v>
      </c>
      <c r="P254" s="38" t="s">
        <v>48</v>
      </c>
      <c r="Q254" s="39">
        <f t="shared" si="44"/>
        <v>7.5804492000000001E-2</v>
      </c>
      <c r="R254" s="39">
        <f t="shared" si="42"/>
        <v>0.104850156</v>
      </c>
      <c r="S254" s="68">
        <f t="shared" si="43"/>
        <v>240.79484364962593</v>
      </c>
      <c r="T254" s="43" t="s">
        <v>439</v>
      </c>
    </row>
    <row r="255" spans="1:20" ht="30" x14ac:dyDescent="0.25">
      <c r="A255" s="52" t="s">
        <v>187</v>
      </c>
      <c r="B255" s="23" t="s">
        <v>412</v>
      </c>
      <c r="C255" s="51" t="s">
        <v>413</v>
      </c>
      <c r="D255" s="39">
        <f t="shared" si="40"/>
        <v>0</v>
      </c>
      <c r="E255" s="39">
        <f>737884.93*1.2/1000000</f>
        <v>0.88546191600000013</v>
      </c>
      <c r="F255" s="39">
        <f t="shared" si="47"/>
        <v>-0.88546191600000013</v>
      </c>
      <c r="G255" s="39">
        <f t="shared" si="46"/>
        <v>0</v>
      </c>
      <c r="H255" s="39">
        <f t="shared" si="45"/>
        <v>0</v>
      </c>
      <c r="I255" s="39">
        <v>0</v>
      </c>
      <c r="J255" s="39">
        <v>0</v>
      </c>
      <c r="K255" s="39">
        <v>0</v>
      </c>
      <c r="L255" s="39">
        <v>0</v>
      </c>
      <c r="M255" s="39">
        <v>0</v>
      </c>
      <c r="N255" s="38" t="s">
        <v>48</v>
      </c>
      <c r="O255" s="39">
        <v>0</v>
      </c>
      <c r="P255" s="38" t="s">
        <v>48</v>
      </c>
      <c r="Q255" s="39">
        <f t="shared" si="44"/>
        <v>-0.88546191600000013</v>
      </c>
      <c r="R255" s="39">
        <f t="shared" si="42"/>
        <v>0</v>
      </c>
      <c r="S255" s="68">
        <v>0</v>
      </c>
      <c r="T255" s="42" t="s">
        <v>434</v>
      </c>
    </row>
    <row r="256" spans="1:20" ht="30" x14ac:dyDescent="0.25">
      <c r="A256" s="28" t="s">
        <v>187</v>
      </c>
      <c r="B256" s="23" t="s">
        <v>414</v>
      </c>
      <c r="C256" s="50" t="s">
        <v>215</v>
      </c>
      <c r="D256" s="39">
        <f t="shared" si="40"/>
        <v>0</v>
      </c>
      <c r="E256" s="39">
        <v>0</v>
      </c>
      <c r="F256" s="39">
        <f t="shared" si="47"/>
        <v>0</v>
      </c>
      <c r="G256" s="39">
        <f t="shared" si="46"/>
        <v>0</v>
      </c>
      <c r="H256" s="39">
        <f t="shared" si="45"/>
        <v>0.11947021199999999</v>
      </c>
      <c r="I256" s="39">
        <v>0</v>
      </c>
      <c r="J256" s="39">
        <v>0.11947021199999999</v>
      </c>
      <c r="K256" s="39">
        <v>0</v>
      </c>
      <c r="L256" s="39">
        <v>0</v>
      </c>
      <c r="M256" s="39">
        <v>0</v>
      </c>
      <c r="N256" s="38" t="s">
        <v>48</v>
      </c>
      <c r="O256" s="39">
        <v>0</v>
      </c>
      <c r="P256" s="38" t="s">
        <v>48</v>
      </c>
      <c r="Q256" s="39">
        <f t="shared" si="44"/>
        <v>-0.11947021199999999</v>
      </c>
      <c r="R256" s="39">
        <f t="shared" si="42"/>
        <v>0.11947021199999999</v>
      </c>
      <c r="S256" s="68">
        <v>0</v>
      </c>
      <c r="T256" s="42" t="s">
        <v>434</v>
      </c>
    </row>
    <row r="257" spans="1:20" ht="30" x14ac:dyDescent="0.25">
      <c r="A257" s="28" t="s">
        <v>187</v>
      </c>
      <c r="B257" s="23" t="s">
        <v>616</v>
      </c>
      <c r="C257" s="50" t="s">
        <v>617</v>
      </c>
      <c r="D257" s="39">
        <v>0</v>
      </c>
      <c r="E257" s="39">
        <v>0</v>
      </c>
      <c r="F257" s="39">
        <v>0</v>
      </c>
      <c r="G257" s="39">
        <v>0</v>
      </c>
      <c r="H257" s="39">
        <f t="shared" si="45"/>
        <v>4.5009132E-2</v>
      </c>
      <c r="I257" s="39">
        <v>0</v>
      </c>
      <c r="J257" s="39">
        <v>0</v>
      </c>
      <c r="K257" s="39">
        <v>0</v>
      </c>
      <c r="L257" s="39">
        <v>4.5009132E-2</v>
      </c>
      <c r="M257" s="39">
        <v>0</v>
      </c>
      <c r="N257" s="38" t="s">
        <v>48</v>
      </c>
      <c r="O257" s="39">
        <v>0</v>
      </c>
      <c r="P257" s="38" t="s">
        <v>48</v>
      </c>
      <c r="Q257" s="39">
        <f t="shared" si="44"/>
        <v>-4.5009132E-2</v>
      </c>
      <c r="R257" s="39">
        <f t="shared" si="42"/>
        <v>4.5009132E-2</v>
      </c>
      <c r="S257" s="68">
        <v>0</v>
      </c>
      <c r="T257" s="42" t="s">
        <v>438</v>
      </c>
    </row>
    <row r="258" spans="1:20" ht="30" x14ac:dyDescent="0.25">
      <c r="A258" s="28" t="s">
        <v>187</v>
      </c>
      <c r="B258" s="23" t="s">
        <v>344</v>
      </c>
      <c r="C258" s="50" t="s">
        <v>618</v>
      </c>
      <c r="D258" s="39">
        <v>0</v>
      </c>
      <c r="E258" s="39">
        <v>0</v>
      </c>
      <c r="F258" s="39">
        <v>0</v>
      </c>
      <c r="G258" s="39">
        <v>0</v>
      </c>
      <c r="H258" s="39">
        <f t="shared" si="45"/>
        <v>0</v>
      </c>
      <c r="I258" s="39">
        <v>0</v>
      </c>
      <c r="J258" s="39">
        <v>0</v>
      </c>
      <c r="K258" s="39">
        <v>0</v>
      </c>
      <c r="L258" s="39">
        <v>0</v>
      </c>
      <c r="M258" s="39">
        <v>0</v>
      </c>
      <c r="N258" s="38" t="s">
        <v>48</v>
      </c>
      <c r="O258" s="39">
        <v>0</v>
      </c>
      <c r="P258" s="38" t="s">
        <v>48</v>
      </c>
      <c r="Q258" s="39">
        <f t="shared" si="44"/>
        <v>0</v>
      </c>
      <c r="R258" s="39">
        <f t="shared" si="42"/>
        <v>0</v>
      </c>
      <c r="S258" s="68">
        <v>0</v>
      </c>
      <c r="T258" s="42" t="s">
        <v>437</v>
      </c>
    </row>
    <row r="259" spans="1:20" ht="30" x14ac:dyDescent="0.25">
      <c r="A259" s="28" t="s">
        <v>187</v>
      </c>
      <c r="B259" s="23" t="s">
        <v>345</v>
      </c>
      <c r="C259" s="50" t="s">
        <v>619</v>
      </c>
      <c r="D259" s="39">
        <v>0</v>
      </c>
      <c r="E259" s="39">
        <v>0</v>
      </c>
      <c r="F259" s="39">
        <v>0</v>
      </c>
      <c r="G259" s="39">
        <v>0</v>
      </c>
      <c r="H259" s="39">
        <f t="shared" si="45"/>
        <v>0</v>
      </c>
      <c r="I259" s="39">
        <v>0</v>
      </c>
      <c r="J259" s="39">
        <v>0</v>
      </c>
      <c r="K259" s="39">
        <v>0</v>
      </c>
      <c r="L259" s="39">
        <v>0</v>
      </c>
      <c r="M259" s="39">
        <v>0</v>
      </c>
      <c r="N259" s="38" t="s">
        <v>48</v>
      </c>
      <c r="O259" s="39">
        <v>0</v>
      </c>
      <c r="P259" s="38" t="s">
        <v>48</v>
      </c>
      <c r="Q259" s="39">
        <f t="shared" si="44"/>
        <v>0</v>
      </c>
      <c r="R259" s="39">
        <f t="shared" si="42"/>
        <v>0</v>
      </c>
      <c r="S259" s="68">
        <v>0</v>
      </c>
      <c r="T259" s="42" t="s">
        <v>437</v>
      </c>
    </row>
    <row r="260" spans="1:20" ht="30" x14ac:dyDescent="0.25">
      <c r="A260" s="28" t="s">
        <v>187</v>
      </c>
      <c r="B260" s="23" t="s">
        <v>346</v>
      </c>
      <c r="C260" s="50" t="s">
        <v>620</v>
      </c>
      <c r="D260" s="39">
        <v>0</v>
      </c>
      <c r="E260" s="39">
        <v>0</v>
      </c>
      <c r="F260" s="39">
        <v>0</v>
      </c>
      <c r="G260" s="39">
        <v>0</v>
      </c>
      <c r="H260" s="39">
        <f t="shared" si="45"/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8" t="s">
        <v>48</v>
      </c>
      <c r="O260" s="39">
        <v>0</v>
      </c>
      <c r="P260" s="38" t="s">
        <v>48</v>
      </c>
      <c r="Q260" s="39">
        <f t="shared" si="44"/>
        <v>0</v>
      </c>
      <c r="R260" s="39">
        <f t="shared" si="42"/>
        <v>0</v>
      </c>
      <c r="S260" s="68">
        <v>0</v>
      </c>
      <c r="T260" s="42" t="s">
        <v>437</v>
      </c>
    </row>
    <row r="261" spans="1:20" ht="45" x14ac:dyDescent="0.25">
      <c r="A261" s="28" t="s">
        <v>187</v>
      </c>
      <c r="B261" s="23" t="s">
        <v>621</v>
      </c>
      <c r="C261" s="50" t="s">
        <v>622</v>
      </c>
      <c r="D261" s="39">
        <v>0</v>
      </c>
      <c r="E261" s="39">
        <v>0</v>
      </c>
      <c r="F261" s="39">
        <v>0</v>
      </c>
      <c r="G261" s="39">
        <v>0</v>
      </c>
      <c r="H261" s="39">
        <f t="shared" si="45"/>
        <v>5.0383163999999994E-2</v>
      </c>
      <c r="I261" s="39">
        <v>0</v>
      </c>
      <c r="J261" s="39">
        <v>0</v>
      </c>
      <c r="K261" s="39">
        <v>0</v>
      </c>
      <c r="L261" s="39">
        <v>5.0383163999999994E-2</v>
      </c>
      <c r="M261" s="39">
        <v>0</v>
      </c>
      <c r="N261" s="38" t="s">
        <v>48</v>
      </c>
      <c r="O261" s="39">
        <v>0</v>
      </c>
      <c r="P261" s="38" t="s">
        <v>48</v>
      </c>
      <c r="Q261" s="39">
        <f t="shared" si="44"/>
        <v>-5.0383163999999994E-2</v>
      </c>
      <c r="R261" s="39">
        <f t="shared" si="42"/>
        <v>5.0383163999999994E-2</v>
      </c>
      <c r="S261" s="68">
        <v>0</v>
      </c>
      <c r="T261" s="42" t="s">
        <v>440</v>
      </c>
    </row>
    <row r="262" spans="1:20" ht="45" x14ac:dyDescent="0.25">
      <c r="A262" s="28" t="s">
        <v>187</v>
      </c>
      <c r="B262" s="23" t="s">
        <v>623</v>
      </c>
      <c r="C262" s="50" t="s">
        <v>624</v>
      </c>
      <c r="D262" s="39">
        <v>0</v>
      </c>
      <c r="E262" s="39">
        <v>0</v>
      </c>
      <c r="F262" s="39">
        <v>0</v>
      </c>
      <c r="G262" s="39">
        <v>0</v>
      </c>
      <c r="H262" s="39">
        <f t="shared" si="45"/>
        <v>1.7464799999999999E-2</v>
      </c>
      <c r="I262" s="39">
        <v>0</v>
      </c>
      <c r="J262" s="39">
        <v>0</v>
      </c>
      <c r="K262" s="39">
        <v>0</v>
      </c>
      <c r="L262" s="39">
        <v>1.7464799999999999E-2</v>
      </c>
      <c r="M262" s="39">
        <v>0</v>
      </c>
      <c r="N262" s="38" t="s">
        <v>48</v>
      </c>
      <c r="O262" s="39">
        <v>0</v>
      </c>
      <c r="P262" s="38" t="s">
        <v>48</v>
      </c>
      <c r="Q262" s="39">
        <f t="shared" si="44"/>
        <v>-1.7464799999999999E-2</v>
      </c>
      <c r="R262" s="39">
        <f t="shared" si="42"/>
        <v>1.7464799999999999E-2</v>
      </c>
      <c r="S262" s="68">
        <v>0</v>
      </c>
      <c r="T262" s="42" t="s">
        <v>440</v>
      </c>
    </row>
    <row r="263" spans="1:20" ht="45" x14ac:dyDescent="0.25">
      <c r="A263" s="28" t="s">
        <v>187</v>
      </c>
      <c r="B263" s="23" t="s">
        <v>625</v>
      </c>
      <c r="C263" s="50" t="s">
        <v>626</v>
      </c>
      <c r="D263" s="39">
        <v>0</v>
      </c>
      <c r="E263" s="39">
        <v>0</v>
      </c>
      <c r="F263" s="39">
        <v>0</v>
      </c>
      <c r="G263" s="39">
        <v>0</v>
      </c>
      <c r="H263" s="39">
        <f t="shared" si="45"/>
        <v>5.5109340000000007E-2</v>
      </c>
      <c r="I263" s="39">
        <v>0</v>
      </c>
      <c r="J263" s="39">
        <v>0</v>
      </c>
      <c r="K263" s="39">
        <v>0</v>
      </c>
      <c r="L263" s="39">
        <v>5.5109340000000007E-2</v>
      </c>
      <c r="M263" s="39">
        <v>0</v>
      </c>
      <c r="N263" s="38" t="s">
        <v>48</v>
      </c>
      <c r="O263" s="39">
        <v>0</v>
      </c>
      <c r="P263" s="38" t="s">
        <v>48</v>
      </c>
      <c r="Q263" s="39">
        <f t="shared" si="44"/>
        <v>-5.5109340000000007E-2</v>
      </c>
      <c r="R263" s="39">
        <f t="shared" si="42"/>
        <v>5.5109340000000007E-2</v>
      </c>
      <c r="S263" s="68">
        <v>0</v>
      </c>
      <c r="T263" s="42" t="s">
        <v>440</v>
      </c>
    </row>
    <row r="264" spans="1:20" ht="45" x14ac:dyDescent="0.25">
      <c r="A264" s="28" t="s">
        <v>187</v>
      </c>
      <c r="B264" s="23" t="s">
        <v>627</v>
      </c>
      <c r="C264" s="50" t="s">
        <v>628</v>
      </c>
      <c r="D264" s="39">
        <v>0</v>
      </c>
      <c r="E264" s="39">
        <v>0</v>
      </c>
      <c r="F264" s="39">
        <v>0</v>
      </c>
      <c r="G264" s="39">
        <v>0</v>
      </c>
      <c r="H264" s="39">
        <f t="shared" si="45"/>
        <v>4.4203691999999996E-2</v>
      </c>
      <c r="I264" s="39">
        <v>0</v>
      </c>
      <c r="J264" s="39">
        <v>0</v>
      </c>
      <c r="K264" s="39">
        <v>0</v>
      </c>
      <c r="L264" s="39">
        <v>4.4203691999999996E-2</v>
      </c>
      <c r="M264" s="39">
        <v>0</v>
      </c>
      <c r="N264" s="38" t="s">
        <v>48</v>
      </c>
      <c r="O264" s="39">
        <v>0</v>
      </c>
      <c r="P264" s="38" t="s">
        <v>48</v>
      </c>
      <c r="Q264" s="39">
        <f t="shared" si="44"/>
        <v>-4.4203691999999996E-2</v>
      </c>
      <c r="R264" s="39">
        <f t="shared" si="42"/>
        <v>4.4203691999999996E-2</v>
      </c>
      <c r="S264" s="68">
        <v>0</v>
      </c>
      <c r="T264" s="42" t="s">
        <v>440</v>
      </c>
    </row>
    <row r="265" spans="1:20" ht="30" x14ac:dyDescent="0.25">
      <c r="A265" s="28" t="s">
        <v>187</v>
      </c>
      <c r="B265" s="23" t="s">
        <v>629</v>
      </c>
      <c r="C265" s="50" t="s">
        <v>630</v>
      </c>
      <c r="D265" s="39">
        <v>0</v>
      </c>
      <c r="E265" s="39">
        <v>0</v>
      </c>
      <c r="F265" s="39">
        <v>0</v>
      </c>
      <c r="G265" s="39">
        <v>0</v>
      </c>
      <c r="H265" s="39">
        <f t="shared" si="45"/>
        <v>1.2638199720000001</v>
      </c>
      <c r="I265" s="39">
        <v>0</v>
      </c>
      <c r="J265" s="39">
        <v>0</v>
      </c>
      <c r="K265" s="39">
        <v>0</v>
      </c>
      <c r="L265" s="39">
        <v>1.2638199720000001</v>
      </c>
      <c r="M265" s="39">
        <v>0</v>
      </c>
      <c r="N265" s="38" t="s">
        <v>48</v>
      </c>
      <c r="O265" s="39">
        <v>0</v>
      </c>
      <c r="P265" s="38" t="s">
        <v>48</v>
      </c>
      <c r="Q265" s="39">
        <f t="shared" si="44"/>
        <v>-1.2638199720000001</v>
      </c>
      <c r="R265" s="39">
        <f t="shared" si="42"/>
        <v>1.2638199720000001</v>
      </c>
      <c r="S265" s="68">
        <v>0</v>
      </c>
      <c r="T265" s="42" t="s">
        <v>438</v>
      </c>
    </row>
    <row r="266" spans="1:20" ht="30" x14ac:dyDescent="0.25">
      <c r="A266" s="28" t="s">
        <v>187</v>
      </c>
      <c r="B266" s="23" t="s">
        <v>631</v>
      </c>
      <c r="C266" s="50" t="s">
        <v>632</v>
      </c>
      <c r="D266" s="39">
        <v>0</v>
      </c>
      <c r="E266" s="39">
        <v>0</v>
      </c>
      <c r="F266" s="39">
        <v>0</v>
      </c>
      <c r="G266" s="39">
        <v>0</v>
      </c>
      <c r="H266" s="39">
        <f t="shared" si="45"/>
        <v>4.6488108E-2</v>
      </c>
      <c r="I266" s="39">
        <v>0</v>
      </c>
      <c r="J266" s="39">
        <v>0</v>
      </c>
      <c r="K266" s="39">
        <v>0</v>
      </c>
      <c r="L266" s="39">
        <v>4.6488108E-2</v>
      </c>
      <c r="M266" s="39">
        <v>0</v>
      </c>
      <c r="N266" s="38" t="s">
        <v>48</v>
      </c>
      <c r="O266" s="39">
        <v>0</v>
      </c>
      <c r="P266" s="38" t="s">
        <v>48</v>
      </c>
      <c r="Q266" s="39">
        <f t="shared" si="44"/>
        <v>-4.6488108E-2</v>
      </c>
      <c r="R266" s="39">
        <f t="shared" si="42"/>
        <v>4.6488108E-2</v>
      </c>
      <c r="S266" s="68">
        <v>0</v>
      </c>
      <c r="T266" s="42" t="s">
        <v>438</v>
      </c>
    </row>
    <row r="267" spans="1:20" ht="45" x14ac:dyDescent="0.25">
      <c r="A267" s="28" t="s">
        <v>187</v>
      </c>
      <c r="B267" s="23" t="s">
        <v>633</v>
      </c>
      <c r="C267" s="50" t="s">
        <v>634</v>
      </c>
      <c r="D267" s="39">
        <v>0</v>
      </c>
      <c r="E267" s="39">
        <v>0</v>
      </c>
      <c r="F267" s="39">
        <v>0</v>
      </c>
      <c r="G267" s="39">
        <v>0</v>
      </c>
      <c r="H267" s="39">
        <f t="shared" si="45"/>
        <v>0</v>
      </c>
      <c r="I267" s="39">
        <v>0</v>
      </c>
      <c r="J267" s="39">
        <v>0</v>
      </c>
      <c r="K267" s="39">
        <v>0</v>
      </c>
      <c r="L267" s="39">
        <v>0</v>
      </c>
      <c r="M267" s="39">
        <v>0</v>
      </c>
      <c r="N267" s="38" t="s">
        <v>48</v>
      </c>
      <c r="O267" s="39">
        <v>0</v>
      </c>
      <c r="P267" s="38" t="s">
        <v>48</v>
      </c>
      <c r="Q267" s="39">
        <f t="shared" si="44"/>
        <v>0</v>
      </c>
      <c r="R267" s="39">
        <f t="shared" si="42"/>
        <v>0</v>
      </c>
      <c r="S267" s="68">
        <v>0</v>
      </c>
      <c r="T267" s="42" t="s">
        <v>440</v>
      </c>
    </row>
    <row r="268" spans="1:20" ht="45" x14ac:dyDescent="0.25">
      <c r="A268" s="28" t="s">
        <v>187</v>
      </c>
      <c r="B268" s="23" t="s">
        <v>635</v>
      </c>
      <c r="C268" s="50" t="s">
        <v>636</v>
      </c>
      <c r="D268" s="39">
        <v>0</v>
      </c>
      <c r="E268" s="39">
        <v>0</v>
      </c>
      <c r="F268" s="39">
        <v>0</v>
      </c>
      <c r="G268" s="39">
        <v>0</v>
      </c>
      <c r="H268" s="39">
        <f t="shared" si="45"/>
        <v>5.1477287999999996E-2</v>
      </c>
      <c r="I268" s="39">
        <v>0</v>
      </c>
      <c r="J268" s="39">
        <v>0</v>
      </c>
      <c r="K268" s="39">
        <v>0</v>
      </c>
      <c r="L268" s="39">
        <v>5.1477287999999996E-2</v>
      </c>
      <c r="M268" s="39">
        <v>0</v>
      </c>
      <c r="N268" s="38" t="s">
        <v>48</v>
      </c>
      <c r="O268" s="39">
        <v>0</v>
      </c>
      <c r="P268" s="38" t="s">
        <v>48</v>
      </c>
      <c r="Q268" s="39">
        <f t="shared" si="44"/>
        <v>-5.1477287999999996E-2</v>
      </c>
      <c r="R268" s="39">
        <f t="shared" si="42"/>
        <v>5.1477287999999996E-2</v>
      </c>
      <c r="S268" s="68">
        <v>0</v>
      </c>
      <c r="T268" s="42" t="s">
        <v>440</v>
      </c>
    </row>
    <row r="269" spans="1:20" ht="30" x14ac:dyDescent="0.25">
      <c r="A269" s="28" t="s">
        <v>187</v>
      </c>
      <c r="B269" s="23" t="s">
        <v>637</v>
      </c>
      <c r="C269" s="50" t="s">
        <v>638</v>
      </c>
      <c r="D269" s="39">
        <v>0</v>
      </c>
      <c r="E269" s="39">
        <v>0</v>
      </c>
      <c r="F269" s="39">
        <v>0</v>
      </c>
      <c r="G269" s="39">
        <v>0</v>
      </c>
      <c r="H269" s="39">
        <f t="shared" si="45"/>
        <v>3.9727247999999993E-2</v>
      </c>
      <c r="I269" s="39">
        <v>0</v>
      </c>
      <c r="J269" s="39">
        <v>0</v>
      </c>
      <c r="K269" s="39">
        <v>0</v>
      </c>
      <c r="L269" s="39">
        <v>3.9727247999999993E-2</v>
      </c>
      <c r="M269" s="39">
        <v>0</v>
      </c>
      <c r="N269" s="38" t="s">
        <v>48</v>
      </c>
      <c r="O269" s="39">
        <v>0</v>
      </c>
      <c r="P269" s="38" t="s">
        <v>48</v>
      </c>
      <c r="Q269" s="39">
        <f t="shared" si="44"/>
        <v>-3.9727247999999993E-2</v>
      </c>
      <c r="R269" s="39">
        <f t="shared" si="42"/>
        <v>3.9727247999999993E-2</v>
      </c>
      <c r="S269" s="68">
        <v>0</v>
      </c>
      <c r="T269" s="42" t="s">
        <v>438</v>
      </c>
    </row>
    <row r="270" spans="1:20" ht="45" x14ac:dyDescent="0.25">
      <c r="A270" s="28" t="s">
        <v>187</v>
      </c>
      <c r="B270" s="23" t="s">
        <v>639</v>
      </c>
      <c r="C270" s="50" t="s">
        <v>640</v>
      </c>
      <c r="D270" s="39">
        <v>0</v>
      </c>
      <c r="E270" s="39">
        <v>0</v>
      </c>
      <c r="F270" s="39">
        <v>0</v>
      </c>
      <c r="G270" s="39">
        <v>0</v>
      </c>
      <c r="H270" s="39">
        <f t="shared" si="45"/>
        <v>0.127711992</v>
      </c>
      <c r="I270" s="39">
        <v>0</v>
      </c>
      <c r="J270" s="39">
        <f>19.427/1000*1.2</f>
        <v>2.33124E-2</v>
      </c>
      <c r="K270" s="39">
        <v>0</v>
      </c>
      <c r="L270" s="39">
        <v>0.10439959199999999</v>
      </c>
      <c r="M270" s="39">
        <v>0</v>
      </c>
      <c r="N270" s="38" t="s">
        <v>48</v>
      </c>
      <c r="O270" s="39">
        <v>0</v>
      </c>
      <c r="P270" s="38" t="s">
        <v>48</v>
      </c>
      <c r="Q270" s="39">
        <f t="shared" si="44"/>
        <v>-0.127711992</v>
      </c>
      <c r="R270" s="39">
        <f t="shared" si="42"/>
        <v>0.127711992</v>
      </c>
      <c r="S270" s="68">
        <v>0</v>
      </c>
      <c r="T270" s="42" t="s">
        <v>440</v>
      </c>
    </row>
    <row r="271" spans="1:20" ht="45" x14ac:dyDescent="0.25">
      <c r="A271" s="28" t="s">
        <v>187</v>
      </c>
      <c r="B271" s="23" t="s">
        <v>641</v>
      </c>
      <c r="C271" s="50" t="s">
        <v>642</v>
      </c>
      <c r="D271" s="39">
        <v>0</v>
      </c>
      <c r="E271" s="39">
        <v>0</v>
      </c>
      <c r="F271" s="39">
        <v>0</v>
      </c>
      <c r="G271" s="39">
        <v>0</v>
      </c>
      <c r="H271" s="39">
        <f t="shared" si="45"/>
        <v>0.23487442799999997</v>
      </c>
      <c r="I271" s="39">
        <v>0</v>
      </c>
      <c r="J271" s="39">
        <f>23.477/1000*1.2</f>
        <v>2.81724E-2</v>
      </c>
      <c r="K271" s="39">
        <v>0</v>
      </c>
      <c r="L271" s="39">
        <v>0.20670202799999998</v>
      </c>
      <c r="M271" s="39">
        <v>0</v>
      </c>
      <c r="N271" s="38" t="s">
        <v>48</v>
      </c>
      <c r="O271" s="39">
        <v>0</v>
      </c>
      <c r="P271" s="38" t="s">
        <v>48</v>
      </c>
      <c r="Q271" s="39">
        <f t="shared" si="44"/>
        <v>-0.23487442799999997</v>
      </c>
      <c r="R271" s="39">
        <f t="shared" si="42"/>
        <v>0.23487442799999997</v>
      </c>
      <c r="S271" s="68">
        <v>0</v>
      </c>
      <c r="T271" s="42" t="s">
        <v>440</v>
      </c>
    </row>
    <row r="272" spans="1:20" ht="45" x14ac:dyDescent="0.25">
      <c r="A272" s="28" t="s">
        <v>187</v>
      </c>
      <c r="B272" s="23" t="s">
        <v>643</v>
      </c>
      <c r="C272" s="50" t="s">
        <v>644</v>
      </c>
      <c r="D272" s="39">
        <v>0</v>
      </c>
      <c r="E272" s="39">
        <v>0</v>
      </c>
      <c r="F272" s="39">
        <v>0</v>
      </c>
      <c r="G272" s="39">
        <v>0</v>
      </c>
      <c r="H272" s="39">
        <f t="shared" si="45"/>
        <v>0.12192470400000001</v>
      </c>
      <c r="I272" s="39">
        <v>0</v>
      </c>
      <c r="J272" s="39">
        <f>20.396/1000*1.2</f>
        <v>2.4475199999999999E-2</v>
      </c>
      <c r="K272" s="39">
        <v>0</v>
      </c>
      <c r="L272" s="39">
        <v>9.7449504000000006E-2</v>
      </c>
      <c r="M272" s="39">
        <v>0</v>
      </c>
      <c r="N272" s="38" t="s">
        <v>48</v>
      </c>
      <c r="O272" s="39">
        <v>0</v>
      </c>
      <c r="P272" s="38" t="s">
        <v>48</v>
      </c>
      <c r="Q272" s="39">
        <f t="shared" si="44"/>
        <v>-0.12192470400000001</v>
      </c>
      <c r="R272" s="39">
        <f t="shared" si="42"/>
        <v>0.12192470400000001</v>
      </c>
      <c r="S272" s="68">
        <v>0</v>
      </c>
      <c r="T272" s="42" t="s">
        <v>440</v>
      </c>
    </row>
    <row r="273" spans="1:20" ht="30" x14ac:dyDescent="0.25">
      <c r="A273" s="28" t="s">
        <v>187</v>
      </c>
      <c r="B273" s="23" t="s">
        <v>645</v>
      </c>
      <c r="C273" s="50" t="s">
        <v>104</v>
      </c>
      <c r="D273" s="39">
        <v>0</v>
      </c>
      <c r="E273" s="39">
        <v>0</v>
      </c>
      <c r="F273" s="39">
        <v>0</v>
      </c>
      <c r="G273" s="39">
        <v>0</v>
      </c>
      <c r="H273" s="39">
        <f t="shared" si="45"/>
        <v>0.46283761199999995</v>
      </c>
      <c r="I273" s="39">
        <v>0</v>
      </c>
      <c r="J273" s="39">
        <v>0</v>
      </c>
      <c r="K273" s="39">
        <v>0</v>
      </c>
      <c r="L273" s="39">
        <v>0.46283761199999995</v>
      </c>
      <c r="M273" s="39">
        <v>0</v>
      </c>
      <c r="N273" s="38" t="s">
        <v>48</v>
      </c>
      <c r="O273" s="39">
        <v>0</v>
      </c>
      <c r="P273" s="38" t="s">
        <v>48</v>
      </c>
      <c r="Q273" s="39">
        <f t="shared" si="44"/>
        <v>-0.46283761199999995</v>
      </c>
      <c r="R273" s="39">
        <f t="shared" ref="R273:R336" si="48">(J273+L273)-(I273+K273)</f>
        <v>0.46283761199999995</v>
      </c>
      <c r="S273" s="68">
        <v>0</v>
      </c>
      <c r="T273" s="42" t="s">
        <v>437</v>
      </c>
    </row>
    <row r="274" spans="1:20" ht="30" x14ac:dyDescent="0.25">
      <c r="A274" s="30" t="s">
        <v>187</v>
      </c>
      <c r="B274" s="31" t="s">
        <v>216</v>
      </c>
      <c r="C274" s="32" t="s">
        <v>217</v>
      </c>
      <c r="D274" s="39">
        <f t="shared" si="40"/>
        <v>16.156940039999999</v>
      </c>
      <c r="E274" s="39">
        <f>21454*1.2/1000000</f>
        <v>2.5744799999999998E-2</v>
      </c>
      <c r="F274" s="39">
        <f t="shared" si="47"/>
        <v>16.13119524</v>
      </c>
      <c r="G274" s="39">
        <f t="shared" ref="G274:G301" si="49">I274+K274+M274+O274</f>
        <v>16.156940039999999</v>
      </c>
      <c r="H274" s="39">
        <f t="shared" si="45"/>
        <v>8.9999999999999993E-3</v>
      </c>
      <c r="I274" s="39">
        <v>0.43544364000000002</v>
      </c>
      <c r="J274" s="39">
        <v>0</v>
      </c>
      <c r="K274" s="39">
        <v>15.721496399999998</v>
      </c>
      <c r="L274" s="39">
        <v>8.9999999999999993E-3</v>
      </c>
      <c r="M274" s="39">
        <v>0</v>
      </c>
      <c r="N274" s="38" t="s">
        <v>48</v>
      </c>
      <c r="O274" s="39">
        <v>0</v>
      </c>
      <c r="P274" s="38" t="s">
        <v>48</v>
      </c>
      <c r="Q274" s="39">
        <f t="shared" si="44"/>
        <v>16.12219524</v>
      </c>
      <c r="R274" s="39">
        <f t="shared" si="48"/>
        <v>-16.147940039999998</v>
      </c>
      <c r="S274" s="68">
        <f t="shared" ref="S274:S335" si="50">(J274+L274)/(I274+K274)*100-100</f>
        <v>-99.944296382992576</v>
      </c>
      <c r="T274" s="43" t="s">
        <v>439</v>
      </c>
    </row>
    <row r="275" spans="1:20" ht="30" x14ac:dyDescent="0.25">
      <c r="A275" s="30" t="s">
        <v>187</v>
      </c>
      <c r="B275" s="31" t="s">
        <v>218</v>
      </c>
      <c r="C275" s="32" t="s">
        <v>219</v>
      </c>
      <c r="D275" s="39">
        <f t="shared" si="40"/>
        <v>0.28404715199999997</v>
      </c>
      <c r="E275" s="39">
        <f>20624.46*1.2/1000000</f>
        <v>2.4749351999999999E-2</v>
      </c>
      <c r="F275" s="39">
        <f t="shared" si="47"/>
        <v>0.25929779999999997</v>
      </c>
      <c r="G275" s="39">
        <f t="shared" si="49"/>
        <v>0.28404715199999997</v>
      </c>
      <c r="H275" s="39">
        <f t="shared" si="45"/>
        <v>0</v>
      </c>
      <c r="I275" s="39">
        <v>3.1943951999999998E-2</v>
      </c>
      <c r="J275" s="39">
        <v>0</v>
      </c>
      <c r="K275" s="39">
        <v>0</v>
      </c>
      <c r="L275" s="39">
        <v>0</v>
      </c>
      <c r="M275" s="39">
        <v>0.25210319999999997</v>
      </c>
      <c r="N275" s="38" t="s">
        <v>48</v>
      </c>
      <c r="O275" s="39">
        <v>0</v>
      </c>
      <c r="P275" s="38" t="s">
        <v>48</v>
      </c>
      <c r="Q275" s="39">
        <f t="shared" si="44"/>
        <v>0.25929779999999997</v>
      </c>
      <c r="R275" s="39">
        <f t="shared" si="48"/>
        <v>-3.1943951999999998E-2</v>
      </c>
      <c r="S275" s="68">
        <f t="shared" si="50"/>
        <v>-100</v>
      </c>
      <c r="T275" s="43" t="s">
        <v>439</v>
      </c>
    </row>
    <row r="276" spans="1:20" ht="30" x14ac:dyDescent="0.25">
      <c r="A276" s="22" t="s">
        <v>187</v>
      </c>
      <c r="B276" s="23" t="s">
        <v>220</v>
      </c>
      <c r="C276" s="24" t="s">
        <v>221</v>
      </c>
      <c r="D276" s="39">
        <f t="shared" si="40"/>
        <v>1.6650492959999998</v>
      </c>
      <c r="E276" s="39">
        <f>52094.06*1.2/1000000</f>
        <v>6.2512871999999997E-2</v>
      </c>
      <c r="F276" s="39">
        <f t="shared" si="47"/>
        <v>1.6025364239999997</v>
      </c>
      <c r="G276" s="39">
        <f t="shared" si="49"/>
        <v>1.6650492959999998</v>
      </c>
      <c r="H276" s="39">
        <f t="shared" si="45"/>
        <v>5.5121999999999992E-3</v>
      </c>
      <c r="I276" s="39">
        <v>0.15465609599999997</v>
      </c>
      <c r="J276" s="39">
        <v>5.5121999999999992E-3</v>
      </c>
      <c r="K276" s="39">
        <v>0</v>
      </c>
      <c r="L276" s="39">
        <v>0</v>
      </c>
      <c r="M276" s="39">
        <v>1.5103932</v>
      </c>
      <c r="N276" s="38" t="s">
        <v>48</v>
      </c>
      <c r="O276" s="39">
        <v>0</v>
      </c>
      <c r="P276" s="38" t="s">
        <v>48</v>
      </c>
      <c r="Q276" s="39">
        <f t="shared" si="44"/>
        <v>1.5970242239999997</v>
      </c>
      <c r="R276" s="39">
        <f t="shared" si="48"/>
        <v>-0.14914389599999997</v>
      </c>
      <c r="S276" s="68">
        <f t="shared" si="50"/>
        <v>-96.435833993895727</v>
      </c>
      <c r="T276" s="43" t="s">
        <v>439</v>
      </c>
    </row>
    <row r="277" spans="1:20" ht="30" x14ac:dyDescent="0.25">
      <c r="A277" s="22" t="s">
        <v>187</v>
      </c>
      <c r="B277" s="23" t="s">
        <v>222</v>
      </c>
      <c r="C277" s="24" t="s">
        <v>223</v>
      </c>
      <c r="D277" s="39">
        <f t="shared" si="40"/>
        <v>0.44014525199999993</v>
      </c>
      <c r="E277" s="39">
        <v>0</v>
      </c>
      <c r="F277" s="39">
        <f t="shared" si="47"/>
        <v>0.44014525199999993</v>
      </c>
      <c r="G277" s="39">
        <f t="shared" si="49"/>
        <v>0.44014525199999993</v>
      </c>
      <c r="H277" s="39">
        <f t="shared" si="45"/>
        <v>2.4685631999999996E-2</v>
      </c>
      <c r="I277" s="39">
        <v>5.0432051999999998E-2</v>
      </c>
      <c r="J277" s="39">
        <v>0</v>
      </c>
      <c r="K277" s="39">
        <v>0.38971319999999993</v>
      </c>
      <c r="L277" s="39">
        <v>2.4685631999999996E-2</v>
      </c>
      <c r="M277" s="39">
        <v>0</v>
      </c>
      <c r="N277" s="38" t="s">
        <v>48</v>
      </c>
      <c r="O277" s="39">
        <v>0</v>
      </c>
      <c r="P277" s="38" t="s">
        <v>48</v>
      </c>
      <c r="Q277" s="39">
        <f t="shared" si="44"/>
        <v>0.41545961999999992</v>
      </c>
      <c r="R277" s="39">
        <f t="shared" si="48"/>
        <v>-0.41545961999999992</v>
      </c>
      <c r="S277" s="68">
        <f t="shared" si="50"/>
        <v>-94.391480565147617</v>
      </c>
      <c r="T277" s="43" t="s">
        <v>439</v>
      </c>
    </row>
    <row r="278" spans="1:20" ht="30" x14ac:dyDescent="0.25">
      <c r="A278" s="22" t="s">
        <v>187</v>
      </c>
      <c r="B278" s="23" t="s">
        <v>224</v>
      </c>
      <c r="C278" s="24" t="s">
        <v>225</v>
      </c>
      <c r="D278" s="39">
        <f t="shared" si="40"/>
        <v>4.0317851999999998</v>
      </c>
      <c r="E278" s="39">
        <v>0</v>
      </c>
      <c r="F278" s="39">
        <f t="shared" si="47"/>
        <v>4.0317851999999998</v>
      </c>
      <c r="G278" s="39">
        <f t="shared" si="49"/>
        <v>4.0317851999999998</v>
      </c>
      <c r="H278" s="39">
        <f t="shared" si="45"/>
        <v>4.5089232000000007E-2</v>
      </c>
      <c r="I278" s="39">
        <v>0.29220839999999998</v>
      </c>
      <c r="J278" s="39">
        <v>0</v>
      </c>
      <c r="K278" s="39">
        <v>3.7395768</v>
      </c>
      <c r="L278" s="39">
        <v>4.5089232000000007E-2</v>
      </c>
      <c r="M278" s="39">
        <v>0</v>
      </c>
      <c r="N278" s="38" t="s">
        <v>48</v>
      </c>
      <c r="O278" s="39">
        <v>0</v>
      </c>
      <c r="P278" s="38" t="s">
        <v>48</v>
      </c>
      <c r="Q278" s="39">
        <f t="shared" si="44"/>
        <v>3.9866959679999998</v>
      </c>
      <c r="R278" s="39">
        <f t="shared" si="48"/>
        <v>-3.9866959679999998</v>
      </c>
      <c r="S278" s="68">
        <f t="shared" si="50"/>
        <v>-98.88165589773979</v>
      </c>
      <c r="T278" s="43" t="s">
        <v>439</v>
      </c>
    </row>
    <row r="279" spans="1:20" ht="30" x14ac:dyDescent="0.25">
      <c r="A279" s="22" t="s">
        <v>187</v>
      </c>
      <c r="B279" s="23" t="s">
        <v>226</v>
      </c>
      <c r="C279" s="24" t="s">
        <v>227</v>
      </c>
      <c r="D279" s="39">
        <f t="shared" si="40"/>
        <v>7.8828276600000002</v>
      </c>
      <c r="E279" s="39">
        <v>0</v>
      </c>
      <c r="F279" s="39">
        <f t="shared" si="47"/>
        <v>7.8828276600000002</v>
      </c>
      <c r="G279" s="39">
        <f t="shared" si="49"/>
        <v>7.8828276600000002</v>
      </c>
      <c r="H279" s="39">
        <f t="shared" si="45"/>
        <v>1.0781232E-2</v>
      </c>
      <c r="I279" s="39">
        <v>0.38447165999999999</v>
      </c>
      <c r="J279" s="39">
        <v>0</v>
      </c>
      <c r="K279" s="39">
        <v>7.4983560000000002</v>
      </c>
      <c r="L279" s="39">
        <v>1.0781232E-2</v>
      </c>
      <c r="M279" s="39">
        <v>0</v>
      </c>
      <c r="N279" s="38" t="s">
        <v>48</v>
      </c>
      <c r="O279" s="39">
        <v>0</v>
      </c>
      <c r="P279" s="38" t="s">
        <v>48</v>
      </c>
      <c r="Q279" s="39">
        <f t="shared" si="44"/>
        <v>7.872046428</v>
      </c>
      <c r="R279" s="39">
        <f t="shared" si="48"/>
        <v>-7.872046428</v>
      </c>
      <c r="S279" s="68">
        <f t="shared" si="50"/>
        <v>-99.863231413078992</v>
      </c>
      <c r="T279" s="43" t="s">
        <v>439</v>
      </c>
    </row>
    <row r="280" spans="1:20" ht="30" x14ac:dyDescent="0.25">
      <c r="A280" s="22" t="s">
        <v>187</v>
      </c>
      <c r="B280" s="23" t="s">
        <v>228</v>
      </c>
      <c r="C280" s="24" t="s">
        <v>229</v>
      </c>
      <c r="D280" s="39">
        <f t="shared" si="40"/>
        <v>7.8828240599999999</v>
      </c>
      <c r="E280" s="39">
        <v>0</v>
      </c>
      <c r="F280" s="39">
        <f t="shared" si="47"/>
        <v>7.8828240599999999</v>
      </c>
      <c r="G280" s="39">
        <f t="shared" si="49"/>
        <v>7.8828240599999999</v>
      </c>
      <c r="H280" s="39">
        <f t="shared" si="45"/>
        <v>1.0781232E-2</v>
      </c>
      <c r="I280" s="39">
        <v>0.38447045999999996</v>
      </c>
      <c r="J280" s="39">
        <v>0</v>
      </c>
      <c r="K280" s="39">
        <v>7.4983535999999997</v>
      </c>
      <c r="L280" s="39">
        <v>1.0781232E-2</v>
      </c>
      <c r="M280" s="39">
        <v>0</v>
      </c>
      <c r="N280" s="38" t="s">
        <v>48</v>
      </c>
      <c r="O280" s="39">
        <v>0</v>
      </c>
      <c r="P280" s="38" t="s">
        <v>48</v>
      </c>
      <c r="Q280" s="39">
        <f t="shared" si="44"/>
        <v>7.8720428279999997</v>
      </c>
      <c r="R280" s="39">
        <f t="shared" si="48"/>
        <v>-7.8720428279999997</v>
      </c>
      <c r="S280" s="68">
        <f t="shared" si="50"/>
        <v>-99.863231350618264</v>
      </c>
      <c r="T280" s="43" t="s">
        <v>439</v>
      </c>
    </row>
    <row r="281" spans="1:20" ht="30" x14ac:dyDescent="0.25">
      <c r="A281" s="22" t="s">
        <v>187</v>
      </c>
      <c r="B281" s="23" t="s">
        <v>230</v>
      </c>
      <c r="C281" s="24" t="s">
        <v>231</v>
      </c>
      <c r="D281" s="39">
        <f t="shared" si="40"/>
        <v>6.7014986280000004</v>
      </c>
      <c r="E281" s="39">
        <v>0</v>
      </c>
      <c r="F281" s="39">
        <f t="shared" si="47"/>
        <v>6.7014986280000004</v>
      </c>
      <c r="G281" s="39">
        <f t="shared" si="49"/>
        <v>6.7014986280000004</v>
      </c>
      <c r="H281" s="39">
        <f t="shared" si="45"/>
        <v>1.0781232E-2</v>
      </c>
      <c r="I281" s="39">
        <v>0.37080622800000002</v>
      </c>
      <c r="J281" s="39">
        <v>0</v>
      </c>
      <c r="K281" s="39">
        <v>6.3306924000000002</v>
      </c>
      <c r="L281" s="39">
        <v>1.0781232E-2</v>
      </c>
      <c r="M281" s="39">
        <v>0</v>
      </c>
      <c r="N281" s="38" t="s">
        <v>48</v>
      </c>
      <c r="O281" s="39">
        <v>0</v>
      </c>
      <c r="P281" s="38" t="s">
        <v>48</v>
      </c>
      <c r="Q281" s="39">
        <f t="shared" si="44"/>
        <v>6.6907173960000002</v>
      </c>
      <c r="R281" s="39">
        <f t="shared" si="48"/>
        <v>-6.6907173960000002</v>
      </c>
      <c r="S281" s="68">
        <f t="shared" si="50"/>
        <v>-99.839122074054387</v>
      </c>
      <c r="T281" s="43" t="s">
        <v>439</v>
      </c>
    </row>
    <row r="282" spans="1:20" ht="30" x14ac:dyDescent="0.25">
      <c r="A282" s="22" t="s">
        <v>187</v>
      </c>
      <c r="B282" s="23" t="s">
        <v>232</v>
      </c>
      <c r="C282" s="24" t="s">
        <v>233</v>
      </c>
      <c r="D282" s="39">
        <f t="shared" si="40"/>
        <v>0.71584339200000002</v>
      </c>
      <c r="E282" s="39">
        <v>0</v>
      </c>
      <c r="F282" s="39">
        <f t="shared" si="47"/>
        <v>0.71584339200000002</v>
      </c>
      <c r="G282" s="39">
        <f t="shared" si="49"/>
        <v>0.71584339200000002</v>
      </c>
      <c r="H282" s="39">
        <f t="shared" si="45"/>
        <v>2.2285199999999998E-2</v>
      </c>
      <c r="I282" s="39">
        <v>7.9983791999999998E-2</v>
      </c>
      <c r="J282" s="39">
        <v>2.2285199999999998E-2</v>
      </c>
      <c r="K282" s="39">
        <v>0.63585959999999997</v>
      </c>
      <c r="L282" s="39">
        <v>0</v>
      </c>
      <c r="M282" s="39">
        <v>0</v>
      </c>
      <c r="N282" s="38" t="s">
        <v>48</v>
      </c>
      <c r="O282" s="39">
        <v>0</v>
      </c>
      <c r="P282" s="38" t="s">
        <v>48</v>
      </c>
      <c r="Q282" s="39">
        <f t="shared" si="44"/>
        <v>0.69355819200000002</v>
      </c>
      <c r="R282" s="39">
        <f t="shared" si="48"/>
        <v>-0.69355819200000002</v>
      </c>
      <c r="S282" s="68">
        <f t="shared" si="50"/>
        <v>-96.886860974194761</v>
      </c>
      <c r="T282" s="43" t="s">
        <v>439</v>
      </c>
    </row>
    <row r="283" spans="1:20" ht="30" x14ac:dyDescent="0.25">
      <c r="A283" s="22" t="s">
        <v>187</v>
      </c>
      <c r="B283" s="23" t="s">
        <v>234</v>
      </c>
      <c r="C283" s="24" t="s">
        <v>235</v>
      </c>
      <c r="D283" s="39">
        <f t="shared" si="40"/>
        <v>4.5282312000000005</v>
      </c>
      <c r="E283" s="39">
        <f>191460.19*1.2/1000000</f>
        <v>0.229752228</v>
      </c>
      <c r="F283" s="39">
        <f t="shared" si="47"/>
        <v>4.2984789720000007</v>
      </c>
      <c r="G283" s="39">
        <f t="shared" si="49"/>
        <v>4.5282312000000005</v>
      </c>
      <c r="H283" s="39">
        <f t="shared" si="45"/>
        <v>3.5491200000000001E-2</v>
      </c>
      <c r="I283" s="39">
        <v>0.26963880000000001</v>
      </c>
      <c r="J283" s="39">
        <v>0</v>
      </c>
      <c r="K283" s="39">
        <v>4.2585924000000004</v>
      </c>
      <c r="L283" s="39">
        <v>3.5491200000000001E-2</v>
      </c>
      <c r="M283" s="39">
        <v>0</v>
      </c>
      <c r="N283" s="38" t="s">
        <v>48</v>
      </c>
      <c r="O283" s="39">
        <v>0</v>
      </c>
      <c r="P283" s="38" t="s">
        <v>48</v>
      </c>
      <c r="Q283" s="39">
        <f t="shared" ref="Q283:Q346" si="51">F283-H283</f>
        <v>4.2629877720000007</v>
      </c>
      <c r="R283" s="39">
        <f t="shared" si="48"/>
        <v>-4.4927400000000004</v>
      </c>
      <c r="S283" s="68">
        <f t="shared" si="50"/>
        <v>-99.216223765252977</v>
      </c>
      <c r="T283" s="43" t="s">
        <v>439</v>
      </c>
    </row>
    <row r="284" spans="1:20" ht="30" x14ac:dyDescent="0.25">
      <c r="A284" s="22" t="s">
        <v>187</v>
      </c>
      <c r="B284" s="23" t="s">
        <v>236</v>
      </c>
      <c r="C284" s="24" t="s">
        <v>237</v>
      </c>
      <c r="D284" s="39">
        <f t="shared" si="40"/>
        <v>2.8084117559999999</v>
      </c>
      <c r="E284" s="39">
        <f>26283.04*1.2/1000000</f>
        <v>3.1539648000000003E-2</v>
      </c>
      <c r="F284" s="39">
        <f t="shared" si="47"/>
        <v>2.7768721080000001</v>
      </c>
      <c r="G284" s="39">
        <f t="shared" si="49"/>
        <v>2.8084117559999999</v>
      </c>
      <c r="H284" s="39">
        <f t="shared" ref="H284:H347" si="52">J284+L284</f>
        <v>3.2552399999999995E-2</v>
      </c>
      <c r="I284" s="39">
        <v>0.23628375600000001</v>
      </c>
      <c r="J284" s="39">
        <v>3.2552399999999995E-2</v>
      </c>
      <c r="K284" s="39">
        <v>2.5721279999999997</v>
      </c>
      <c r="L284" s="39">
        <v>0</v>
      </c>
      <c r="M284" s="39">
        <v>0</v>
      </c>
      <c r="N284" s="38" t="s">
        <v>48</v>
      </c>
      <c r="O284" s="39">
        <v>0</v>
      </c>
      <c r="P284" s="38" t="s">
        <v>48</v>
      </c>
      <c r="Q284" s="39">
        <f t="shared" si="51"/>
        <v>2.7443197079999999</v>
      </c>
      <c r="R284" s="39">
        <f t="shared" si="48"/>
        <v>-2.7758593559999998</v>
      </c>
      <c r="S284" s="68">
        <f t="shared" si="50"/>
        <v>-98.840896462904567</v>
      </c>
      <c r="T284" s="43" t="s">
        <v>439</v>
      </c>
    </row>
    <row r="285" spans="1:20" ht="30" x14ac:dyDescent="0.25">
      <c r="A285" s="22" t="s">
        <v>187</v>
      </c>
      <c r="B285" s="23" t="s">
        <v>238</v>
      </c>
      <c r="C285" s="24" t="s">
        <v>239</v>
      </c>
      <c r="D285" s="39">
        <f t="shared" si="40"/>
        <v>1.6103208</v>
      </c>
      <c r="E285" s="39">
        <f>25112.69*1.2/1000000</f>
        <v>3.0135227999999997E-2</v>
      </c>
      <c r="F285" s="39">
        <f t="shared" si="47"/>
        <v>1.580185572</v>
      </c>
      <c r="G285" s="39">
        <f t="shared" si="49"/>
        <v>1.6103208</v>
      </c>
      <c r="H285" s="39">
        <f t="shared" si="52"/>
        <v>2.8612800000000001E-2</v>
      </c>
      <c r="I285" s="39">
        <v>0.22431959999999998</v>
      </c>
      <c r="J285" s="39">
        <v>2.8612800000000001E-2</v>
      </c>
      <c r="K285" s="39">
        <v>1.3860011999999999</v>
      </c>
      <c r="L285" s="39">
        <v>0</v>
      </c>
      <c r="M285" s="39">
        <v>0</v>
      </c>
      <c r="N285" s="38" t="s">
        <v>48</v>
      </c>
      <c r="O285" s="39">
        <v>0</v>
      </c>
      <c r="P285" s="38" t="s">
        <v>48</v>
      </c>
      <c r="Q285" s="39">
        <f t="shared" si="51"/>
        <v>1.5515727719999999</v>
      </c>
      <c r="R285" s="39">
        <f t="shared" si="48"/>
        <v>-1.5817079999999999</v>
      </c>
      <c r="S285" s="68">
        <f t="shared" si="50"/>
        <v>-98.223161496765115</v>
      </c>
      <c r="T285" s="43" t="s">
        <v>439</v>
      </c>
    </row>
    <row r="286" spans="1:20" ht="30" x14ac:dyDescent="0.25">
      <c r="A286" s="22" t="s">
        <v>187</v>
      </c>
      <c r="B286" s="23" t="s">
        <v>240</v>
      </c>
      <c r="C286" s="24" t="s">
        <v>241</v>
      </c>
      <c r="D286" s="39">
        <f t="shared" si="40"/>
        <v>1.7808865079999998</v>
      </c>
      <c r="E286" s="39">
        <v>0</v>
      </c>
      <c r="F286" s="39">
        <f t="shared" si="47"/>
        <v>1.7808865079999998</v>
      </c>
      <c r="G286" s="39">
        <f t="shared" si="49"/>
        <v>1.7808865079999998</v>
      </c>
      <c r="H286" s="39">
        <f t="shared" si="52"/>
        <v>8.9999999999999993E-3</v>
      </c>
      <c r="I286" s="39">
        <v>0.15938170799999998</v>
      </c>
      <c r="J286" s="39">
        <v>0</v>
      </c>
      <c r="K286" s="39">
        <v>1.6215047999999999</v>
      </c>
      <c r="L286" s="39">
        <v>8.9999999999999993E-3</v>
      </c>
      <c r="M286" s="39">
        <v>0</v>
      </c>
      <c r="N286" s="38" t="s">
        <v>48</v>
      </c>
      <c r="O286" s="39">
        <v>0</v>
      </c>
      <c r="P286" s="38" t="s">
        <v>48</v>
      </c>
      <c r="Q286" s="39">
        <f t="shared" si="51"/>
        <v>1.7718865079999999</v>
      </c>
      <c r="R286" s="39">
        <f t="shared" si="48"/>
        <v>-1.7718865079999999</v>
      </c>
      <c r="S286" s="68">
        <f t="shared" si="50"/>
        <v>-99.494633714188367</v>
      </c>
      <c r="T286" s="43" t="s">
        <v>439</v>
      </c>
    </row>
    <row r="287" spans="1:20" ht="30" x14ac:dyDescent="0.25">
      <c r="A287" s="22" t="s">
        <v>187</v>
      </c>
      <c r="B287" s="23" t="s">
        <v>242</v>
      </c>
      <c r="C287" s="24" t="s">
        <v>243</v>
      </c>
      <c r="D287" s="39">
        <f t="shared" si="40"/>
        <v>2.5818131040000001</v>
      </c>
      <c r="E287" s="39">
        <v>0</v>
      </c>
      <c r="F287" s="39">
        <f t="shared" si="47"/>
        <v>2.5818131040000001</v>
      </c>
      <c r="G287" s="39">
        <f t="shared" si="49"/>
        <v>2.5818131040000001</v>
      </c>
      <c r="H287" s="39">
        <f t="shared" si="52"/>
        <v>8.9999999999999993E-3</v>
      </c>
      <c r="I287" s="39">
        <v>0.18404390400000001</v>
      </c>
      <c r="J287" s="39">
        <v>0</v>
      </c>
      <c r="K287" s="39">
        <v>2.3977691999999999</v>
      </c>
      <c r="L287" s="39">
        <v>8.9999999999999993E-3</v>
      </c>
      <c r="M287" s="39">
        <v>0</v>
      </c>
      <c r="N287" s="38" t="s">
        <v>48</v>
      </c>
      <c r="O287" s="39">
        <v>0</v>
      </c>
      <c r="P287" s="38" t="s">
        <v>48</v>
      </c>
      <c r="Q287" s="39">
        <f t="shared" si="51"/>
        <v>2.5728131040000002</v>
      </c>
      <c r="R287" s="39">
        <f t="shared" si="48"/>
        <v>-2.5728131040000002</v>
      </c>
      <c r="S287" s="68">
        <f t="shared" si="50"/>
        <v>-99.651407765106768</v>
      </c>
      <c r="T287" s="43" t="s">
        <v>439</v>
      </c>
    </row>
    <row r="288" spans="1:20" ht="30" x14ac:dyDescent="0.25">
      <c r="A288" s="22" t="s">
        <v>187</v>
      </c>
      <c r="B288" s="23" t="s">
        <v>244</v>
      </c>
      <c r="C288" s="24" t="s">
        <v>245</v>
      </c>
      <c r="D288" s="39">
        <f t="shared" si="40"/>
        <v>1.6474509720000001</v>
      </c>
      <c r="E288" s="39">
        <v>0</v>
      </c>
      <c r="F288" s="39">
        <f t="shared" si="47"/>
        <v>1.6474509720000001</v>
      </c>
      <c r="G288" s="39">
        <f t="shared" si="49"/>
        <v>1.6474509720000001</v>
      </c>
      <c r="H288" s="39">
        <f t="shared" si="52"/>
        <v>5.1469296000000005E-2</v>
      </c>
      <c r="I288" s="39">
        <v>0.11902537199999999</v>
      </c>
      <c r="J288" s="39">
        <v>0</v>
      </c>
      <c r="K288" s="39">
        <v>0</v>
      </c>
      <c r="L288" s="39">
        <v>5.1469296000000005E-2</v>
      </c>
      <c r="M288" s="39">
        <v>1.5284256000000001</v>
      </c>
      <c r="N288" s="38" t="s">
        <v>48</v>
      </c>
      <c r="O288" s="39">
        <v>0</v>
      </c>
      <c r="P288" s="38" t="s">
        <v>48</v>
      </c>
      <c r="Q288" s="39">
        <f t="shared" si="51"/>
        <v>1.5959816760000001</v>
      </c>
      <c r="R288" s="39">
        <f t="shared" si="48"/>
        <v>-6.7556075999999993E-2</v>
      </c>
      <c r="S288" s="68">
        <f t="shared" si="50"/>
        <v>-56.757710448491594</v>
      </c>
      <c r="T288" s="43" t="s">
        <v>439</v>
      </c>
    </row>
    <row r="289" spans="1:20" ht="30" x14ac:dyDescent="0.25">
      <c r="A289" s="22" t="s">
        <v>187</v>
      </c>
      <c r="B289" s="23" t="s">
        <v>246</v>
      </c>
      <c r="C289" s="24" t="s">
        <v>247</v>
      </c>
      <c r="D289" s="39">
        <f t="shared" si="40"/>
        <v>1.535047008</v>
      </c>
      <c r="E289" s="39">
        <v>0</v>
      </c>
      <c r="F289" s="39">
        <f t="shared" si="47"/>
        <v>1.535047008</v>
      </c>
      <c r="G289" s="39">
        <f t="shared" si="49"/>
        <v>1.535047008</v>
      </c>
      <c r="H289" s="39">
        <f t="shared" si="52"/>
        <v>3.8512032000000002E-2</v>
      </c>
      <c r="I289" s="39">
        <v>0.12306100799999999</v>
      </c>
      <c r="J289" s="39">
        <v>2.3110800000000001E-2</v>
      </c>
      <c r="K289" s="39">
        <v>0</v>
      </c>
      <c r="L289" s="39">
        <v>1.5401231999999999E-2</v>
      </c>
      <c r="M289" s="39">
        <v>1.411986</v>
      </c>
      <c r="N289" s="38" t="s">
        <v>48</v>
      </c>
      <c r="O289" s="39">
        <v>0</v>
      </c>
      <c r="P289" s="38" t="s">
        <v>48</v>
      </c>
      <c r="Q289" s="39">
        <f t="shared" si="51"/>
        <v>1.496534976</v>
      </c>
      <c r="R289" s="39">
        <f t="shared" si="48"/>
        <v>-8.4548975999999984E-2</v>
      </c>
      <c r="S289" s="68">
        <f t="shared" si="50"/>
        <v>-68.704927234140641</v>
      </c>
      <c r="T289" s="43" t="s">
        <v>439</v>
      </c>
    </row>
    <row r="290" spans="1:20" ht="30" x14ac:dyDescent="0.25">
      <c r="A290" s="22" t="s">
        <v>187</v>
      </c>
      <c r="B290" s="23" t="s">
        <v>248</v>
      </c>
      <c r="C290" s="24" t="s">
        <v>249</v>
      </c>
      <c r="D290" s="39">
        <f t="shared" si="40"/>
        <v>4.1824833119999996</v>
      </c>
      <c r="E290" s="39">
        <v>0</v>
      </c>
      <c r="F290" s="39">
        <f t="shared" si="47"/>
        <v>4.1824833119999996</v>
      </c>
      <c r="G290" s="39">
        <f t="shared" si="49"/>
        <v>4.1824833119999996</v>
      </c>
      <c r="H290" s="39">
        <f t="shared" si="52"/>
        <v>2.39784E-2</v>
      </c>
      <c r="I290" s="39">
        <v>0.28202011199999999</v>
      </c>
      <c r="J290" s="39">
        <v>0</v>
      </c>
      <c r="K290" s="39">
        <v>0</v>
      </c>
      <c r="L290" s="39">
        <v>2.39784E-2</v>
      </c>
      <c r="M290" s="39">
        <v>3.9004631999999995</v>
      </c>
      <c r="N290" s="38" t="s">
        <v>48</v>
      </c>
      <c r="O290" s="39">
        <v>0</v>
      </c>
      <c r="P290" s="38" t="s">
        <v>48</v>
      </c>
      <c r="Q290" s="39">
        <f t="shared" si="51"/>
        <v>4.1585049119999997</v>
      </c>
      <c r="R290" s="39">
        <f t="shared" si="48"/>
        <v>-0.25804171199999998</v>
      </c>
      <c r="S290" s="68">
        <f t="shared" si="50"/>
        <v>-91.497627658555075</v>
      </c>
      <c r="T290" s="43" t="s">
        <v>439</v>
      </c>
    </row>
    <row r="291" spans="1:20" ht="30" x14ac:dyDescent="0.25">
      <c r="A291" s="22" t="s">
        <v>187</v>
      </c>
      <c r="B291" s="23" t="s">
        <v>250</v>
      </c>
      <c r="C291" s="24" t="s">
        <v>251</v>
      </c>
      <c r="D291" s="39">
        <f t="shared" si="40"/>
        <v>2.7582003719999997</v>
      </c>
      <c r="E291" s="39">
        <v>0</v>
      </c>
      <c r="F291" s="39">
        <f t="shared" si="47"/>
        <v>2.7582003719999997</v>
      </c>
      <c r="G291" s="39">
        <f t="shared" si="49"/>
        <v>2.7582003719999997</v>
      </c>
      <c r="H291" s="39">
        <f t="shared" si="52"/>
        <v>0</v>
      </c>
      <c r="I291" s="39">
        <v>0.19166677200000001</v>
      </c>
      <c r="J291" s="39">
        <v>0</v>
      </c>
      <c r="K291" s="39">
        <v>0</v>
      </c>
      <c r="L291" s="39">
        <v>0</v>
      </c>
      <c r="M291" s="39">
        <v>2.5665335999999996</v>
      </c>
      <c r="N291" s="38" t="s">
        <v>48</v>
      </c>
      <c r="O291" s="39">
        <v>0</v>
      </c>
      <c r="P291" s="38" t="s">
        <v>48</v>
      </c>
      <c r="Q291" s="39">
        <f t="shared" si="51"/>
        <v>2.7582003719999997</v>
      </c>
      <c r="R291" s="39">
        <f t="shared" si="48"/>
        <v>-0.19166677200000001</v>
      </c>
      <c r="S291" s="68">
        <f t="shared" si="50"/>
        <v>-100</v>
      </c>
      <c r="T291" s="43" t="s">
        <v>439</v>
      </c>
    </row>
    <row r="292" spans="1:20" ht="30" x14ac:dyDescent="0.25">
      <c r="A292" s="22" t="s">
        <v>187</v>
      </c>
      <c r="B292" s="23" t="s">
        <v>252</v>
      </c>
      <c r="C292" s="24" t="s">
        <v>253</v>
      </c>
      <c r="D292" s="39">
        <f t="shared" si="40"/>
        <v>2.1872914199999998</v>
      </c>
      <c r="E292" s="39">
        <f>50477.82*1.2/1000000</f>
        <v>6.0573384000000001E-2</v>
      </c>
      <c r="F292" s="39">
        <f t="shared" si="47"/>
        <v>2.1267180359999998</v>
      </c>
      <c r="G292" s="39">
        <f t="shared" si="49"/>
        <v>2.1872914199999998</v>
      </c>
      <c r="H292" s="39">
        <f t="shared" si="52"/>
        <v>0.31845886799999995</v>
      </c>
      <c r="I292" s="39">
        <v>0.12575142</v>
      </c>
      <c r="J292" s="39">
        <v>0</v>
      </c>
      <c r="K292" s="39">
        <v>2.0615399999999999</v>
      </c>
      <c r="L292" s="39">
        <v>0.31845886799999995</v>
      </c>
      <c r="M292" s="39">
        <v>0</v>
      </c>
      <c r="N292" s="38" t="s">
        <v>48</v>
      </c>
      <c r="O292" s="39">
        <v>0</v>
      </c>
      <c r="P292" s="38" t="s">
        <v>48</v>
      </c>
      <c r="Q292" s="39">
        <f t="shared" si="51"/>
        <v>1.8082591679999998</v>
      </c>
      <c r="R292" s="39">
        <f t="shared" si="48"/>
        <v>-1.8688325519999998</v>
      </c>
      <c r="S292" s="68">
        <f t="shared" si="50"/>
        <v>-85.440492058438195</v>
      </c>
      <c r="T292" s="43" t="s">
        <v>439</v>
      </c>
    </row>
    <row r="293" spans="1:20" ht="30" x14ac:dyDescent="0.25">
      <c r="A293" s="22" t="s">
        <v>187</v>
      </c>
      <c r="B293" s="23" t="s">
        <v>254</v>
      </c>
      <c r="C293" s="24" t="s">
        <v>255</v>
      </c>
      <c r="D293" s="39">
        <f t="shared" si="40"/>
        <v>1.6873670519999999</v>
      </c>
      <c r="E293" s="39">
        <f>42570.25*1.2/1000000</f>
        <v>5.1084299999999992E-2</v>
      </c>
      <c r="F293" s="39">
        <f t="shared" si="47"/>
        <v>1.6362827519999998</v>
      </c>
      <c r="G293" s="39">
        <f t="shared" si="49"/>
        <v>1.6873670519999999</v>
      </c>
      <c r="H293" s="39">
        <f t="shared" si="52"/>
        <v>0.36389690399999997</v>
      </c>
      <c r="I293" s="39">
        <v>0.129338652</v>
      </c>
      <c r="J293" s="39">
        <v>0</v>
      </c>
      <c r="K293" s="39">
        <v>1.5580284</v>
      </c>
      <c r="L293" s="39">
        <v>0.36389690399999997</v>
      </c>
      <c r="M293" s="39">
        <v>0</v>
      </c>
      <c r="N293" s="38" t="s">
        <v>48</v>
      </c>
      <c r="O293" s="39">
        <v>0</v>
      </c>
      <c r="P293" s="38" t="s">
        <v>48</v>
      </c>
      <c r="Q293" s="39">
        <f t="shared" si="51"/>
        <v>1.2723858479999999</v>
      </c>
      <c r="R293" s="39">
        <f t="shared" si="48"/>
        <v>-1.323470148</v>
      </c>
      <c r="S293" s="68">
        <f t="shared" si="50"/>
        <v>-78.434039969627193</v>
      </c>
      <c r="T293" s="43" t="s">
        <v>439</v>
      </c>
    </row>
    <row r="294" spans="1:20" ht="30" x14ac:dyDescent="0.25">
      <c r="A294" s="22" t="s">
        <v>187</v>
      </c>
      <c r="B294" s="23" t="s">
        <v>256</v>
      </c>
      <c r="C294" s="24" t="s">
        <v>257</v>
      </c>
      <c r="D294" s="39">
        <f t="shared" si="40"/>
        <v>8.5218071880000004</v>
      </c>
      <c r="E294" s="39">
        <f>308048.07*1.2/1000000</f>
        <v>0.36965768399999999</v>
      </c>
      <c r="F294" s="39">
        <f t="shared" si="47"/>
        <v>8.1521495040000005</v>
      </c>
      <c r="G294" s="39">
        <f t="shared" si="49"/>
        <v>8.5218071880000004</v>
      </c>
      <c r="H294" s="39">
        <f t="shared" si="52"/>
        <v>0</v>
      </c>
      <c r="I294" s="39">
        <v>0.50507878799999995</v>
      </c>
      <c r="J294" s="39">
        <v>0</v>
      </c>
      <c r="K294" s="39">
        <v>8.0167283999999999</v>
      </c>
      <c r="L294" s="39">
        <v>0</v>
      </c>
      <c r="M294" s="39">
        <v>0</v>
      </c>
      <c r="N294" s="38" t="s">
        <v>48</v>
      </c>
      <c r="O294" s="39">
        <v>0</v>
      </c>
      <c r="P294" s="38" t="s">
        <v>48</v>
      </c>
      <c r="Q294" s="39">
        <f t="shared" si="51"/>
        <v>8.1521495040000005</v>
      </c>
      <c r="R294" s="39">
        <f t="shared" si="48"/>
        <v>-8.5218071880000004</v>
      </c>
      <c r="S294" s="68">
        <f t="shared" si="50"/>
        <v>-100</v>
      </c>
      <c r="T294" s="43" t="s">
        <v>439</v>
      </c>
    </row>
    <row r="295" spans="1:20" ht="30" x14ac:dyDescent="0.25">
      <c r="A295" s="22" t="s">
        <v>187</v>
      </c>
      <c r="B295" s="23" t="s">
        <v>258</v>
      </c>
      <c r="C295" s="24" t="s">
        <v>259</v>
      </c>
      <c r="D295" s="39">
        <f t="shared" si="40"/>
        <v>13.139512440000001</v>
      </c>
      <c r="E295" s="39">
        <f>434687.7*1.2/1000000</f>
        <v>0.52162523999999999</v>
      </c>
      <c r="F295" s="39">
        <f t="shared" si="47"/>
        <v>12.6178872</v>
      </c>
      <c r="G295" s="39">
        <f t="shared" si="49"/>
        <v>13.139512440000001</v>
      </c>
      <c r="H295" s="39">
        <f t="shared" si="52"/>
        <v>0</v>
      </c>
      <c r="I295" s="39">
        <v>0.49096523999999997</v>
      </c>
      <c r="J295" s="39">
        <v>0</v>
      </c>
      <c r="K295" s="39">
        <v>0</v>
      </c>
      <c r="L295" s="39">
        <v>0</v>
      </c>
      <c r="M295" s="39">
        <v>0</v>
      </c>
      <c r="N295" s="38" t="s">
        <v>48</v>
      </c>
      <c r="O295" s="39">
        <v>12.648547200000001</v>
      </c>
      <c r="P295" s="38" t="s">
        <v>48</v>
      </c>
      <c r="Q295" s="39">
        <f t="shared" si="51"/>
        <v>12.6178872</v>
      </c>
      <c r="R295" s="39">
        <f t="shared" si="48"/>
        <v>-0.49096523999999997</v>
      </c>
      <c r="S295" s="68">
        <f t="shared" si="50"/>
        <v>-100</v>
      </c>
      <c r="T295" s="43" t="s">
        <v>439</v>
      </c>
    </row>
    <row r="296" spans="1:20" ht="45" x14ac:dyDescent="0.25">
      <c r="A296" s="52" t="s">
        <v>187</v>
      </c>
      <c r="B296" s="23" t="s">
        <v>415</v>
      </c>
      <c r="C296" s="51" t="s">
        <v>223</v>
      </c>
      <c r="D296" s="39">
        <f t="shared" si="40"/>
        <v>0</v>
      </c>
      <c r="E296" s="39">
        <v>0</v>
      </c>
      <c r="F296" s="39">
        <f t="shared" si="47"/>
        <v>0</v>
      </c>
      <c r="G296" s="39">
        <f t="shared" si="49"/>
        <v>0</v>
      </c>
      <c r="H296" s="39">
        <f t="shared" si="52"/>
        <v>0.258426084</v>
      </c>
      <c r="I296" s="39">
        <v>0</v>
      </c>
      <c r="J296" s="39">
        <v>0.258426084</v>
      </c>
      <c r="K296" s="39">
        <v>0</v>
      </c>
      <c r="L296" s="39">
        <v>0</v>
      </c>
      <c r="M296" s="39">
        <v>0</v>
      </c>
      <c r="N296" s="38" t="s">
        <v>48</v>
      </c>
      <c r="O296" s="39">
        <v>0</v>
      </c>
      <c r="P296" s="38" t="s">
        <v>48</v>
      </c>
      <c r="Q296" s="39">
        <f t="shared" si="51"/>
        <v>-0.258426084</v>
      </c>
      <c r="R296" s="39">
        <f t="shared" si="48"/>
        <v>0.258426084</v>
      </c>
      <c r="S296" s="68">
        <v>0</v>
      </c>
      <c r="T296" s="42" t="s">
        <v>440</v>
      </c>
    </row>
    <row r="297" spans="1:20" ht="45" x14ac:dyDescent="0.25">
      <c r="A297" s="52" t="s">
        <v>187</v>
      </c>
      <c r="B297" s="23" t="s">
        <v>416</v>
      </c>
      <c r="C297" s="51" t="s">
        <v>225</v>
      </c>
      <c r="D297" s="39">
        <f t="shared" si="40"/>
        <v>0</v>
      </c>
      <c r="E297" s="39">
        <v>0</v>
      </c>
      <c r="F297" s="39">
        <f t="shared" si="47"/>
        <v>0</v>
      </c>
      <c r="G297" s="39">
        <f t="shared" si="49"/>
        <v>0</v>
      </c>
      <c r="H297" s="39">
        <f t="shared" si="52"/>
        <v>0.19101264000000001</v>
      </c>
      <c r="I297" s="39">
        <v>0</v>
      </c>
      <c r="J297" s="39">
        <v>0.19101264000000001</v>
      </c>
      <c r="K297" s="39">
        <v>0</v>
      </c>
      <c r="L297" s="39">
        <v>0</v>
      </c>
      <c r="M297" s="39">
        <v>0</v>
      </c>
      <c r="N297" s="38" t="s">
        <v>48</v>
      </c>
      <c r="O297" s="39">
        <v>0</v>
      </c>
      <c r="P297" s="38" t="s">
        <v>48</v>
      </c>
      <c r="Q297" s="39">
        <f t="shared" si="51"/>
        <v>-0.19101264000000001</v>
      </c>
      <c r="R297" s="39">
        <f t="shared" si="48"/>
        <v>0.19101264000000001</v>
      </c>
      <c r="S297" s="68">
        <v>0</v>
      </c>
      <c r="T297" s="42" t="s">
        <v>440</v>
      </c>
    </row>
    <row r="298" spans="1:20" ht="45" x14ac:dyDescent="0.25">
      <c r="A298" s="52" t="s">
        <v>187</v>
      </c>
      <c r="B298" s="23" t="s">
        <v>417</v>
      </c>
      <c r="C298" s="51" t="s">
        <v>418</v>
      </c>
      <c r="D298" s="39">
        <f t="shared" si="40"/>
        <v>0</v>
      </c>
      <c r="E298" s="39">
        <v>0</v>
      </c>
      <c r="F298" s="39">
        <f t="shared" si="47"/>
        <v>0</v>
      </c>
      <c r="G298" s="39">
        <f t="shared" si="49"/>
        <v>0</v>
      </c>
      <c r="H298" s="39">
        <f t="shared" si="52"/>
        <v>0.98528618400000001</v>
      </c>
      <c r="I298" s="39">
        <v>0</v>
      </c>
      <c r="J298" s="39">
        <v>0.38220278400000002</v>
      </c>
      <c r="K298" s="39">
        <v>0</v>
      </c>
      <c r="L298" s="39">
        <v>0.60308340000000005</v>
      </c>
      <c r="M298" s="39">
        <v>0</v>
      </c>
      <c r="N298" s="38" t="s">
        <v>48</v>
      </c>
      <c r="O298" s="39">
        <v>0</v>
      </c>
      <c r="P298" s="38" t="s">
        <v>48</v>
      </c>
      <c r="Q298" s="39">
        <f t="shared" si="51"/>
        <v>-0.98528618400000001</v>
      </c>
      <c r="R298" s="39">
        <f t="shared" si="48"/>
        <v>0.98528618400000001</v>
      </c>
      <c r="S298" s="68">
        <v>0</v>
      </c>
      <c r="T298" s="42" t="s">
        <v>440</v>
      </c>
    </row>
    <row r="299" spans="1:20" ht="30" x14ac:dyDescent="0.25">
      <c r="A299" s="52" t="s">
        <v>187</v>
      </c>
      <c r="B299" s="23" t="s">
        <v>419</v>
      </c>
      <c r="C299" s="51" t="s">
        <v>420</v>
      </c>
      <c r="D299" s="39">
        <f t="shared" si="40"/>
        <v>0</v>
      </c>
      <c r="E299" s="39">
        <f>1669838.71*1.2/1000000</f>
        <v>2.0038064519999996</v>
      </c>
      <c r="F299" s="39">
        <f t="shared" si="47"/>
        <v>-2.0038064519999996</v>
      </c>
      <c r="G299" s="39">
        <f t="shared" si="49"/>
        <v>0</v>
      </c>
      <c r="H299" s="39">
        <f t="shared" si="52"/>
        <v>0.83938006800000009</v>
      </c>
      <c r="I299" s="39">
        <v>0</v>
      </c>
      <c r="J299" s="39">
        <v>0.78641545200000007</v>
      </c>
      <c r="K299" s="39">
        <v>0</v>
      </c>
      <c r="L299" s="39">
        <v>5.2964615999999999E-2</v>
      </c>
      <c r="M299" s="39">
        <v>0</v>
      </c>
      <c r="N299" s="38" t="s">
        <v>48</v>
      </c>
      <c r="O299" s="39">
        <v>0</v>
      </c>
      <c r="P299" s="38" t="s">
        <v>48</v>
      </c>
      <c r="Q299" s="39">
        <f t="shared" si="51"/>
        <v>-2.8431865199999997</v>
      </c>
      <c r="R299" s="39">
        <f t="shared" si="48"/>
        <v>0.83938006800000009</v>
      </c>
      <c r="S299" s="68">
        <v>0</v>
      </c>
      <c r="T299" s="42" t="s">
        <v>434</v>
      </c>
    </row>
    <row r="300" spans="1:20" ht="30" x14ac:dyDescent="0.25">
      <c r="A300" s="52" t="s">
        <v>187</v>
      </c>
      <c r="B300" s="23" t="s">
        <v>421</v>
      </c>
      <c r="C300" s="51" t="s">
        <v>422</v>
      </c>
      <c r="D300" s="39">
        <f t="shared" si="40"/>
        <v>0</v>
      </c>
      <c r="E300" s="39">
        <f>1399947.52*1.2/1000000</f>
        <v>1.679937024</v>
      </c>
      <c r="F300" s="39">
        <f t="shared" si="47"/>
        <v>-1.679937024</v>
      </c>
      <c r="G300" s="39">
        <f t="shared" si="49"/>
        <v>0</v>
      </c>
      <c r="H300" s="39">
        <f t="shared" si="52"/>
        <v>0.95315849999999991</v>
      </c>
      <c r="I300" s="39">
        <v>0</v>
      </c>
      <c r="J300" s="39">
        <v>0.84580591199999988</v>
      </c>
      <c r="K300" s="39">
        <v>0</v>
      </c>
      <c r="L300" s="39">
        <v>0.107352588</v>
      </c>
      <c r="M300" s="39">
        <v>0</v>
      </c>
      <c r="N300" s="38" t="s">
        <v>48</v>
      </c>
      <c r="O300" s="39">
        <v>0</v>
      </c>
      <c r="P300" s="38" t="s">
        <v>48</v>
      </c>
      <c r="Q300" s="39">
        <f t="shared" si="51"/>
        <v>-2.6330955239999998</v>
      </c>
      <c r="R300" s="39">
        <f t="shared" si="48"/>
        <v>0.95315849999999991</v>
      </c>
      <c r="S300" s="68">
        <v>0</v>
      </c>
      <c r="T300" s="42" t="s">
        <v>434</v>
      </c>
    </row>
    <row r="301" spans="1:20" ht="30" x14ac:dyDescent="0.25">
      <c r="A301" s="52" t="s">
        <v>187</v>
      </c>
      <c r="B301" s="23" t="s">
        <v>423</v>
      </c>
      <c r="C301" s="51" t="s">
        <v>424</v>
      </c>
      <c r="D301" s="39">
        <f t="shared" si="40"/>
        <v>0</v>
      </c>
      <c r="E301" s="39">
        <v>0</v>
      </c>
      <c r="F301" s="39">
        <f t="shared" si="47"/>
        <v>0</v>
      </c>
      <c r="G301" s="39">
        <f t="shared" si="49"/>
        <v>0</v>
      </c>
      <c r="H301" s="39">
        <f t="shared" si="52"/>
        <v>2.24712E-2</v>
      </c>
      <c r="I301" s="39">
        <v>0</v>
      </c>
      <c r="J301" s="39">
        <v>2.24712E-2</v>
      </c>
      <c r="K301" s="39">
        <v>0</v>
      </c>
      <c r="L301" s="39">
        <v>0</v>
      </c>
      <c r="M301" s="39">
        <v>0</v>
      </c>
      <c r="N301" s="38" t="s">
        <v>48</v>
      </c>
      <c r="O301" s="39">
        <v>0</v>
      </c>
      <c r="P301" s="38" t="s">
        <v>48</v>
      </c>
      <c r="Q301" s="39">
        <f t="shared" si="51"/>
        <v>-2.24712E-2</v>
      </c>
      <c r="R301" s="39">
        <f t="shared" si="48"/>
        <v>2.24712E-2</v>
      </c>
      <c r="S301" s="68">
        <v>0</v>
      </c>
      <c r="T301" s="42" t="s">
        <v>434</v>
      </c>
    </row>
    <row r="302" spans="1:20" ht="30" x14ac:dyDescent="0.25">
      <c r="A302" s="75" t="s">
        <v>187</v>
      </c>
      <c r="B302" s="23" t="s">
        <v>646</v>
      </c>
      <c r="C302" s="51" t="s">
        <v>647</v>
      </c>
      <c r="D302" s="39">
        <v>0</v>
      </c>
      <c r="E302" s="39">
        <v>0</v>
      </c>
      <c r="F302" s="39">
        <v>0</v>
      </c>
      <c r="G302" s="39">
        <v>0</v>
      </c>
      <c r="H302" s="39">
        <f t="shared" si="52"/>
        <v>0.186618648</v>
      </c>
      <c r="I302" s="39">
        <v>0</v>
      </c>
      <c r="J302" s="39">
        <v>0</v>
      </c>
      <c r="K302" s="39">
        <v>0</v>
      </c>
      <c r="L302" s="39">
        <v>0.186618648</v>
      </c>
      <c r="M302" s="39">
        <v>0</v>
      </c>
      <c r="N302" s="38" t="s">
        <v>48</v>
      </c>
      <c r="O302" s="39">
        <v>0</v>
      </c>
      <c r="P302" s="38" t="s">
        <v>48</v>
      </c>
      <c r="Q302" s="39">
        <f t="shared" si="51"/>
        <v>-0.186618648</v>
      </c>
      <c r="R302" s="39">
        <f t="shared" si="48"/>
        <v>0.186618648</v>
      </c>
      <c r="S302" s="68">
        <v>0</v>
      </c>
      <c r="T302" s="42" t="s">
        <v>434</v>
      </c>
    </row>
    <row r="303" spans="1:20" ht="30" x14ac:dyDescent="0.25">
      <c r="A303" s="75" t="s">
        <v>187</v>
      </c>
      <c r="B303" s="23" t="s">
        <v>648</v>
      </c>
      <c r="C303" s="51" t="s">
        <v>649</v>
      </c>
      <c r="D303" s="39">
        <v>0</v>
      </c>
      <c r="E303" s="39">
        <v>0</v>
      </c>
      <c r="F303" s="39">
        <v>0</v>
      </c>
      <c r="G303" s="39">
        <v>0</v>
      </c>
      <c r="H303" s="39">
        <f t="shared" si="52"/>
        <v>0.121102536</v>
      </c>
      <c r="I303" s="39">
        <v>0</v>
      </c>
      <c r="J303" s="39">
        <v>0</v>
      </c>
      <c r="K303" s="39">
        <v>0</v>
      </c>
      <c r="L303" s="39">
        <v>0.121102536</v>
      </c>
      <c r="M303" s="39">
        <v>0</v>
      </c>
      <c r="N303" s="38" t="s">
        <v>48</v>
      </c>
      <c r="O303" s="39">
        <v>0</v>
      </c>
      <c r="P303" s="38" t="s">
        <v>48</v>
      </c>
      <c r="Q303" s="39">
        <f t="shared" si="51"/>
        <v>-0.121102536</v>
      </c>
      <c r="R303" s="39">
        <f t="shared" si="48"/>
        <v>0.121102536</v>
      </c>
      <c r="S303" s="68">
        <v>0</v>
      </c>
      <c r="T303" s="42" t="s">
        <v>434</v>
      </c>
    </row>
    <row r="304" spans="1:20" ht="30" x14ac:dyDescent="0.25">
      <c r="A304" s="75" t="s">
        <v>187</v>
      </c>
      <c r="B304" s="23" t="s">
        <v>650</v>
      </c>
      <c r="C304" s="51" t="s">
        <v>651</v>
      </c>
      <c r="D304" s="39">
        <v>0</v>
      </c>
      <c r="E304" s="39">
        <v>0</v>
      </c>
      <c r="F304" s="39">
        <v>0</v>
      </c>
      <c r="G304" s="39">
        <v>0</v>
      </c>
      <c r="H304" s="39">
        <f t="shared" si="52"/>
        <v>0.137132016</v>
      </c>
      <c r="I304" s="39">
        <v>0</v>
      </c>
      <c r="J304" s="39">
        <v>0</v>
      </c>
      <c r="K304" s="39">
        <v>0</v>
      </c>
      <c r="L304" s="39">
        <v>0.137132016</v>
      </c>
      <c r="M304" s="39">
        <v>0</v>
      </c>
      <c r="N304" s="38" t="s">
        <v>48</v>
      </c>
      <c r="O304" s="39">
        <v>0</v>
      </c>
      <c r="P304" s="38" t="s">
        <v>48</v>
      </c>
      <c r="Q304" s="39">
        <f t="shared" si="51"/>
        <v>-0.137132016</v>
      </c>
      <c r="R304" s="39">
        <f t="shared" si="48"/>
        <v>0.137132016</v>
      </c>
      <c r="S304" s="68">
        <v>0</v>
      </c>
      <c r="T304" s="42" t="s">
        <v>434</v>
      </c>
    </row>
    <row r="305" spans="1:20" ht="45" x14ac:dyDescent="0.25">
      <c r="A305" s="75" t="s">
        <v>187</v>
      </c>
      <c r="B305" s="23" t="s">
        <v>652</v>
      </c>
      <c r="C305" s="51" t="s">
        <v>653</v>
      </c>
      <c r="D305" s="39">
        <v>0</v>
      </c>
      <c r="E305" s="39">
        <v>0</v>
      </c>
      <c r="F305" s="39">
        <v>0</v>
      </c>
      <c r="G305" s="39">
        <v>0</v>
      </c>
      <c r="H305" s="39">
        <f t="shared" si="52"/>
        <v>2.1207599999999997E-2</v>
      </c>
      <c r="I305" s="39">
        <v>0</v>
      </c>
      <c r="J305" s="39">
        <v>0</v>
      </c>
      <c r="K305" s="39">
        <v>0</v>
      </c>
      <c r="L305" s="39">
        <v>2.1207599999999997E-2</v>
      </c>
      <c r="M305" s="39">
        <v>0</v>
      </c>
      <c r="N305" s="38" t="s">
        <v>48</v>
      </c>
      <c r="O305" s="39">
        <v>0</v>
      </c>
      <c r="P305" s="38" t="s">
        <v>48</v>
      </c>
      <c r="Q305" s="39">
        <f t="shared" si="51"/>
        <v>-2.1207599999999997E-2</v>
      </c>
      <c r="R305" s="39">
        <f t="shared" si="48"/>
        <v>2.1207599999999997E-2</v>
      </c>
      <c r="S305" s="68">
        <v>0</v>
      </c>
      <c r="T305" s="42" t="s">
        <v>440</v>
      </c>
    </row>
    <row r="306" spans="1:20" ht="45" x14ac:dyDescent="0.25">
      <c r="A306" s="75" t="s">
        <v>187</v>
      </c>
      <c r="B306" s="23" t="s">
        <v>654</v>
      </c>
      <c r="C306" s="51" t="s">
        <v>655</v>
      </c>
      <c r="D306" s="39">
        <v>0</v>
      </c>
      <c r="E306" s="39">
        <v>0</v>
      </c>
      <c r="F306" s="39">
        <v>0</v>
      </c>
      <c r="G306" s="39">
        <v>0</v>
      </c>
      <c r="H306" s="39">
        <f t="shared" si="52"/>
        <v>2.0020800000000002E-2</v>
      </c>
      <c r="I306" s="39">
        <v>0</v>
      </c>
      <c r="J306" s="39">
        <v>0</v>
      </c>
      <c r="K306" s="39">
        <v>0</v>
      </c>
      <c r="L306" s="39">
        <v>2.0020800000000002E-2</v>
      </c>
      <c r="M306" s="39">
        <v>0</v>
      </c>
      <c r="N306" s="38" t="s">
        <v>48</v>
      </c>
      <c r="O306" s="39">
        <v>0</v>
      </c>
      <c r="P306" s="38" t="s">
        <v>48</v>
      </c>
      <c r="Q306" s="39">
        <f t="shared" si="51"/>
        <v>-2.0020800000000002E-2</v>
      </c>
      <c r="R306" s="39">
        <f t="shared" si="48"/>
        <v>2.0020800000000002E-2</v>
      </c>
      <c r="S306" s="68">
        <v>0</v>
      </c>
      <c r="T306" s="42" t="s">
        <v>440</v>
      </c>
    </row>
    <row r="307" spans="1:20" ht="45" x14ac:dyDescent="0.25">
      <c r="A307" s="75" t="s">
        <v>187</v>
      </c>
      <c r="B307" s="23" t="s">
        <v>656</v>
      </c>
      <c r="C307" s="51" t="s">
        <v>657</v>
      </c>
      <c r="D307" s="39">
        <v>0</v>
      </c>
      <c r="E307" s="39">
        <v>0</v>
      </c>
      <c r="F307" s="39">
        <v>0</v>
      </c>
      <c r="G307" s="39">
        <v>0</v>
      </c>
      <c r="H307" s="39">
        <f t="shared" si="52"/>
        <v>2.1398400000000001E-2</v>
      </c>
      <c r="I307" s="39">
        <v>0</v>
      </c>
      <c r="J307" s="39">
        <v>0</v>
      </c>
      <c r="K307" s="39">
        <v>0</v>
      </c>
      <c r="L307" s="39">
        <v>2.1398400000000001E-2</v>
      </c>
      <c r="M307" s="39">
        <v>0</v>
      </c>
      <c r="N307" s="38" t="s">
        <v>48</v>
      </c>
      <c r="O307" s="39">
        <v>0</v>
      </c>
      <c r="P307" s="38" t="s">
        <v>48</v>
      </c>
      <c r="Q307" s="39">
        <f t="shared" si="51"/>
        <v>-2.1398400000000001E-2</v>
      </c>
      <c r="R307" s="39">
        <f t="shared" si="48"/>
        <v>2.1398400000000001E-2</v>
      </c>
      <c r="S307" s="68">
        <v>0</v>
      </c>
      <c r="T307" s="42" t="s">
        <v>440</v>
      </c>
    </row>
    <row r="308" spans="1:20" ht="30" x14ac:dyDescent="0.25">
      <c r="A308" s="75" t="s">
        <v>187</v>
      </c>
      <c r="B308" s="23" t="s">
        <v>658</v>
      </c>
      <c r="C308" s="51" t="s">
        <v>659</v>
      </c>
      <c r="D308" s="39">
        <v>0</v>
      </c>
      <c r="E308" s="39">
        <v>0</v>
      </c>
      <c r="F308" s="39">
        <v>0</v>
      </c>
      <c r="G308" s="39">
        <v>0</v>
      </c>
      <c r="H308" s="39">
        <f t="shared" si="52"/>
        <v>9.1442843999999995E-2</v>
      </c>
      <c r="I308" s="39">
        <v>0</v>
      </c>
      <c r="J308" s="39">
        <v>0</v>
      </c>
      <c r="K308" s="39">
        <v>0</v>
      </c>
      <c r="L308" s="39">
        <v>9.1442843999999995E-2</v>
      </c>
      <c r="M308" s="39">
        <v>0</v>
      </c>
      <c r="N308" s="38" t="s">
        <v>48</v>
      </c>
      <c r="O308" s="39">
        <v>0</v>
      </c>
      <c r="P308" s="38" t="s">
        <v>48</v>
      </c>
      <c r="Q308" s="39">
        <f t="shared" si="51"/>
        <v>-9.1442843999999995E-2</v>
      </c>
      <c r="R308" s="39">
        <f t="shared" si="48"/>
        <v>9.1442843999999995E-2</v>
      </c>
      <c r="S308" s="68">
        <v>0</v>
      </c>
      <c r="T308" s="42" t="s">
        <v>434</v>
      </c>
    </row>
    <row r="309" spans="1:20" ht="30" x14ac:dyDescent="0.25">
      <c r="A309" s="75" t="s">
        <v>187</v>
      </c>
      <c r="B309" s="23" t="s">
        <v>660</v>
      </c>
      <c r="C309" s="51" t="s">
        <v>661</v>
      </c>
      <c r="D309" s="39">
        <v>0</v>
      </c>
      <c r="E309" s="39">
        <v>0</v>
      </c>
      <c r="F309" s="39">
        <v>0</v>
      </c>
      <c r="G309" s="39">
        <v>0</v>
      </c>
      <c r="H309" s="39">
        <f t="shared" si="52"/>
        <v>3.2500559999999998E-2</v>
      </c>
      <c r="I309" s="39">
        <v>0</v>
      </c>
      <c r="J309" s="39">
        <v>0</v>
      </c>
      <c r="K309" s="39">
        <v>0</v>
      </c>
      <c r="L309" s="39">
        <v>3.2500559999999998E-2</v>
      </c>
      <c r="M309" s="39">
        <v>0</v>
      </c>
      <c r="N309" s="38" t="s">
        <v>48</v>
      </c>
      <c r="O309" s="39">
        <v>0</v>
      </c>
      <c r="P309" s="38" t="s">
        <v>48</v>
      </c>
      <c r="Q309" s="39">
        <f t="shared" si="51"/>
        <v>-3.2500559999999998E-2</v>
      </c>
      <c r="R309" s="39">
        <f t="shared" si="48"/>
        <v>3.2500559999999998E-2</v>
      </c>
      <c r="S309" s="68">
        <v>0</v>
      </c>
      <c r="T309" s="42" t="s">
        <v>434</v>
      </c>
    </row>
    <row r="310" spans="1:20" ht="30" x14ac:dyDescent="0.25">
      <c r="A310" s="75" t="s">
        <v>187</v>
      </c>
      <c r="B310" s="23" t="s">
        <v>662</v>
      </c>
      <c r="C310" s="51" t="s">
        <v>663</v>
      </c>
      <c r="D310" s="39">
        <v>0</v>
      </c>
      <c r="E310" s="39">
        <v>0</v>
      </c>
      <c r="F310" s="39">
        <v>0</v>
      </c>
      <c r="G310" s="39">
        <v>0</v>
      </c>
      <c r="H310" s="39">
        <f t="shared" si="52"/>
        <v>7.6437720000000001E-3</v>
      </c>
      <c r="I310" s="39">
        <v>0</v>
      </c>
      <c r="J310" s="39">
        <v>0</v>
      </c>
      <c r="K310" s="39">
        <v>0</v>
      </c>
      <c r="L310" s="39">
        <v>7.6437720000000001E-3</v>
      </c>
      <c r="M310" s="39">
        <v>0</v>
      </c>
      <c r="N310" s="38" t="s">
        <v>48</v>
      </c>
      <c r="O310" s="39">
        <v>0</v>
      </c>
      <c r="P310" s="38" t="s">
        <v>48</v>
      </c>
      <c r="Q310" s="39">
        <f t="shared" si="51"/>
        <v>-7.6437720000000001E-3</v>
      </c>
      <c r="R310" s="39">
        <f t="shared" si="48"/>
        <v>7.6437720000000001E-3</v>
      </c>
      <c r="S310" s="68">
        <v>0</v>
      </c>
      <c r="T310" s="42" t="s">
        <v>434</v>
      </c>
    </row>
    <row r="311" spans="1:20" ht="45" x14ac:dyDescent="0.25">
      <c r="A311" s="75" t="s">
        <v>187</v>
      </c>
      <c r="B311" s="23" t="s">
        <v>664</v>
      </c>
      <c r="C311" s="51" t="s">
        <v>665</v>
      </c>
      <c r="D311" s="39">
        <v>0</v>
      </c>
      <c r="E311" s="39">
        <v>0</v>
      </c>
      <c r="F311" s="39">
        <v>0</v>
      </c>
      <c r="G311" s="39">
        <v>0</v>
      </c>
      <c r="H311" s="39">
        <f t="shared" si="52"/>
        <v>8.6806644000000002E-2</v>
      </c>
      <c r="I311" s="39">
        <v>0</v>
      </c>
      <c r="J311" s="39">
        <f>11.298/1000*1.2</f>
        <v>1.3557600000000001E-2</v>
      </c>
      <c r="K311" s="39">
        <v>0</v>
      </c>
      <c r="L311" s="39">
        <v>7.3249043999999999E-2</v>
      </c>
      <c r="M311" s="39">
        <v>0</v>
      </c>
      <c r="N311" s="38" t="s">
        <v>48</v>
      </c>
      <c r="O311" s="39">
        <v>0</v>
      </c>
      <c r="P311" s="38" t="s">
        <v>48</v>
      </c>
      <c r="Q311" s="39">
        <f t="shared" si="51"/>
        <v>-8.6806644000000002E-2</v>
      </c>
      <c r="R311" s="39">
        <f t="shared" si="48"/>
        <v>8.6806644000000002E-2</v>
      </c>
      <c r="S311" s="68">
        <v>0</v>
      </c>
      <c r="T311" s="42" t="s">
        <v>440</v>
      </c>
    </row>
    <row r="312" spans="1:20" ht="45" x14ac:dyDescent="0.25">
      <c r="A312" s="75" t="s">
        <v>187</v>
      </c>
      <c r="B312" s="23" t="s">
        <v>666</v>
      </c>
      <c r="C312" s="51" t="s">
        <v>667</v>
      </c>
      <c r="D312" s="39">
        <v>0</v>
      </c>
      <c r="E312" s="39">
        <v>0</v>
      </c>
      <c r="F312" s="39">
        <v>0</v>
      </c>
      <c r="G312" s="39">
        <v>0</v>
      </c>
      <c r="H312" s="39">
        <f t="shared" si="52"/>
        <v>0.14407621199999998</v>
      </c>
      <c r="I312" s="39">
        <v>0</v>
      </c>
      <c r="J312" s="39">
        <f>18.929/1000*1.2</f>
        <v>2.2714799999999997E-2</v>
      </c>
      <c r="K312" s="39">
        <v>0</v>
      </c>
      <c r="L312" s="39">
        <v>0.12136141199999997</v>
      </c>
      <c r="M312" s="39">
        <v>0</v>
      </c>
      <c r="N312" s="38" t="s">
        <v>48</v>
      </c>
      <c r="O312" s="39">
        <v>0</v>
      </c>
      <c r="P312" s="38" t="s">
        <v>48</v>
      </c>
      <c r="Q312" s="39">
        <f t="shared" si="51"/>
        <v>-0.14407621199999998</v>
      </c>
      <c r="R312" s="39">
        <f t="shared" si="48"/>
        <v>0.14407621199999998</v>
      </c>
      <c r="S312" s="68">
        <v>0</v>
      </c>
      <c r="T312" s="42" t="s">
        <v>440</v>
      </c>
    </row>
    <row r="313" spans="1:20" ht="45" x14ac:dyDescent="0.25">
      <c r="A313" s="75" t="s">
        <v>187</v>
      </c>
      <c r="B313" s="23" t="s">
        <v>668</v>
      </c>
      <c r="C313" s="51" t="s">
        <v>669</v>
      </c>
      <c r="D313" s="39">
        <v>0</v>
      </c>
      <c r="E313" s="39">
        <v>0</v>
      </c>
      <c r="F313" s="39">
        <v>0</v>
      </c>
      <c r="G313" s="39">
        <v>0</v>
      </c>
      <c r="H313" s="39">
        <f t="shared" si="52"/>
        <v>0.23216722799999998</v>
      </c>
      <c r="I313" s="39">
        <v>0</v>
      </c>
      <c r="J313" s="39">
        <f>30.403/1000*1.2</f>
        <v>3.6483599999999998E-2</v>
      </c>
      <c r="K313" s="39">
        <v>0</v>
      </c>
      <c r="L313" s="39">
        <v>0.19568362799999997</v>
      </c>
      <c r="M313" s="39">
        <v>0</v>
      </c>
      <c r="N313" s="38" t="s">
        <v>48</v>
      </c>
      <c r="O313" s="39">
        <v>0</v>
      </c>
      <c r="P313" s="38" t="s">
        <v>48</v>
      </c>
      <c r="Q313" s="39">
        <f t="shared" si="51"/>
        <v>-0.23216722799999998</v>
      </c>
      <c r="R313" s="39">
        <f t="shared" si="48"/>
        <v>0.23216722799999998</v>
      </c>
      <c r="S313" s="68">
        <v>0</v>
      </c>
      <c r="T313" s="42" t="s">
        <v>440</v>
      </c>
    </row>
    <row r="314" spans="1:20" ht="28.5" x14ac:dyDescent="0.25">
      <c r="A314" s="11" t="s">
        <v>260</v>
      </c>
      <c r="B314" s="14" t="s">
        <v>261</v>
      </c>
      <c r="C314" s="15" t="s">
        <v>51</v>
      </c>
      <c r="D314" s="40">
        <f t="shared" si="40"/>
        <v>0</v>
      </c>
      <c r="E314" s="40">
        <v>0</v>
      </c>
      <c r="F314" s="40">
        <f t="shared" si="47"/>
        <v>0</v>
      </c>
      <c r="G314" s="40">
        <f t="shared" ref="G314:G334" si="53">I314+K314+M314+O314</f>
        <v>0</v>
      </c>
      <c r="H314" s="40">
        <f t="shared" si="52"/>
        <v>0</v>
      </c>
      <c r="I314" s="40">
        <v>0</v>
      </c>
      <c r="J314" s="40">
        <v>0</v>
      </c>
      <c r="K314" s="40">
        <v>0</v>
      </c>
      <c r="L314" s="40">
        <v>0</v>
      </c>
      <c r="M314" s="40">
        <v>0</v>
      </c>
      <c r="N314" s="41" t="s">
        <v>48</v>
      </c>
      <c r="O314" s="40">
        <v>0</v>
      </c>
      <c r="P314" s="41" t="s">
        <v>48</v>
      </c>
      <c r="Q314" s="40">
        <f t="shared" si="51"/>
        <v>0</v>
      </c>
      <c r="R314" s="40">
        <f t="shared" si="48"/>
        <v>0</v>
      </c>
      <c r="S314" s="56">
        <v>0</v>
      </c>
      <c r="T314" s="41" t="s">
        <v>48</v>
      </c>
    </row>
    <row r="315" spans="1:20" ht="28.5" x14ac:dyDescent="0.25">
      <c r="A315" s="11" t="s">
        <v>27</v>
      </c>
      <c r="B315" s="14" t="s">
        <v>262</v>
      </c>
      <c r="C315" s="15" t="s">
        <v>51</v>
      </c>
      <c r="D315" s="40">
        <f t="shared" si="40"/>
        <v>0</v>
      </c>
      <c r="E315" s="40">
        <v>0</v>
      </c>
      <c r="F315" s="40">
        <f t="shared" si="47"/>
        <v>0</v>
      </c>
      <c r="G315" s="40">
        <f t="shared" si="53"/>
        <v>0</v>
      </c>
      <c r="H315" s="40">
        <f t="shared" si="52"/>
        <v>0</v>
      </c>
      <c r="I315" s="40">
        <v>0</v>
      </c>
      <c r="J315" s="40">
        <v>0</v>
      </c>
      <c r="K315" s="40">
        <v>0</v>
      </c>
      <c r="L315" s="40">
        <v>0</v>
      </c>
      <c r="M315" s="40">
        <v>0</v>
      </c>
      <c r="N315" s="41" t="s">
        <v>48</v>
      </c>
      <c r="O315" s="40">
        <v>0</v>
      </c>
      <c r="P315" s="41" t="s">
        <v>48</v>
      </c>
      <c r="Q315" s="40">
        <f t="shared" si="51"/>
        <v>0</v>
      </c>
      <c r="R315" s="40">
        <f t="shared" si="48"/>
        <v>0</v>
      </c>
      <c r="S315" s="56">
        <v>0</v>
      </c>
      <c r="T315" s="41" t="s">
        <v>48</v>
      </c>
    </row>
    <row r="316" spans="1:20" ht="28.5" x14ac:dyDescent="0.25">
      <c r="A316" s="11" t="s">
        <v>28</v>
      </c>
      <c r="B316" s="14" t="s">
        <v>263</v>
      </c>
      <c r="C316" s="15" t="s">
        <v>51</v>
      </c>
      <c r="D316" s="40">
        <f t="shared" si="40"/>
        <v>0</v>
      </c>
      <c r="E316" s="40">
        <v>0</v>
      </c>
      <c r="F316" s="40">
        <f t="shared" si="47"/>
        <v>0</v>
      </c>
      <c r="G316" s="40">
        <f t="shared" si="53"/>
        <v>0</v>
      </c>
      <c r="H316" s="40">
        <f t="shared" si="52"/>
        <v>0</v>
      </c>
      <c r="I316" s="40">
        <v>0</v>
      </c>
      <c r="J316" s="40">
        <v>0</v>
      </c>
      <c r="K316" s="40">
        <v>0</v>
      </c>
      <c r="L316" s="40">
        <v>0</v>
      </c>
      <c r="M316" s="40">
        <v>0</v>
      </c>
      <c r="N316" s="41" t="s">
        <v>48</v>
      </c>
      <c r="O316" s="40">
        <v>0</v>
      </c>
      <c r="P316" s="41" t="s">
        <v>48</v>
      </c>
      <c r="Q316" s="40">
        <f t="shared" si="51"/>
        <v>0</v>
      </c>
      <c r="R316" s="40">
        <f t="shared" si="48"/>
        <v>0</v>
      </c>
      <c r="S316" s="56">
        <v>0</v>
      </c>
      <c r="T316" s="41" t="s">
        <v>48</v>
      </c>
    </row>
    <row r="317" spans="1:20" ht="28.5" x14ac:dyDescent="0.25">
      <c r="A317" s="11" t="s">
        <v>29</v>
      </c>
      <c r="B317" s="14" t="s">
        <v>264</v>
      </c>
      <c r="C317" s="15" t="s">
        <v>51</v>
      </c>
      <c r="D317" s="40">
        <f t="shared" ref="D317:D387" si="54">G317</f>
        <v>0</v>
      </c>
      <c r="E317" s="40">
        <v>0</v>
      </c>
      <c r="F317" s="40">
        <f t="shared" si="47"/>
        <v>0</v>
      </c>
      <c r="G317" s="40">
        <f t="shared" si="53"/>
        <v>0</v>
      </c>
      <c r="H317" s="40">
        <f t="shared" si="52"/>
        <v>0</v>
      </c>
      <c r="I317" s="40">
        <v>0</v>
      </c>
      <c r="J317" s="40">
        <v>0</v>
      </c>
      <c r="K317" s="40">
        <v>0</v>
      </c>
      <c r="L317" s="40">
        <v>0</v>
      </c>
      <c r="M317" s="40">
        <v>0</v>
      </c>
      <c r="N317" s="41" t="s">
        <v>48</v>
      </c>
      <c r="O317" s="40">
        <v>0</v>
      </c>
      <c r="P317" s="41" t="s">
        <v>48</v>
      </c>
      <c r="Q317" s="40">
        <f t="shared" si="51"/>
        <v>0</v>
      </c>
      <c r="R317" s="40">
        <f t="shared" si="48"/>
        <v>0</v>
      </c>
      <c r="S317" s="56">
        <v>0</v>
      </c>
      <c r="T317" s="41" t="s">
        <v>48</v>
      </c>
    </row>
    <row r="318" spans="1:20" ht="28.5" x14ac:dyDescent="0.25">
      <c r="A318" s="11" t="s">
        <v>30</v>
      </c>
      <c r="B318" s="14" t="s">
        <v>265</v>
      </c>
      <c r="C318" s="15" t="s">
        <v>51</v>
      </c>
      <c r="D318" s="40">
        <f t="shared" si="54"/>
        <v>0</v>
      </c>
      <c r="E318" s="40">
        <v>0</v>
      </c>
      <c r="F318" s="40">
        <f t="shared" si="47"/>
        <v>0</v>
      </c>
      <c r="G318" s="40">
        <f t="shared" si="53"/>
        <v>0</v>
      </c>
      <c r="H318" s="40">
        <f t="shared" si="52"/>
        <v>0</v>
      </c>
      <c r="I318" s="40">
        <v>0</v>
      </c>
      <c r="J318" s="40">
        <v>0</v>
      </c>
      <c r="K318" s="40">
        <v>0</v>
      </c>
      <c r="L318" s="40">
        <v>0</v>
      </c>
      <c r="M318" s="40">
        <v>0</v>
      </c>
      <c r="N318" s="41" t="s">
        <v>48</v>
      </c>
      <c r="O318" s="40">
        <v>0</v>
      </c>
      <c r="P318" s="41" t="s">
        <v>48</v>
      </c>
      <c r="Q318" s="40">
        <f t="shared" si="51"/>
        <v>0</v>
      </c>
      <c r="R318" s="40">
        <f t="shared" si="48"/>
        <v>0</v>
      </c>
      <c r="S318" s="56">
        <v>0</v>
      </c>
      <c r="T318" s="41" t="s">
        <v>48</v>
      </c>
    </row>
    <row r="319" spans="1:20" ht="28.5" x14ac:dyDescent="0.25">
      <c r="A319" s="11" t="s">
        <v>31</v>
      </c>
      <c r="B319" s="14" t="s">
        <v>266</v>
      </c>
      <c r="C319" s="15" t="s">
        <v>51</v>
      </c>
      <c r="D319" s="40">
        <f t="shared" si="54"/>
        <v>0</v>
      </c>
      <c r="E319" s="40">
        <v>0</v>
      </c>
      <c r="F319" s="40">
        <f t="shared" si="47"/>
        <v>0</v>
      </c>
      <c r="G319" s="40">
        <f t="shared" si="53"/>
        <v>0</v>
      </c>
      <c r="H319" s="40">
        <f t="shared" si="52"/>
        <v>0</v>
      </c>
      <c r="I319" s="40">
        <v>0</v>
      </c>
      <c r="J319" s="40">
        <v>0</v>
      </c>
      <c r="K319" s="40">
        <v>0</v>
      </c>
      <c r="L319" s="40">
        <v>0</v>
      </c>
      <c r="M319" s="40">
        <v>0</v>
      </c>
      <c r="N319" s="41" t="s">
        <v>48</v>
      </c>
      <c r="O319" s="40">
        <v>0</v>
      </c>
      <c r="P319" s="41" t="s">
        <v>48</v>
      </c>
      <c r="Q319" s="40">
        <f t="shared" si="51"/>
        <v>0</v>
      </c>
      <c r="R319" s="40">
        <f t="shared" si="48"/>
        <v>0</v>
      </c>
      <c r="S319" s="56">
        <v>0</v>
      </c>
      <c r="T319" s="41" t="s">
        <v>48</v>
      </c>
    </row>
    <row r="320" spans="1:20" ht="28.5" x14ac:dyDescent="0.25">
      <c r="A320" s="11" t="s">
        <v>32</v>
      </c>
      <c r="B320" s="14" t="s">
        <v>267</v>
      </c>
      <c r="C320" s="15" t="s">
        <v>51</v>
      </c>
      <c r="D320" s="40">
        <f t="shared" si="54"/>
        <v>0</v>
      </c>
      <c r="E320" s="40">
        <v>0</v>
      </c>
      <c r="F320" s="40">
        <f t="shared" si="47"/>
        <v>0</v>
      </c>
      <c r="G320" s="40">
        <f t="shared" si="53"/>
        <v>0</v>
      </c>
      <c r="H320" s="40">
        <f t="shared" si="52"/>
        <v>0</v>
      </c>
      <c r="I320" s="40">
        <v>0</v>
      </c>
      <c r="J320" s="40">
        <v>0</v>
      </c>
      <c r="K320" s="40">
        <v>0</v>
      </c>
      <c r="L320" s="40">
        <v>0</v>
      </c>
      <c r="M320" s="40">
        <v>0</v>
      </c>
      <c r="N320" s="41" t="s">
        <v>48</v>
      </c>
      <c r="O320" s="40">
        <v>0</v>
      </c>
      <c r="P320" s="41" t="s">
        <v>48</v>
      </c>
      <c r="Q320" s="40">
        <f t="shared" si="51"/>
        <v>0</v>
      </c>
      <c r="R320" s="40">
        <f t="shared" si="48"/>
        <v>0</v>
      </c>
      <c r="S320" s="56">
        <v>0</v>
      </c>
      <c r="T320" s="41" t="s">
        <v>48</v>
      </c>
    </row>
    <row r="321" spans="1:20" ht="28.5" x14ac:dyDescent="0.25">
      <c r="A321" s="11" t="s">
        <v>33</v>
      </c>
      <c r="B321" s="14" t="s">
        <v>268</v>
      </c>
      <c r="C321" s="15" t="s">
        <v>51</v>
      </c>
      <c r="D321" s="40">
        <f t="shared" si="54"/>
        <v>0</v>
      </c>
      <c r="E321" s="40">
        <v>0</v>
      </c>
      <c r="F321" s="40">
        <f t="shared" si="47"/>
        <v>0</v>
      </c>
      <c r="G321" s="40">
        <f t="shared" si="53"/>
        <v>0</v>
      </c>
      <c r="H321" s="40">
        <f t="shared" si="52"/>
        <v>0</v>
      </c>
      <c r="I321" s="40">
        <v>0</v>
      </c>
      <c r="J321" s="40">
        <v>0</v>
      </c>
      <c r="K321" s="40">
        <v>0</v>
      </c>
      <c r="L321" s="40">
        <v>0</v>
      </c>
      <c r="M321" s="40">
        <v>0</v>
      </c>
      <c r="N321" s="41" t="s">
        <v>48</v>
      </c>
      <c r="O321" s="40">
        <v>0</v>
      </c>
      <c r="P321" s="41" t="s">
        <v>48</v>
      </c>
      <c r="Q321" s="40">
        <f t="shared" si="51"/>
        <v>0</v>
      </c>
      <c r="R321" s="40">
        <f t="shared" si="48"/>
        <v>0</v>
      </c>
      <c r="S321" s="56">
        <v>0</v>
      </c>
      <c r="T321" s="41" t="s">
        <v>48</v>
      </c>
    </row>
    <row r="322" spans="1:20" ht="28.5" x14ac:dyDescent="0.25">
      <c r="A322" s="11" t="s">
        <v>34</v>
      </c>
      <c r="B322" s="14" t="s">
        <v>269</v>
      </c>
      <c r="C322" s="15" t="s">
        <v>51</v>
      </c>
      <c r="D322" s="40">
        <f t="shared" si="54"/>
        <v>0</v>
      </c>
      <c r="E322" s="40">
        <v>0</v>
      </c>
      <c r="F322" s="40">
        <f t="shared" si="47"/>
        <v>0</v>
      </c>
      <c r="G322" s="40">
        <f t="shared" si="53"/>
        <v>0</v>
      </c>
      <c r="H322" s="40">
        <f t="shared" si="52"/>
        <v>0</v>
      </c>
      <c r="I322" s="40">
        <v>0</v>
      </c>
      <c r="J322" s="40">
        <v>0</v>
      </c>
      <c r="K322" s="40">
        <v>0</v>
      </c>
      <c r="L322" s="40">
        <v>0</v>
      </c>
      <c r="M322" s="40">
        <v>0</v>
      </c>
      <c r="N322" s="41" t="s">
        <v>48</v>
      </c>
      <c r="O322" s="40">
        <v>0</v>
      </c>
      <c r="P322" s="41" t="s">
        <v>48</v>
      </c>
      <c r="Q322" s="40">
        <f t="shared" si="51"/>
        <v>0</v>
      </c>
      <c r="R322" s="40">
        <f t="shared" si="48"/>
        <v>0</v>
      </c>
      <c r="S322" s="56">
        <v>0</v>
      </c>
      <c r="T322" s="41" t="s">
        <v>48</v>
      </c>
    </row>
    <row r="323" spans="1:20" ht="28.5" x14ac:dyDescent="0.25">
      <c r="A323" s="11" t="s">
        <v>270</v>
      </c>
      <c r="B323" s="14" t="s">
        <v>271</v>
      </c>
      <c r="C323" s="15" t="s">
        <v>51</v>
      </c>
      <c r="D323" s="40">
        <f t="shared" si="54"/>
        <v>0</v>
      </c>
      <c r="E323" s="40">
        <v>0</v>
      </c>
      <c r="F323" s="40">
        <f t="shared" si="47"/>
        <v>0</v>
      </c>
      <c r="G323" s="40">
        <f t="shared" si="53"/>
        <v>0</v>
      </c>
      <c r="H323" s="40">
        <f t="shared" si="52"/>
        <v>0</v>
      </c>
      <c r="I323" s="40">
        <v>0</v>
      </c>
      <c r="J323" s="40">
        <v>0</v>
      </c>
      <c r="K323" s="40">
        <v>0</v>
      </c>
      <c r="L323" s="40">
        <v>0</v>
      </c>
      <c r="M323" s="40">
        <v>0</v>
      </c>
      <c r="N323" s="41" t="s">
        <v>48</v>
      </c>
      <c r="O323" s="40">
        <v>0</v>
      </c>
      <c r="P323" s="41" t="s">
        <v>48</v>
      </c>
      <c r="Q323" s="40">
        <f t="shared" si="51"/>
        <v>0</v>
      </c>
      <c r="R323" s="40">
        <f t="shared" si="48"/>
        <v>0</v>
      </c>
      <c r="S323" s="56">
        <v>0</v>
      </c>
      <c r="T323" s="41" t="s">
        <v>48</v>
      </c>
    </row>
    <row r="324" spans="1:20" ht="28.5" x14ac:dyDescent="0.25">
      <c r="A324" s="11" t="s">
        <v>272</v>
      </c>
      <c r="B324" s="14" t="s">
        <v>273</v>
      </c>
      <c r="C324" s="15" t="s">
        <v>51</v>
      </c>
      <c r="D324" s="40">
        <f t="shared" si="54"/>
        <v>20.077829688000001</v>
      </c>
      <c r="E324" s="40">
        <f t="shared" ref="E324:E334" si="55">H324</f>
        <v>2.0588399999999996E-2</v>
      </c>
      <c r="F324" s="40">
        <f t="shared" si="47"/>
        <v>20.057241288</v>
      </c>
      <c r="G324" s="40">
        <f t="shared" si="53"/>
        <v>20.077829688000001</v>
      </c>
      <c r="H324" s="40">
        <f t="shared" si="52"/>
        <v>2.0588399999999996E-2</v>
      </c>
      <c r="I324" s="40">
        <f>I325+I326</f>
        <v>0.6991178039999999</v>
      </c>
      <c r="J324" s="40">
        <f>J325+J326</f>
        <v>0</v>
      </c>
      <c r="K324" s="40">
        <v>11.063791883999999</v>
      </c>
      <c r="L324" s="40">
        <f>L325+L326</f>
        <v>2.0588399999999996E-2</v>
      </c>
      <c r="M324" s="40">
        <v>8.3149200000000008</v>
      </c>
      <c r="N324" s="41" t="s">
        <v>48</v>
      </c>
      <c r="O324" s="40">
        <v>0</v>
      </c>
      <c r="P324" s="41" t="s">
        <v>48</v>
      </c>
      <c r="Q324" s="40">
        <f t="shared" si="51"/>
        <v>20.036652887999999</v>
      </c>
      <c r="R324" s="40">
        <f t="shared" si="48"/>
        <v>-11.742321287999999</v>
      </c>
      <c r="S324" s="56">
        <f t="shared" si="50"/>
        <v>-99.824971877315321</v>
      </c>
      <c r="T324" s="41" t="s">
        <v>48</v>
      </c>
    </row>
    <row r="325" spans="1:20" ht="28.5" x14ac:dyDescent="0.25">
      <c r="A325" s="11" t="s">
        <v>274</v>
      </c>
      <c r="B325" s="14" t="s">
        <v>275</v>
      </c>
      <c r="C325" s="15" t="s">
        <v>51</v>
      </c>
      <c r="D325" s="40">
        <f t="shared" si="54"/>
        <v>0</v>
      </c>
      <c r="E325" s="40">
        <v>0</v>
      </c>
      <c r="F325" s="40">
        <f t="shared" si="47"/>
        <v>0</v>
      </c>
      <c r="G325" s="40">
        <f t="shared" si="53"/>
        <v>0</v>
      </c>
      <c r="H325" s="40">
        <f t="shared" si="52"/>
        <v>0</v>
      </c>
      <c r="I325" s="40">
        <v>0</v>
      </c>
      <c r="J325" s="40">
        <v>0</v>
      </c>
      <c r="K325" s="40">
        <v>0</v>
      </c>
      <c r="L325" s="40">
        <v>0</v>
      </c>
      <c r="M325" s="40">
        <v>0</v>
      </c>
      <c r="N325" s="41" t="s">
        <v>48</v>
      </c>
      <c r="O325" s="40">
        <v>0</v>
      </c>
      <c r="P325" s="41" t="s">
        <v>48</v>
      </c>
      <c r="Q325" s="40">
        <f t="shared" si="51"/>
        <v>0</v>
      </c>
      <c r="R325" s="40">
        <f t="shared" si="48"/>
        <v>0</v>
      </c>
      <c r="S325" s="56">
        <v>0</v>
      </c>
      <c r="T325" s="41" t="s">
        <v>48</v>
      </c>
    </row>
    <row r="326" spans="1:20" ht="28.5" x14ac:dyDescent="0.25">
      <c r="A326" s="11" t="s">
        <v>276</v>
      </c>
      <c r="B326" s="14" t="s">
        <v>277</v>
      </c>
      <c r="C326" s="15" t="s">
        <v>51</v>
      </c>
      <c r="D326" s="40">
        <f t="shared" si="54"/>
        <v>20.077829688000001</v>
      </c>
      <c r="E326" s="40">
        <f t="shared" si="55"/>
        <v>2.0588399999999996E-2</v>
      </c>
      <c r="F326" s="40">
        <f t="shared" si="47"/>
        <v>20.057241288</v>
      </c>
      <c r="G326" s="40">
        <f t="shared" si="53"/>
        <v>20.077829688000001</v>
      </c>
      <c r="H326" s="40">
        <f t="shared" si="52"/>
        <v>2.0588399999999996E-2</v>
      </c>
      <c r="I326" s="40">
        <f>I327+I328+I329+I330+I331</f>
        <v>0.6991178039999999</v>
      </c>
      <c r="J326" s="40">
        <f>J327+J328+J329+J330+J331</f>
        <v>0</v>
      </c>
      <c r="K326" s="40">
        <v>11.063791883999999</v>
      </c>
      <c r="L326" s="40">
        <f>L327+L328+L329+L330+L331</f>
        <v>2.0588399999999996E-2</v>
      </c>
      <c r="M326" s="40">
        <v>8.3149200000000008</v>
      </c>
      <c r="N326" s="41" t="s">
        <v>48</v>
      </c>
      <c r="O326" s="40">
        <v>0</v>
      </c>
      <c r="P326" s="41" t="s">
        <v>48</v>
      </c>
      <c r="Q326" s="40">
        <f t="shared" si="51"/>
        <v>20.036652887999999</v>
      </c>
      <c r="R326" s="40">
        <f t="shared" si="48"/>
        <v>-11.742321287999999</v>
      </c>
      <c r="S326" s="56">
        <f t="shared" si="50"/>
        <v>-99.824971877315321</v>
      </c>
      <c r="T326" s="41" t="s">
        <v>48</v>
      </c>
    </row>
    <row r="327" spans="1:20" ht="30" x14ac:dyDescent="0.25">
      <c r="A327" s="22" t="s">
        <v>276</v>
      </c>
      <c r="B327" s="33" t="s">
        <v>278</v>
      </c>
      <c r="C327" s="34" t="s">
        <v>279</v>
      </c>
      <c r="D327" s="39">
        <f t="shared" si="54"/>
        <v>11.063791883999999</v>
      </c>
      <c r="E327" s="39">
        <v>0</v>
      </c>
      <c r="F327" s="39">
        <f t="shared" si="47"/>
        <v>11.063791883999999</v>
      </c>
      <c r="G327" s="39">
        <f t="shared" si="53"/>
        <v>11.063791883999999</v>
      </c>
      <c r="H327" s="39">
        <f t="shared" si="52"/>
        <v>0</v>
      </c>
      <c r="I327" s="39">
        <v>0</v>
      </c>
      <c r="J327" s="39">
        <v>0</v>
      </c>
      <c r="K327" s="39">
        <v>11.063791883999999</v>
      </c>
      <c r="L327" s="39">
        <v>0</v>
      </c>
      <c r="M327" s="39">
        <v>0</v>
      </c>
      <c r="N327" s="38" t="s">
        <v>48</v>
      </c>
      <c r="O327" s="39">
        <v>0</v>
      </c>
      <c r="P327" s="38" t="s">
        <v>48</v>
      </c>
      <c r="Q327" s="39">
        <f t="shared" si="51"/>
        <v>11.063791883999999</v>
      </c>
      <c r="R327" s="39">
        <f t="shared" si="48"/>
        <v>-11.063791883999999</v>
      </c>
      <c r="S327" s="68">
        <f t="shared" si="50"/>
        <v>-100</v>
      </c>
      <c r="T327" s="43" t="s">
        <v>439</v>
      </c>
    </row>
    <row r="328" spans="1:20" ht="30" x14ac:dyDescent="0.25">
      <c r="A328" s="22" t="s">
        <v>276</v>
      </c>
      <c r="B328" s="33" t="s">
        <v>280</v>
      </c>
      <c r="C328" s="34" t="s">
        <v>281</v>
      </c>
      <c r="D328" s="39">
        <f t="shared" si="54"/>
        <v>0.29399999999999998</v>
      </c>
      <c r="E328" s="39">
        <v>0</v>
      </c>
      <c r="F328" s="39">
        <f t="shared" si="47"/>
        <v>0.29399999999999998</v>
      </c>
      <c r="G328" s="39">
        <f t="shared" si="53"/>
        <v>0.29399999999999998</v>
      </c>
      <c r="H328" s="39">
        <f t="shared" si="52"/>
        <v>2.0588399999999996E-2</v>
      </c>
      <c r="I328" s="39">
        <v>0.29399999999999998</v>
      </c>
      <c r="J328" s="39">
        <v>0</v>
      </c>
      <c r="K328" s="39">
        <v>0</v>
      </c>
      <c r="L328" s="39">
        <v>2.0588399999999996E-2</v>
      </c>
      <c r="M328" s="39">
        <v>0</v>
      </c>
      <c r="N328" s="38" t="s">
        <v>48</v>
      </c>
      <c r="O328" s="39">
        <v>0</v>
      </c>
      <c r="P328" s="38" t="s">
        <v>48</v>
      </c>
      <c r="Q328" s="39">
        <f t="shared" si="51"/>
        <v>0.27341159999999998</v>
      </c>
      <c r="R328" s="39">
        <f t="shared" si="48"/>
        <v>-0.27341159999999998</v>
      </c>
      <c r="S328" s="68">
        <f t="shared" si="50"/>
        <v>-92.997142857142862</v>
      </c>
      <c r="T328" s="43" t="s">
        <v>439</v>
      </c>
    </row>
    <row r="329" spans="1:20" ht="30" x14ac:dyDescent="0.25">
      <c r="A329" s="22" t="s">
        <v>276</v>
      </c>
      <c r="B329" s="33" t="s">
        <v>282</v>
      </c>
      <c r="C329" s="34" t="s">
        <v>283</v>
      </c>
      <c r="D329" s="39">
        <f t="shared" si="54"/>
        <v>0.40511780399999997</v>
      </c>
      <c r="E329" s="39">
        <v>0</v>
      </c>
      <c r="F329" s="39">
        <f t="shared" si="47"/>
        <v>0.40511780399999997</v>
      </c>
      <c r="G329" s="39">
        <f t="shared" si="53"/>
        <v>0.40511780399999997</v>
      </c>
      <c r="H329" s="39">
        <f t="shared" si="52"/>
        <v>0</v>
      </c>
      <c r="I329" s="39">
        <v>0.40511780399999997</v>
      </c>
      <c r="J329" s="39">
        <v>0</v>
      </c>
      <c r="K329" s="39">
        <v>0</v>
      </c>
      <c r="L329" s="39">
        <v>0</v>
      </c>
      <c r="M329" s="39">
        <v>0</v>
      </c>
      <c r="N329" s="38" t="s">
        <v>48</v>
      </c>
      <c r="O329" s="39">
        <v>0</v>
      </c>
      <c r="P329" s="38" t="s">
        <v>48</v>
      </c>
      <c r="Q329" s="39">
        <f t="shared" si="51"/>
        <v>0.40511780399999997</v>
      </c>
      <c r="R329" s="39">
        <f t="shared" si="48"/>
        <v>-0.40511780399999997</v>
      </c>
      <c r="S329" s="68">
        <f t="shared" si="50"/>
        <v>-100</v>
      </c>
      <c r="T329" s="43" t="s">
        <v>439</v>
      </c>
    </row>
    <row r="330" spans="1:20" x14ac:dyDescent="0.25">
      <c r="A330" s="22" t="s">
        <v>276</v>
      </c>
      <c r="B330" s="33" t="s">
        <v>284</v>
      </c>
      <c r="C330" s="34" t="s">
        <v>285</v>
      </c>
      <c r="D330" s="39">
        <f t="shared" si="54"/>
        <v>7.4949120000000002</v>
      </c>
      <c r="E330" s="39">
        <v>0</v>
      </c>
      <c r="F330" s="39">
        <f t="shared" si="47"/>
        <v>7.4949120000000002</v>
      </c>
      <c r="G330" s="39">
        <f t="shared" si="53"/>
        <v>7.4949120000000002</v>
      </c>
      <c r="H330" s="39">
        <f t="shared" si="52"/>
        <v>0</v>
      </c>
      <c r="I330" s="39">
        <v>0</v>
      </c>
      <c r="J330" s="39">
        <v>0</v>
      </c>
      <c r="K330" s="39">
        <v>0</v>
      </c>
      <c r="L330" s="39">
        <v>0</v>
      </c>
      <c r="M330" s="39">
        <v>7.4949120000000002</v>
      </c>
      <c r="N330" s="38" t="s">
        <v>48</v>
      </c>
      <c r="O330" s="39">
        <v>0</v>
      </c>
      <c r="P330" s="38" t="s">
        <v>48</v>
      </c>
      <c r="Q330" s="39">
        <f t="shared" si="51"/>
        <v>7.4949120000000002</v>
      </c>
      <c r="R330" s="39">
        <f t="shared" si="48"/>
        <v>0</v>
      </c>
      <c r="S330" s="68">
        <v>0</v>
      </c>
      <c r="T330" s="38" t="s">
        <v>48</v>
      </c>
    </row>
    <row r="331" spans="1:20" x14ac:dyDescent="0.25">
      <c r="A331" s="22" t="s">
        <v>276</v>
      </c>
      <c r="B331" s="33" t="s">
        <v>286</v>
      </c>
      <c r="C331" s="34" t="s">
        <v>287</v>
      </c>
      <c r="D331" s="39">
        <f t="shared" si="54"/>
        <v>0.82000800000000007</v>
      </c>
      <c r="E331" s="39">
        <v>0</v>
      </c>
      <c r="F331" s="39">
        <f t="shared" si="47"/>
        <v>0.82000800000000007</v>
      </c>
      <c r="G331" s="39">
        <f t="shared" si="53"/>
        <v>0.82000800000000007</v>
      </c>
      <c r="H331" s="39">
        <f t="shared" si="52"/>
        <v>0</v>
      </c>
      <c r="I331" s="39">
        <v>0</v>
      </c>
      <c r="J331" s="39">
        <v>0</v>
      </c>
      <c r="K331" s="39">
        <v>0</v>
      </c>
      <c r="L331" s="39">
        <v>0</v>
      </c>
      <c r="M331" s="39">
        <v>0.82000800000000007</v>
      </c>
      <c r="N331" s="38" t="s">
        <v>48</v>
      </c>
      <c r="O331" s="39">
        <v>0</v>
      </c>
      <c r="P331" s="38" t="s">
        <v>48</v>
      </c>
      <c r="Q331" s="39">
        <f t="shared" si="51"/>
        <v>0.82000800000000007</v>
      </c>
      <c r="R331" s="39">
        <f t="shared" si="48"/>
        <v>0</v>
      </c>
      <c r="S331" s="68">
        <v>0</v>
      </c>
      <c r="T331" s="38" t="s">
        <v>48</v>
      </c>
    </row>
    <row r="332" spans="1:20" ht="42.75" x14ac:dyDescent="0.25">
      <c r="A332" s="11" t="s">
        <v>35</v>
      </c>
      <c r="B332" s="14" t="s">
        <v>288</v>
      </c>
      <c r="C332" s="15" t="s">
        <v>51</v>
      </c>
      <c r="D332" s="40">
        <f t="shared" si="54"/>
        <v>0</v>
      </c>
      <c r="E332" s="40">
        <f t="shared" si="55"/>
        <v>0</v>
      </c>
      <c r="F332" s="40">
        <f t="shared" si="47"/>
        <v>0</v>
      </c>
      <c r="G332" s="40">
        <f t="shared" si="53"/>
        <v>0</v>
      </c>
      <c r="H332" s="40">
        <f t="shared" si="52"/>
        <v>0</v>
      </c>
      <c r="I332" s="40">
        <f t="shared" ref="I332:I334" si="56">L332</f>
        <v>0</v>
      </c>
      <c r="J332" s="40">
        <f t="shared" ref="J332:L334" si="57">M332</f>
        <v>0</v>
      </c>
      <c r="K332" s="40">
        <v>0</v>
      </c>
      <c r="L332" s="40">
        <f t="shared" si="57"/>
        <v>0</v>
      </c>
      <c r="M332" s="40">
        <v>0</v>
      </c>
      <c r="N332" s="41" t="s">
        <v>48</v>
      </c>
      <c r="O332" s="40">
        <v>0</v>
      </c>
      <c r="P332" s="41" t="s">
        <v>48</v>
      </c>
      <c r="Q332" s="40">
        <f t="shared" si="51"/>
        <v>0</v>
      </c>
      <c r="R332" s="40">
        <f t="shared" si="48"/>
        <v>0</v>
      </c>
      <c r="S332" s="56">
        <v>0</v>
      </c>
      <c r="T332" s="41" t="s">
        <v>48</v>
      </c>
    </row>
    <row r="333" spans="1:20" ht="42.75" x14ac:dyDescent="0.25">
      <c r="A333" s="11" t="s">
        <v>289</v>
      </c>
      <c r="B333" s="14" t="s">
        <v>290</v>
      </c>
      <c r="C333" s="15" t="s">
        <v>51</v>
      </c>
      <c r="D333" s="40">
        <f t="shared" si="54"/>
        <v>0</v>
      </c>
      <c r="E333" s="40">
        <f t="shared" si="55"/>
        <v>0</v>
      </c>
      <c r="F333" s="40">
        <f t="shared" si="47"/>
        <v>0</v>
      </c>
      <c r="G333" s="40">
        <f t="shared" si="53"/>
        <v>0</v>
      </c>
      <c r="H333" s="40">
        <f t="shared" si="52"/>
        <v>0</v>
      </c>
      <c r="I333" s="40">
        <f t="shared" si="56"/>
        <v>0</v>
      </c>
      <c r="J333" s="40">
        <f t="shared" si="57"/>
        <v>0</v>
      </c>
      <c r="K333" s="40">
        <v>0</v>
      </c>
      <c r="L333" s="40">
        <f t="shared" si="57"/>
        <v>0</v>
      </c>
      <c r="M333" s="40">
        <v>0</v>
      </c>
      <c r="N333" s="41" t="s">
        <v>48</v>
      </c>
      <c r="O333" s="40">
        <v>0</v>
      </c>
      <c r="P333" s="41" t="s">
        <v>48</v>
      </c>
      <c r="Q333" s="40">
        <f t="shared" si="51"/>
        <v>0</v>
      </c>
      <c r="R333" s="40">
        <f t="shared" si="48"/>
        <v>0</v>
      </c>
      <c r="S333" s="56">
        <v>0</v>
      </c>
      <c r="T333" s="41" t="s">
        <v>48</v>
      </c>
    </row>
    <row r="334" spans="1:20" ht="42.75" x14ac:dyDescent="0.25">
      <c r="A334" s="11" t="s">
        <v>291</v>
      </c>
      <c r="B334" s="14" t="s">
        <v>292</v>
      </c>
      <c r="C334" s="15" t="s">
        <v>51</v>
      </c>
      <c r="D334" s="40">
        <f t="shared" si="54"/>
        <v>0</v>
      </c>
      <c r="E334" s="40">
        <f t="shared" si="55"/>
        <v>0</v>
      </c>
      <c r="F334" s="40">
        <f t="shared" si="47"/>
        <v>0</v>
      </c>
      <c r="G334" s="40">
        <f t="shared" si="53"/>
        <v>0</v>
      </c>
      <c r="H334" s="40">
        <f t="shared" si="52"/>
        <v>0</v>
      </c>
      <c r="I334" s="40">
        <f t="shared" si="56"/>
        <v>0</v>
      </c>
      <c r="J334" s="40">
        <f t="shared" si="57"/>
        <v>0</v>
      </c>
      <c r="K334" s="40">
        <v>0</v>
      </c>
      <c r="L334" s="40">
        <f t="shared" si="57"/>
        <v>0</v>
      </c>
      <c r="M334" s="40">
        <v>0</v>
      </c>
      <c r="N334" s="41" t="s">
        <v>48</v>
      </c>
      <c r="O334" s="40">
        <v>0</v>
      </c>
      <c r="P334" s="41" t="s">
        <v>48</v>
      </c>
      <c r="Q334" s="40">
        <f t="shared" si="51"/>
        <v>0</v>
      </c>
      <c r="R334" s="40">
        <f t="shared" si="48"/>
        <v>0</v>
      </c>
      <c r="S334" s="56">
        <v>0</v>
      </c>
      <c r="T334" s="41" t="s">
        <v>48</v>
      </c>
    </row>
    <row r="335" spans="1:20" ht="28.5" x14ac:dyDescent="0.25">
      <c r="A335" s="11" t="s">
        <v>36</v>
      </c>
      <c r="B335" s="14" t="s">
        <v>293</v>
      </c>
      <c r="C335" s="15" t="s">
        <v>51</v>
      </c>
      <c r="D335" s="40">
        <f t="shared" si="54"/>
        <v>34.15907164745331</v>
      </c>
      <c r="E335" s="40">
        <f t="shared" ref="E335:K335" si="58">SUM(E336:E360)</f>
        <v>1.1462098439999999</v>
      </c>
      <c r="F335" s="40">
        <f t="shared" si="47"/>
        <v>33.012861803453312</v>
      </c>
      <c r="G335" s="40">
        <f t="shared" si="58"/>
        <v>34.15907164745331</v>
      </c>
      <c r="H335" s="40">
        <f t="shared" si="52"/>
        <v>4.1999805000000006</v>
      </c>
      <c r="I335" s="40">
        <f>SUM(I336:I380)</f>
        <v>2.1155192369491527</v>
      </c>
      <c r="J335" s="40">
        <f>SUM(J336:J380)</f>
        <v>1.1161125240000001</v>
      </c>
      <c r="K335" s="40">
        <f t="shared" si="58"/>
        <v>5.2157398433898301</v>
      </c>
      <c r="L335" s="40">
        <f>SUM(L336:L380)</f>
        <v>3.0838679760000005</v>
      </c>
      <c r="M335" s="40">
        <f>SUM(M336:M360)</f>
        <v>22.701161147389833</v>
      </c>
      <c r="N335" s="41" t="s">
        <v>48</v>
      </c>
      <c r="O335" s="40">
        <f>SUM(O336:O360)</f>
        <v>4.1266514197244906</v>
      </c>
      <c r="P335" s="41" t="s">
        <v>48</v>
      </c>
      <c r="Q335" s="40">
        <f t="shared" si="51"/>
        <v>28.81288130345331</v>
      </c>
      <c r="R335" s="40">
        <f t="shared" si="48"/>
        <v>-3.1312785803389822</v>
      </c>
      <c r="S335" s="56">
        <f t="shared" si="50"/>
        <v>-42.711334383700404</v>
      </c>
      <c r="T335" s="41" t="s">
        <v>48</v>
      </c>
    </row>
    <row r="336" spans="1:20" ht="30" x14ac:dyDescent="0.25">
      <c r="A336" s="19" t="s">
        <v>36</v>
      </c>
      <c r="B336" s="20" t="s">
        <v>474</v>
      </c>
      <c r="C336" s="49" t="s">
        <v>475</v>
      </c>
      <c r="D336" s="39">
        <v>0</v>
      </c>
      <c r="E336" s="39">
        <f>15117*1.2/1000000</f>
        <v>1.8140399999999997E-2</v>
      </c>
      <c r="F336" s="39">
        <f t="shared" si="47"/>
        <v>-1.8140399999999997E-2</v>
      </c>
      <c r="G336" s="39">
        <v>0</v>
      </c>
      <c r="H336" s="39">
        <f t="shared" si="52"/>
        <v>0</v>
      </c>
      <c r="I336" s="39">
        <v>0</v>
      </c>
      <c r="J336" s="39">
        <v>0</v>
      </c>
      <c r="K336" s="39">
        <v>0</v>
      </c>
      <c r="L336" s="39">
        <v>0</v>
      </c>
      <c r="M336" s="39">
        <v>0</v>
      </c>
      <c r="N336" s="38" t="s">
        <v>48</v>
      </c>
      <c r="O336" s="39">
        <v>0</v>
      </c>
      <c r="P336" s="38" t="s">
        <v>48</v>
      </c>
      <c r="Q336" s="39">
        <f t="shared" si="51"/>
        <v>-1.8140399999999997E-2</v>
      </c>
      <c r="R336" s="39">
        <f t="shared" si="48"/>
        <v>0</v>
      </c>
      <c r="S336" s="68">
        <v>0</v>
      </c>
      <c r="T336" s="42" t="s">
        <v>435</v>
      </c>
    </row>
    <row r="337" spans="1:20" ht="30" x14ac:dyDescent="0.25">
      <c r="A337" s="19" t="s">
        <v>36</v>
      </c>
      <c r="B337" s="20" t="s">
        <v>476</v>
      </c>
      <c r="C337" s="49" t="s">
        <v>477</v>
      </c>
      <c r="D337" s="39">
        <v>0</v>
      </c>
      <c r="E337" s="39">
        <f>299495.2*1.2/1000000</f>
        <v>0.35939423999999998</v>
      </c>
      <c r="F337" s="39">
        <f t="shared" si="47"/>
        <v>-0.35939423999999998</v>
      </c>
      <c r="G337" s="39">
        <v>0</v>
      </c>
      <c r="H337" s="39">
        <f t="shared" si="52"/>
        <v>0</v>
      </c>
      <c r="I337" s="39">
        <v>0</v>
      </c>
      <c r="J337" s="39">
        <v>0</v>
      </c>
      <c r="K337" s="39">
        <v>0</v>
      </c>
      <c r="L337" s="39">
        <v>0</v>
      </c>
      <c r="M337" s="39">
        <v>0</v>
      </c>
      <c r="N337" s="38" t="s">
        <v>48</v>
      </c>
      <c r="O337" s="39">
        <v>0</v>
      </c>
      <c r="P337" s="38" t="s">
        <v>48</v>
      </c>
      <c r="Q337" s="39">
        <f t="shared" si="51"/>
        <v>-0.35939423999999998</v>
      </c>
      <c r="R337" s="39">
        <f t="shared" ref="R337:R388" si="59">(J337+L337)-(I337+K337)</f>
        <v>0</v>
      </c>
      <c r="S337" s="68">
        <v>0</v>
      </c>
      <c r="T337" s="42" t="s">
        <v>433</v>
      </c>
    </row>
    <row r="338" spans="1:20" ht="30" x14ac:dyDescent="0.25">
      <c r="A338" s="19" t="s">
        <v>36</v>
      </c>
      <c r="B338" s="20" t="s">
        <v>497</v>
      </c>
      <c r="C338" s="49" t="s">
        <v>498</v>
      </c>
      <c r="D338" s="39">
        <v>0</v>
      </c>
      <c r="E338" s="39">
        <f>15577*1.2/1000000</f>
        <v>1.8692399999999998E-2</v>
      </c>
      <c r="F338" s="39">
        <f t="shared" si="47"/>
        <v>-1.8692399999999998E-2</v>
      </c>
      <c r="G338" s="39">
        <v>0</v>
      </c>
      <c r="H338" s="39">
        <f t="shared" si="52"/>
        <v>0</v>
      </c>
      <c r="I338" s="39">
        <v>0</v>
      </c>
      <c r="J338" s="39">
        <v>0</v>
      </c>
      <c r="K338" s="39">
        <v>0</v>
      </c>
      <c r="L338" s="39">
        <v>0</v>
      </c>
      <c r="M338" s="39">
        <v>0</v>
      </c>
      <c r="N338" s="38" t="s">
        <v>48</v>
      </c>
      <c r="O338" s="39">
        <v>0</v>
      </c>
      <c r="P338" s="38" t="s">
        <v>48</v>
      </c>
      <c r="Q338" s="39">
        <f t="shared" si="51"/>
        <v>-1.8692399999999998E-2</v>
      </c>
      <c r="R338" s="39">
        <f t="shared" si="59"/>
        <v>0</v>
      </c>
      <c r="S338" s="68">
        <v>0</v>
      </c>
      <c r="T338" s="42" t="s">
        <v>434</v>
      </c>
    </row>
    <row r="339" spans="1:20" ht="30" x14ac:dyDescent="0.25">
      <c r="A339" s="19" t="s">
        <v>36</v>
      </c>
      <c r="B339" s="20" t="s">
        <v>499</v>
      </c>
      <c r="C339" s="49" t="s">
        <v>500</v>
      </c>
      <c r="D339" s="39">
        <v>0</v>
      </c>
      <c r="E339" s="39">
        <f>45913.89*1.2/1000000</f>
        <v>5.5096667999999994E-2</v>
      </c>
      <c r="F339" s="39">
        <f t="shared" ref="F339:F387" si="60">D339-E339</f>
        <v>-5.5096667999999994E-2</v>
      </c>
      <c r="G339" s="39">
        <v>0</v>
      </c>
      <c r="H339" s="39">
        <f t="shared" si="52"/>
        <v>0</v>
      </c>
      <c r="I339" s="39">
        <v>0</v>
      </c>
      <c r="J339" s="39">
        <v>0</v>
      </c>
      <c r="K339" s="39">
        <v>0</v>
      </c>
      <c r="L339" s="39">
        <v>0</v>
      </c>
      <c r="M339" s="39">
        <v>0</v>
      </c>
      <c r="N339" s="38" t="s">
        <v>48</v>
      </c>
      <c r="O339" s="39">
        <v>0</v>
      </c>
      <c r="P339" s="38" t="s">
        <v>48</v>
      </c>
      <c r="Q339" s="39">
        <f t="shared" si="51"/>
        <v>-5.5096667999999994E-2</v>
      </c>
      <c r="R339" s="39">
        <f t="shared" si="59"/>
        <v>0</v>
      </c>
      <c r="S339" s="68">
        <v>0</v>
      </c>
      <c r="T339" s="42" t="s">
        <v>434</v>
      </c>
    </row>
    <row r="340" spans="1:20" ht="30" x14ac:dyDescent="0.25">
      <c r="A340" s="19" t="s">
        <v>36</v>
      </c>
      <c r="B340" s="20" t="s">
        <v>501</v>
      </c>
      <c r="C340" s="49" t="s">
        <v>502</v>
      </c>
      <c r="D340" s="39">
        <v>0</v>
      </c>
      <c r="E340" s="39">
        <f>11023*1.2/1000000</f>
        <v>1.3227600000000001E-2</v>
      </c>
      <c r="F340" s="39">
        <f t="shared" si="60"/>
        <v>-1.3227600000000001E-2</v>
      </c>
      <c r="G340" s="39">
        <v>0</v>
      </c>
      <c r="H340" s="39">
        <f t="shared" si="52"/>
        <v>0</v>
      </c>
      <c r="I340" s="39">
        <v>0</v>
      </c>
      <c r="J340" s="39">
        <v>0</v>
      </c>
      <c r="K340" s="39">
        <v>0</v>
      </c>
      <c r="L340" s="39">
        <v>0</v>
      </c>
      <c r="M340" s="39">
        <v>0</v>
      </c>
      <c r="N340" s="38" t="s">
        <v>48</v>
      </c>
      <c r="O340" s="39">
        <v>0</v>
      </c>
      <c r="P340" s="38" t="s">
        <v>48</v>
      </c>
      <c r="Q340" s="39">
        <f t="shared" si="51"/>
        <v>-1.3227600000000001E-2</v>
      </c>
      <c r="R340" s="39">
        <f t="shared" si="59"/>
        <v>0</v>
      </c>
      <c r="S340" s="68">
        <v>0</v>
      </c>
      <c r="T340" s="42" t="s">
        <v>434</v>
      </c>
    </row>
    <row r="341" spans="1:20" ht="30" x14ac:dyDescent="0.25">
      <c r="A341" s="19" t="s">
        <v>36</v>
      </c>
      <c r="B341" s="20" t="s">
        <v>503</v>
      </c>
      <c r="C341" s="49" t="s">
        <v>504</v>
      </c>
      <c r="D341" s="39">
        <v>0</v>
      </c>
      <c r="E341" s="39">
        <f>47925.03*1.2/1000000</f>
        <v>5.7510036E-2</v>
      </c>
      <c r="F341" s="39">
        <f t="shared" si="60"/>
        <v>-5.7510036E-2</v>
      </c>
      <c r="G341" s="39">
        <v>0</v>
      </c>
      <c r="H341" s="39">
        <f t="shared" si="52"/>
        <v>0</v>
      </c>
      <c r="I341" s="39">
        <v>0</v>
      </c>
      <c r="J341" s="39">
        <v>0</v>
      </c>
      <c r="K341" s="39">
        <v>0</v>
      </c>
      <c r="L341" s="39">
        <v>0</v>
      </c>
      <c r="M341" s="39">
        <v>0</v>
      </c>
      <c r="N341" s="38" t="s">
        <v>48</v>
      </c>
      <c r="O341" s="39">
        <v>0</v>
      </c>
      <c r="P341" s="38" t="s">
        <v>48</v>
      </c>
      <c r="Q341" s="39">
        <f t="shared" si="51"/>
        <v>-5.7510036E-2</v>
      </c>
      <c r="R341" s="39">
        <f t="shared" si="59"/>
        <v>0</v>
      </c>
      <c r="S341" s="68">
        <v>0</v>
      </c>
      <c r="T341" s="42" t="s">
        <v>434</v>
      </c>
    </row>
    <row r="342" spans="1:20" ht="30" x14ac:dyDescent="0.25">
      <c r="A342" s="19" t="s">
        <v>36</v>
      </c>
      <c r="B342" s="20" t="s">
        <v>507</v>
      </c>
      <c r="C342" s="49" t="s">
        <v>508</v>
      </c>
      <c r="D342" s="39">
        <v>0</v>
      </c>
      <c r="E342" s="39">
        <f>295043.83*1.2/1000000</f>
        <v>0.354052596</v>
      </c>
      <c r="F342" s="39">
        <f t="shared" si="60"/>
        <v>-0.354052596</v>
      </c>
      <c r="G342" s="39">
        <v>0</v>
      </c>
      <c r="H342" s="39">
        <f t="shared" si="52"/>
        <v>0</v>
      </c>
      <c r="I342" s="39">
        <v>0</v>
      </c>
      <c r="J342" s="39">
        <v>0</v>
      </c>
      <c r="K342" s="39">
        <v>0</v>
      </c>
      <c r="L342" s="39">
        <v>0</v>
      </c>
      <c r="M342" s="39">
        <v>0</v>
      </c>
      <c r="N342" s="38" t="s">
        <v>48</v>
      </c>
      <c r="O342" s="39">
        <v>0</v>
      </c>
      <c r="P342" s="38" t="s">
        <v>48</v>
      </c>
      <c r="Q342" s="39">
        <f t="shared" si="51"/>
        <v>-0.354052596</v>
      </c>
      <c r="R342" s="39">
        <f t="shared" si="59"/>
        <v>0</v>
      </c>
      <c r="S342" s="68">
        <v>0</v>
      </c>
      <c r="T342" s="42" t="s">
        <v>434</v>
      </c>
    </row>
    <row r="343" spans="1:20" ht="45" x14ac:dyDescent="0.25">
      <c r="A343" s="22" t="s">
        <v>36</v>
      </c>
      <c r="B343" s="33" t="s">
        <v>294</v>
      </c>
      <c r="C343" s="34" t="s">
        <v>295</v>
      </c>
      <c r="D343" s="39">
        <f t="shared" si="54"/>
        <v>2.9265037932203386</v>
      </c>
      <c r="E343" s="39">
        <f>17872*1.2/1000000</f>
        <v>2.1446399999999997E-2</v>
      </c>
      <c r="F343" s="39">
        <f t="shared" si="60"/>
        <v>2.9050573932203387</v>
      </c>
      <c r="G343" s="39">
        <f t="shared" ref="G343:G360" si="61">I343+K343+M343+O343</f>
        <v>2.9265037932203386</v>
      </c>
      <c r="H343" s="39">
        <f t="shared" si="52"/>
        <v>0</v>
      </c>
      <c r="I343" s="39">
        <v>0.20714561694915257</v>
      </c>
      <c r="J343" s="39">
        <v>0</v>
      </c>
      <c r="K343" s="39">
        <v>0</v>
      </c>
      <c r="L343" s="39">
        <v>0</v>
      </c>
      <c r="M343" s="39">
        <v>2.7193581762711863</v>
      </c>
      <c r="N343" s="38" t="s">
        <v>48</v>
      </c>
      <c r="O343" s="39">
        <v>0</v>
      </c>
      <c r="P343" s="38" t="s">
        <v>48</v>
      </c>
      <c r="Q343" s="39">
        <f t="shared" si="51"/>
        <v>2.9050573932203387</v>
      </c>
      <c r="R343" s="39">
        <f t="shared" si="59"/>
        <v>-0.20714561694915257</v>
      </c>
      <c r="S343" s="68">
        <f t="shared" ref="S343:S386" si="62">(J343+L343)/(I343+K343)*100-100</f>
        <v>-100</v>
      </c>
      <c r="T343" s="43" t="s">
        <v>439</v>
      </c>
    </row>
    <row r="344" spans="1:20" ht="45" x14ac:dyDescent="0.25">
      <c r="A344" s="22" t="s">
        <v>36</v>
      </c>
      <c r="B344" s="33" t="s">
        <v>296</v>
      </c>
      <c r="C344" s="34" t="s">
        <v>297</v>
      </c>
      <c r="D344" s="39">
        <f t="shared" si="54"/>
        <v>2.5826660999999995</v>
      </c>
      <c r="E344" s="39">
        <f>16862*1.2/1000000</f>
        <v>2.0234399999999996E-2</v>
      </c>
      <c r="F344" s="39">
        <f t="shared" si="60"/>
        <v>2.5624316999999994</v>
      </c>
      <c r="G344" s="39">
        <f t="shared" si="61"/>
        <v>2.5826660999999995</v>
      </c>
      <c r="H344" s="39">
        <f t="shared" si="52"/>
        <v>0</v>
      </c>
      <c r="I344" s="39">
        <v>0.17059926</v>
      </c>
      <c r="J344" s="39">
        <v>0</v>
      </c>
      <c r="K344" s="39">
        <v>2.4120668399999996</v>
      </c>
      <c r="L344" s="39">
        <v>0</v>
      </c>
      <c r="M344" s="39">
        <v>0</v>
      </c>
      <c r="N344" s="38" t="s">
        <v>48</v>
      </c>
      <c r="O344" s="39">
        <v>0</v>
      </c>
      <c r="P344" s="38" t="s">
        <v>48</v>
      </c>
      <c r="Q344" s="39">
        <f t="shared" si="51"/>
        <v>2.5624316999999994</v>
      </c>
      <c r="R344" s="39">
        <f t="shared" si="59"/>
        <v>-2.5826660999999995</v>
      </c>
      <c r="S344" s="68">
        <f t="shared" si="62"/>
        <v>-100</v>
      </c>
      <c r="T344" s="43" t="s">
        <v>439</v>
      </c>
    </row>
    <row r="345" spans="1:20" ht="45" x14ac:dyDescent="0.25">
      <c r="A345" s="22" t="s">
        <v>36</v>
      </c>
      <c r="B345" s="33" t="s">
        <v>298</v>
      </c>
      <c r="C345" s="34" t="s">
        <v>299</v>
      </c>
      <c r="D345" s="39">
        <f t="shared" si="54"/>
        <v>3.3359542559999995</v>
      </c>
      <c r="E345" s="39">
        <f>19947*1.2/1000000</f>
        <v>2.3936399999999997E-2</v>
      </c>
      <c r="F345" s="39">
        <f t="shared" si="60"/>
        <v>3.3120178559999993</v>
      </c>
      <c r="G345" s="39">
        <f t="shared" si="61"/>
        <v>3.3359542559999995</v>
      </c>
      <c r="H345" s="39">
        <f t="shared" si="52"/>
        <v>0</v>
      </c>
      <c r="I345" s="39">
        <v>0.295893456</v>
      </c>
      <c r="J345" s="39">
        <v>0</v>
      </c>
      <c r="K345" s="39">
        <v>0</v>
      </c>
      <c r="L345" s="39">
        <v>0</v>
      </c>
      <c r="M345" s="39">
        <v>3.0400607999999996</v>
      </c>
      <c r="N345" s="38" t="s">
        <v>48</v>
      </c>
      <c r="O345" s="39">
        <v>0</v>
      </c>
      <c r="P345" s="38" t="s">
        <v>48</v>
      </c>
      <c r="Q345" s="39">
        <f t="shared" si="51"/>
        <v>3.3120178559999993</v>
      </c>
      <c r="R345" s="39">
        <f t="shared" si="59"/>
        <v>-0.295893456</v>
      </c>
      <c r="S345" s="68">
        <f t="shared" si="62"/>
        <v>-100</v>
      </c>
      <c r="T345" s="43" t="s">
        <v>439</v>
      </c>
    </row>
    <row r="346" spans="1:20" ht="30" x14ac:dyDescent="0.25">
      <c r="A346" s="22" t="s">
        <v>36</v>
      </c>
      <c r="B346" s="33" t="s">
        <v>300</v>
      </c>
      <c r="C346" s="34" t="s">
        <v>301</v>
      </c>
      <c r="D346" s="39">
        <f t="shared" si="54"/>
        <v>1.6634761313898305</v>
      </c>
      <c r="E346" s="39">
        <f>15096*1.2/1000000</f>
        <v>1.8115200000000001E-2</v>
      </c>
      <c r="F346" s="39">
        <f t="shared" si="60"/>
        <v>1.6453609313898305</v>
      </c>
      <c r="G346" s="39">
        <f t="shared" si="61"/>
        <v>1.6634761313898305</v>
      </c>
      <c r="H346" s="39">
        <f t="shared" si="52"/>
        <v>2.9212319999999997E-3</v>
      </c>
      <c r="I346" s="39">
        <v>4.5255527999999996E-2</v>
      </c>
      <c r="J346" s="39">
        <v>2.9212319999999997E-3</v>
      </c>
      <c r="K346" s="39">
        <v>1.6182206033898305</v>
      </c>
      <c r="L346" s="39">
        <v>0</v>
      </c>
      <c r="M346" s="39">
        <v>0</v>
      </c>
      <c r="N346" s="38" t="s">
        <v>48</v>
      </c>
      <c r="O346" s="39">
        <v>0</v>
      </c>
      <c r="P346" s="38" t="s">
        <v>48</v>
      </c>
      <c r="Q346" s="39">
        <f t="shared" si="51"/>
        <v>1.6424396993898305</v>
      </c>
      <c r="R346" s="39">
        <f t="shared" si="59"/>
        <v>-1.6605548993898305</v>
      </c>
      <c r="S346" s="68">
        <f t="shared" si="62"/>
        <v>-99.824389905879841</v>
      </c>
      <c r="T346" s="43" t="s">
        <v>439</v>
      </c>
    </row>
    <row r="347" spans="1:20" ht="30" x14ac:dyDescent="0.25">
      <c r="A347" s="22" t="s">
        <v>36</v>
      </c>
      <c r="B347" s="33" t="s">
        <v>302</v>
      </c>
      <c r="C347" s="34" t="s">
        <v>303</v>
      </c>
      <c r="D347" s="39">
        <f t="shared" si="54"/>
        <v>2.0733524635932241</v>
      </c>
      <c r="E347" s="39">
        <f>16777.46*1.2/1000000</f>
        <v>2.0132951999999999E-2</v>
      </c>
      <c r="F347" s="39">
        <f t="shared" si="60"/>
        <v>2.0532195115932241</v>
      </c>
      <c r="G347" s="39">
        <f t="shared" si="61"/>
        <v>2.0733524635932241</v>
      </c>
      <c r="H347" s="39">
        <f t="shared" si="52"/>
        <v>5.4000000000000001E-4</v>
      </c>
      <c r="I347" s="39">
        <v>4.5255527999999996E-2</v>
      </c>
      <c r="J347" s="39">
        <v>5.4000000000000001E-4</v>
      </c>
      <c r="K347" s="39">
        <v>0</v>
      </c>
      <c r="L347" s="39">
        <v>0</v>
      </c>
      <c r="M347" s="39">
        <v>2.0280969355932239</v>
      </c>
      <c r="N347" s="38" t="s">
        <v>48</v>
      </c>
      <c r="O347" s="39">
        <v>0</v>
      </c>
      <c r="P347" s="38" t="s">
        <v>48</v>
      </c>
      <c r="Q347" s="39">
        <f t="shared" ref="Q347:Q388" si="63">F347-H347</f>
        <v>2.0526795115932241</v>
      </c>
      <c r="R347" s="39">
        <f t="shared" si="59"/>
        <v>-4.4715527999999997E-2</v>
      </c>
      <c r="S347" s="68">
        <f t="shared" si="62"/>
        <v>-98.806775605402279</v>
      </c>
      <c r="T347" s="43" t="s">
        <v>439</v>
      </c>
    </row>
    <row r="348" spans="1:20" ht="30" x14ac:dyDescent="0.25">
      <c r="A348" s="22" t="s">
        <v>36</v>
      </c>
      <c r="B348" s="33" t="s">
        <v>304</v>
      </c>
      <c r="C348" s="34" t="s">
        <v>305</v>
      </c>
      <c r="D348" s="39">
        <f t="shared" si="54"/>
        <v>1.6023574873220339</v>
      </c>
      <c r="E348" s="39">
        <f>14822*1.2/1000000</f>
        <v>1.7786399999999997E-2</v>
      </c>
      <c r="F348" s="39">
        <f t="shared" si="60"/>
        <v>1.5845710873220338</v>
      </c>
      <c r="G348" s="39">
        <f t="shared" si="61"/>
        <v>1.6023574873220339</v>
      </c>
      <c r="H348" s="39">
        <f t="shared" ref="H348:H388" si="64">J348+L348</f>
        <v>0</v>
      </c>
      <c r="I348" s="39">
        <v>4.5255527999999996E-2</v>
      </c>
      <c r="J348" s="39">
        <v>0</v>
      </c>
      <c r="K348" s="39">
        <v>0</v>
      </c>
      <c r="L348" s="39">
        <v>0</v>
      </c>
      <c r="M348" s="39">
        <v>1.5571019593220339</v>
      </c>
      <c r="N348" s="38" t="s">
        <v>48</v>
      </c>
      <c r="O348" s="39">
        <v>0</v>
      </c>
      <c r="P348" s="38" t="s">
        <v>48</v>
      </c>
      <c r="Q348" s="39">
        <f t="shared" si="63"/>
        <v>1.5845710873220338</v>
      </c>
      <c r="R348" s="39">
        <f t="shared" si="59"/>
        <v>-4.5255527999999996E-2</v>
      </c>
      <c r="S348" s="68">
        <f t="shared" si="62"/>
        <v>-100</v>
      </c>
      <c r="T348" s="43" t="s">
        <v>439</v>
      </c>
    </row>
    <row r="349" spans="1:20" ht="30" x14ac:dyDescent="0.25">
      <c r="A349" s="22" t="s">
        <v>36</v>
      </c>
      <c r="B349" s="33" t="s">
        <v>306</v>
      </c>
      <c r="C349" s="34" t="s">
        <v>307</v>
      </c>
      <c r="D349" s="39">
        <f t="shared" si="54"/>
        <v>3.8180500080000002</v>
      </c>
      <c r="E349" s="39">
        <f>15223*1.2/1000000</f>
        <v>1.8267599999999998E-2</v>
      </c>
      <c r="F349" s="39">
        <f t="shared" si="60"/>
        <v>3.799782408</v>
      </c>
      <c r="G349" s="39">
        <f t="shared" si="61"/>
        <v>3.8180500080000002</v>
      </c>
      <c r="H349" s="39">
        <f t="shared" si="64"/>
        <v>2.9212319999999997E-3</v>
      </c>
      <c r="I349" s="39">
        <v>0.14427105600000001</v>
      </c>
      <c r="J349" s="39">
        <v>0</v>
      </c>
      <c r="K349" s="39">
        <v>0</v>
      </c>
      <c r="L349" s="39">
        <v>2.9212319999999997E-3</v>
      </c>
      <c r="M349" s="39">
        <v>3.6737789520000002</v>
      </c>
      <c r="N349" s="38" t="s">
        <v>48</v>
      </c>
      <c r="O349" s="39">
        <v>0</v>
      </c>
      <c r="P349" s="38" t="s">
        <v>48</v>
      </c>
      <c r="Q349" s="39">
        <f t="shared" si="63"/>
        <v>3.7968611760000002</v>
      </c>
      <c r="R349" s="39">
        <f t="shared" si="59"/>
        <v>-0.14134982400000001</v>
      </c>
      <c r="S349" s="68">
        <f t="shared" si="62"/>
        <v>-97.975178056504973</v>
      </c>
      <c r="T349" s="43" t="s">
        <v>439</v>
      </c>
    </row>
    <row r="350" spans="1:20" ht="30" x14ac:dyDescent="0.25">
      <c r="A350" s="22" t="s">
        <v>36</v>
      </c>
      <c r="B350" s="33" t="s">
        <v>308</v>
      </c>
      <c r="C350" s="34" t="s">
        <v>309</v>
      </c>
      <c r="D350" s="39">
        <f t="shared" si="54"/>
        <v>0.89285377830508494</v>
      </c>
      <c r="E350" s="39">
        <v>0</v>
      </c>
      <c r="F350" s="39">
        <f t="shared" si="60"/>
        <v>0.89285377830508494</v>
      </c>
      <c r="G350" s="39">
        <f t="shared" si="61"/>
        <v>0.89285377830508494</v>
      </c>
      <c r="H350" s="39">
        <f t="shared" si="64"/>
        <v>0.22670129999999999</v>
      </c>
      <c r="I350" s="39">
        <v>4.2855480000000008E-2</v>
      </c>
      <c r="J350" s="39">
        <v>0</v>
      </c>
      <c r="K350" s="39">
        <v>0</v>
      </c>
      <c r="L350" s="39">
        <v>0.22670129999999999</v>
      </c>
      <c r="M350" s="39">
        <v>0.84999829830508489</v>
      </c>
      <c r="N350" s="38" t="s">
        <v>48</v>
      </c>
      <c r="O350" s="39">
        <v>0</v>
      </c>
      <c r="P350" s="38" t="s">
        <v>48</v>
      </c>
      <c r="Q350" s="39">
        <f t="shared" si="63"/>
        <v>0.66615247830508495</v>
      </c>
      <c r="R350" s="39">
        <f t="shared" si="59"/>
        <v>0.18384581999999999</v>
      </c>
      <c r="S350" s="68">
        <f t="shared" si="62"/>
        <v>428.99022482072291</v>
      </c>
      <c r="T350" s="43" t="s">
        <v>715</v>
      </c>
    </row>
    <row r="351" spans="1:20" ht="30" x14ac:dyDescent="0.25">
      <c r="A351" s="22" t="s">
        <v>36</v>
      </c>
      <c r="B351" s="33" t="s">
        <v>310</v>
      </c>
      <c r="C351" s="34" t="s">
        <v>311</v>
      </c>
      <c r="D351" s="39">
        <f t="shared" si="54"/>
        <v>0.89285377830508494</v>
      </c>
      <c r="E351" s="39">
        <f>15223*1.2/1000000</f>
        <v>1.8267599999999998E-2</v>
      </c>
      <c r="F351" s="39">
        <f t="shared" si="60"/>
        <v>0.87458617830508489</v>
      </c>
      <c r="G351" s="39">
        <f t="shared" si="61"/>
        <v>0.89285377830508494</v>
      </c>
      <c r="H351" s="39">
        <f t="shared" si="64"/>
        <v>2.3812319999999996E-3</v>
      </c>
      <c r="I351" s="39">
        <v>4.2855480000000008E-2</v>
      </c>
      <c r="J351" s="39">
        <v>2.3812319999999996E-3</v>
      </c>
      <c r="K351" s="39">
        <v>0</v>
      </c>
      <c r="L351" s="39">
        <v>0</v>
      </c>
      <c r="M351" s="39">
        <v>0.84999829830508489</v>
      </c>
      <c r="N351" s="38" t="s">
        <v>48</v>
      </c>
      <c r="O351" s="39">
        <v>0</v>
      </c>
      <c r="P351" s="38" t="s">
        <v>48</v>
      </c>
      <c r="Q351" s="39">
        <f t="shared" si="63"/>
        <v>0.87220494630508494</v>
      </c>
      <c r="R351" s="39">
        <f t="shared" si="59"/>
        <v>-4.0474248000000011E-2</v>
      </c>
      <c r="S351" s="68">
        <f t="shared" si="62"/>
        <v>-94.443576410764734</v>
      </c>
      <c r="T351" s="43" t="s">
        <v>439</v>
      </c>
    </row>
    <row r="352" spans="1:20" ht="30" x14ac:dyDescent="0.25">
      <c r="A352" s="22" t="s">
        <v>36</v>
      </c>
      <c r="B352" s="33" t="s">
        <v>312</v>
      </c>
      <c r="C352" s="34" t="s">
        <v>313</v>
      </c>
      <c r="D352" s="39">
        <f t="shared" si="54"/>
        <v>0.89285377830508494</v>
      </c>
      <c r="E352" s="39">
        <f>15055*1.2/1000000</f>
        <v>1.8065999999999999E-2</v>
      </c>
      <c r="F352" s="39">
        <f t="shared" si="60"/>
        <v>0.87478777830508492</v>
      </c>
      <c r="G352" s="39">
        <f t="shared" si="61"/>
        <v>0.89285377830508494</v>
      </c>
      <c r="H352" s="39">
        <f t="shared" si="64"/>
        <v>0</v>
      </c>
      <c r="I352" s="39">
        <v>4.2855480000000008E-2</v>
      </c>
      <c r="J352" s="39">
        <v>0</v>
      </c>
      <c r="K352" s="39">
        <v>0</v>
      </c>
      <c r="L352" s="39">
        <v>0</v>
      </c>
      <c r="M352" s="39">
        <v>0.84999829830508489</v>
      </c>
      <c r="N352" s="38" t="s">
        <v>48</v>
      </c>
      <c r="O352" s="39">
        <v>0</v>
      </c>
      <c r="P352" s="38" t="s">
        <v>48</v>
      </c>
      <c r="Q352" s="39">
        <f t="shared" si="63"/>
        <v>0.87478777830508492</v>
      </c>
      <c r="R352" s="39">
        <f t="shared" si="59"/>
        <v>-4.2855480000000008E-2</v>
      </c>
      <c r="S352" s="68">
        <f t="shared" si="62"/>
        <v>-100</v>
      </c>
      <c r="T352" s="43" t="s">
        <v>439</v>
      </c>
    </row>
    <row r="353" spans="1:20" ht="30" x14ac:dyDescent="0.25">
      <c r="A353" s="22" t="s">
        <v>36</v>
      </c>
      <c r="B353" s="33" t="s">
        <v>314</v>
      </c>
      <c r="C353" s="34" t="s">
        <v>315</v>
      </c>
      <c r="D353" s="39">
        <f t="shared" si="54"/>
        <v>1.1087001579661018</v>
      </c>
      <c r="E353" s="39">
        <f>15202*1.2/1000000</f>
        <v>1.8242399999999999E-2</v>
      </c>
      <c r="F353" s="39">
        <f t="shared" si="60"/>
        <v>1.0904577579661017</v>
      </c>
      <c r="G353" s="39">
        <f t="shared" si="61"/>
        <v>1.1087001579661018</v>
      </c>
      <c r="H353" s="39">
        <f t="shared" si="64"/>
        <v>3.4012320000000001E-3</v>
      </c>
      <c r="I353" s="39">
        <v>4.2855480000000008E-2</v>
      </c>
      <c r="J353" s="39">
        <v>3.4012320000000001E-3</v>
      </c>
      <c r="K353" s="39">
        <v>0</v>
      </c>
      <c r="L353" s="39">
        <v>0</v>
      </c>
      <c r="M353" s="39">
        <v>1.0658446779661017</v>
      </c>
      <c r="N353" s="38" t="s">
        <v>48</v>
      </c>
      <c r="O353" s="39">
        <v>0</v>
      </c>
      <c r="P353" s="38" t="s">
        <v>48</v>
      </c>
      <c r="Q353" s="39">
        <f t="shared" si="63"/>
        <v>1.0870565259661016</v>
      </c>
      <c r="R353" s="39">
        <f t="shared" si="59"/>
        <v>-3.9454248000000011E-2</v>
      </c>
      <c r="S353" s="68">
        <f t="shared" si="62"/>
        <v>-92.063484063181647</v>
      </c>
      <c r="T353" s="43" t="s">
        <v>439</v>
      </c>
    </row>
    <row r="354" spans="1:20" ht="30" x14ac:dyDescent="0.25">
      <c r="A354" s="22" t="s">
        <v>36</v>
      </c>
      <c r="B354" s="33" t="s">
        <v>316</v>
      </c>
      <c r="C354" s="34" t="s">
        <v>317</v>
      </c>
      <c r="D354" s="39">
        <f t="shared" si="54"/>
        <v>5.0957820720000004</v>
      </c>
      <c r="E354" s="39">
        <f>17915*1.2/1000000</f>
        <v>2.1498E-2</v>
      </c>
      <c r="F354" s="39">
        <f t="shared" si="60"/>
        <v>5.0742840720000002</v>
      </c>
      <c r="G354" s="39">
        <f t="shared" si="61"/>
        <v>5.0957820720000004</v>
      </c>
      <c r="H354" s="39">
        <f t="shared" si="64"/>
        <v>0</v>
      </c>
      <c r="I354" s="39">
        <v>0.42056688000000003</v>
      </c>
      <c r="J354" s="39">
        <v>0</v>
      </c>
      <c r="K354" s="39">
        <v>0</v>
      </c>
      <c r="L354" s="39">
        <v>0</v>
      </c>
      <c r="M354" s="39">
        <v>4.6752151920000005</v>
      </c>
      <c r="N354" s="38" t="s">
        <v>48</v>
      </c>
      <c r="O354" s="39">
        <v>0</v>
      </c>
      <c r="P354" s="38" t="s">
        <v>48</v>
      </c>
      <c r="Q354" s="39">
        <f t="shared" si="63"/>
        <v>5.0742840720000002</v>
      </c>
      <c r="R354" s="39">
        <f t="shared" si="59"/>
        <v>-0.42056688000000003</v>
      </c>
      <c r="S354" s="68">
        <f t="shared" si="62"/>
        <v>-100</v>
      </c>
      <c r="T354" s="43" t="s">
        <v>439</v>
      </c>
    </row>
    <row r="355" spans="1:20" ht="30" x14ac:dyDescent="0.25">
      <c r="A355" s="22" t="s">
        <v>36</v>
      </c>
      <c r="B355" s="33" t="s">
        <v>318</v>
      </c>
      <c r="C355" s="34" t="s">
        <v>319</v>
      </c>
      <c r="D355" s="39">
        <f t="shared" si="54"/>
        <v>1.4369650873220339</v>
      </c>
      <c r="E355" s="39">
        <f>15055*1.2/1000000</f>
        <v>1.8065999999999999E-2</v>
      </c>
      <c r="F355" s="39">
        <f t="shared" si="60"/>
        <v>1.418899087322034</v>
      </c>
      <c r="G355" s="39">
        <f t="shared" si="61"/>
        <v>1.4369650873220339</v>
      </c>
      <c r="H355" s="39">
        <f t="shared" si="64"/>
        <v>0</v>
      </c>
      <c r="I355" s="39">
        <v>4.5255527999999996E-2</v>
      </c>
      <c r="J355" s="39">
        <v>0</v>
      </c>
      <c r="K355" s="39">
        <v>0</v>
      </c>
      <c r="L355" s="39">
        <v>0</v>
      </c>
      <c r="M355" s="39">
        <v>1.3917095593220339</v>
      </c>
      <c r="N355" s="38" t="s">
        <v>48</v>
      </c>
      <c r="O355" s="39">
        <v>0</v>
      </c>
      <c r="P355" s="38" t="s">
        <v>48</v>
      </c>
      <c r="Q355" s="39">
        <f t="shared" si="63"/>
        <v>1.418899087322034</v>
      </c>
      <c r="R355" s="39">
        <f t="shared" si="59"/>
        <v>-4.5255527999999996E-2</v>
      </c>
      <c r="S355" s="68">
        <f t="shared" si="62"/>
        <v>-100</v>
      </c>
      <c r="T355" s="43" t="s">
        <v>439</v>
      </c>
    </row>
    <row r="356" spans="1:20" ht="30" x14ac:dyDescent="0.25">
      <c r="A356" s="22" t="s">
        <v>36</v>
      </c>
      <c r="B356" s="33" t="s">
        <v>320</v>
      </c>
      <c r="C356" s="34" t="s">
        <v>297</v>
      </c>
      <c r="D356" s="39">
        <f t="shared" si="54"/>
        <v>1.327445676</v>
      </c>
      <c r="E356" s="39">
        <f>30030.46*1.2/1000000</f>
        <v>3.6036551999999999E-2</v>
      </c>
      <c r="F356" s="39">
        <f t="shared" si="60"/>
        <v>1.2914091239999999</v>
      </c>
      <c r="G356" s="39">
        <f t="shared" si="61"/>
        <v>1.327445676</v>
      </c>
      <c r="H356" s="39">
        <f t="shared" si="64"/>
        <v>0.64278327600000007</v>
      </c>
      <c r="I356" s="39">
        <v>0.141993276</v>
      </c>
      <c r="J356" s="39">
        <v>0</v>
      </c>
      <c r="K356" s="39">
        <v>1.1854524</v>
      </c>
      <c r="L356" s="39">
        <v>0.64278327600000007</v>
      </c>
      <c r="M356" s="39">
        <v>0</v>
      </c>
      <c r="N356" s="38" t="s">
        <v>48</v>
      </c>
      <c r="O356" s="39">
        <v>0</v>
      </c>
      <c r="P356" s="38" t="s">
        <v>48</v>
      </c>
      <c r="Q356" s="39">
        <f t="shared" si="63"/>
        <v>0.64862584799999978</v>
      </c>
      <c r="R356" s="39">
        <f t="shared" si="59"/>
        <v>-0.68466239999999989</v>
      </c>
      <c r="S356" s="68">
        <f t="shared" si="62"/>
        <v>-51.57743268734712</v>
      </c>
      <c r="T356" s="43" t="s">
        <v>439</v>
      </c>
    </row>
    <row r="357" spans="1:20" ht="30" x14ac:dyDescent="0.25">
      <c r="A357" s="22" t="s">
        <v>36</v>
      </c>
      <c r="B357" s="33" t="s">
        <v>321</v>
      </c>
      <c r="C357" s="34" t="s">
        <v>299</v>
      </c>
      <c r="D357" s="39">
        <f t="shared" si="54"/>
        <v>4.5092570797244909</v>
      </c>
      <c r="E357" s="39">
        <v>0</v>
      </c>
      <c r="F357" s="39">
        <f t="shared" si="60"/>
        <v>4.5092570797244909</v>
      </c>
      <c r="G357" s="39">
        <f t="shared" si="61"/>
        <v>4.5092570797244909</v>
      </c>
      <c r="H357" s="39">
        <f t="shared" si="64"/>
        <v>0</v>
      </c>
      <c r="I357" s="39">
        <v>0.38260565999999996</v>
      </c>
      <c r="J357" s="39">
        <v>0</v>
      </c>
      <c r="K357" s="39">
        <v>0</v>
      </c>
      <c r="L357" s="39">
        <v>0</v>
      </c>
      <c r="M357" s="39">
        <v>0</v>
      </c>
      <c r="N357" s="38" t="s">
        <v>48</v>
      </c>
      <c r="O357" s="39">
        <v>4.1266514197244906</v>
      </c>
      <c r="P357" s="38" t="s">
        <v>48</v>
      </c>
      <c r="Q357" s="39">
        <f t="shared" si="63"/>
        <v>4.5092570797244909</v>
      </c>
      <c r="R357" s="39">
        <f t="shared" si="59"/>
        <v>-0.38260565999999996</v>
      </c>
      <c r="S357" s="68">
        <f t="shared" si="62"/>
        <v>-100</v>
      </c>
      <c r="T357" s="43" t="s">
        <v>439</v>
      </c>
    </row>
    <row r="358" spans="1:20" x14ac:dyDescent="0.25">
      <c r="A358" s="52" t="s">
        <v>36</v>
      </c>
      <c r="B358" s="23" t="s">
        <v>425</v>
      </c>
      <c r="C358" s="34" t="s">
        <v>301</v>
      </c>
      <c r="D358" s="39">
        <f t="shared" si="54"/>
        <v>0</v>
      </c>
      <c r="E358" s="39">
        <v>0</v>
      </c>
      <c r="F358" s="39">
        <f t="shared" si="60"/>
        <v>0</v>
      </c>
      <c r="G358" s="39">
        <f t="shared" si="61"/>
        <v>0</v>
      </c>
      <c r="H358" s="39">
        <f t="shared" si="64"/>
        <v>4.2646860000000002E-2</v>
      </c>
      <c r="I358" s="39">
        <v>0</v>
      </c>
      <c r="J358" s="39">
        <v>4.2646860000000002E-2</v>
      </c>
      <c r="K358" s="39">
        <v>0</v>
      </c>
      <c r="L358" s="39">
        <v>0</v>
      </c>
      <c r="M358" s="39">
        <v>0</v>
      </c>
      <c r="N358" s="38" t="s">
        <v>48</v>
      </c>
      <c r="O358" s="39">
        <v>0</v>
      </c>
      <c r="P358" s="38" t="s">
        <v>48</v>
      </c>
      <c r="Q358" s="39">
        <f t="shared" si="63"/>
        <v>-4.2646860000000002E-2</v>
      </c>
      <c r="R358" s="39">
        <f t="shared" si="59"/>
        <v>4.2646860000000002E-2</v>
      </c>
      <c r="S358" s="68">
        <v>0</v>
      </c>
      <c r="T358" s="38" t="s">
        <v>438</v>
      </c>
    </row>
    <row r="359" spans="1:20" ht="30" x14ac:dyDescent="0.25">
      <c r="A359" s="52" t="s">
        <v>36</v>
      </c>
      <c r="B359" s="23" t="s">
        <v>426</v>
      </c>
      <c r="C359" s="34" t="s">
        <v>303</v>
      </c>
      <c r="D359" s="39">
        <f t="shared" si="54"/>
        <v>0</v>
      </c>
      <c r="E359" s="39">
        <v>0</v>
      </c>
      <c r="F359" s="39">
        <f t="shared" si="60"/>
        <v>0</v>
      </c>
      <c r="G359" s="39">
        <f t="shared" si="61"/>
        <v>0</v>
      </c>
      <c r="H359" s="39">
        <f t="shared" si="64"/>
        <v>0.15825282000000002</v>
      </c>
      <c r="I359" s="39">
        <v>0</v>
      </c>
      <c r="J359" s="39">
        <v>0.15825282000000002</v>
      </c>
      <c r="K359" s="39">
        <v>0</v>
      </c>
      <c r="L359" s="39">
        <v>0</v>
      </c>
      <c r="M359" s="39">
        <v>0</v>
      </c>
      <c r="N359" s="38" t="s">
        <v>48</v>
      </c>
      <c r="O359" s="39">
        <v>0</v>
      </c>
      <c r="P359" s="38" t="s">
        <v>48</v>
      </c>
      <c r="Q359" s="39">
        <f t="shared" si="63"/>
        <v>-0.15825282000000002</v>
      </c>
      <c r="R359" s="39">
        <f t="shared" si="59"/>
        <v>0.15825282000000002</v>
      </c>
      <c r="S359" s="68">
        <v>0</v>
      </c>
      <c r="T359" s="42" t="s">
        <v>437</v>
      </c>
    </row>
    <row r="360" spans="1:20" ht="30" x14ac:dyDescent="0.25">
      <c r="A360" s="52" t="s">
        <v>36</v>
      </c>
      <c r="B360" s="23" t="s">
        <v>427</v>
      </c>
      <c r="C360" s="34" t="s">
        <v>305</v>
      </c>
      <c r="D360" s="39">
        <f t="shared" si="54"/>
        <v>0</v>
      </c>
      <c r="E360" s="39">
        <v>0</v>
      </c>
      <c r="F360" s="39">
        <f t="shared" si="60"/>
        <v>0</v>
      </c>
      <c r="G360" s="39">
        <f t="shared" si="61"/>
        <v>0</v>
      </c>
      <c r="H360" s="39">
        <f t="shared" si="64"/>
        <v>0.81072693600000001</v>
      </c>
      <c r="I360" s="39">
        <v>0</v>
      </c>
      <c r="J360" s="39">
        <v>0.72747483599999996</v>
      </c>
      <c r="K360" s="39">
        <v>0</v>
      </c>
      <c r="L360" s="39">
        <v>8.3252099999999996E-2</v>
      </c>
      <c r="M360" s="39">
        <v>0</v>
      </c>
      <c r="N360" s="38" t="s">
        <v>48</v>
      </c>
      <c r="O360" s="39">
        <v>0</v>
      </c>
      <c r="P360" s="38" t="s">
        <v>48</v>
      </c>
      <c r="Q360" s="39">
        <f t="shared" si="63"/>
        <v>-0.81072693600000001</v>
      </c>
      <c r="R360" s="39">
        <f t="shared" si="59"/>
        <v>0.81072693600000001</v>
      </c>
      <c r="S360" s="68">
        <v>0</v>
      </c>
      <c r="T360" s="42" t="s">
        <v>437</v>
      </c>
    </row>
    <row r="361" spans="1:20" ht="30" x14ac:dyDescent="0.25">
      <c r="A361" s="75" t="s">
        <v>36</v>
      </c>
      <c r="B361" s="23" t="s">
        <v>670</v>
      </c>
      <c r="C361" s="76" t="s">
        <v>339</v>
      </c>
      <c r="D361" s="39">
        <v>0</v>
      </c>
      <c r="E361" s="39">
        <v>0</v>
      </c>
      <c r="F361" s="39">
        <v>0</v>
      </c>
      <c r="G361" s="39">
        <v>0</v>
      </c>
      <c r="H361" s="39">
        <f t="shared" si="64"/>
        <v>0</v>
      </c>
      <c r="I361" s="39">
        <v>0</v>
      </c>
      <c r="J361" s="39">
        <v>0</v>
      </c>
      <c r="K361" s="39">
        <v>0</v>
      </c>
      <c r="L361" s="39">
        <v>0</v>
      </c>
      <c r="M361" s="39">
        <v>0</v>
      </c>
      <c r="N361" s="38" t="s">
        <v>48</v>
      </c>
      <c r="O361" s="39">
        <v>0</v>
      </c>
      <c r="P361" s="38" t="s">
        <v>48</v>
      </c>
      <c r="Q361" s="39">
        <f t="shared" si="63"/>
        <v>0</v>
      </c>
      <c r="R361" s="39">
        <f t="shared" si="59"/>
        <v>0</v>
      </c>
      <c r="S361" s="68">
        <v>0</v>
      </c>
      <c r="T361" s="42" t="s">
        <v>433</v>
      </c>
    </row>
    <row r="362" spans="1:20" ht="30" x14ac:dyDescent="0.25">
      <c r="A362" s="75" t="s">
        <v>36</v>
      </c>
      <c r="B362" s="23" t="s">
        <v>340</v>
      </c>
      <c r="C362" s="76" t="s">
        <v>307</v>
      </c>
      <c r="D362" s="39">
        <v>0</v>
      </c>
      <c r="E362" s="39">
        <v>0</v>
      </c>
      <c r="F362" s="39">
        <v>0</v>
      </c>
      <c r="G362" s="39">
        <v>0</v>
      </c>
      <c r="H362" s="39">
        <f t="shared" si="64"/>
        <v>0</v>
      </c>
      <c r="I362" s="39">
        <v>0</v>
      </c>
      <c r="J362" s="39">
        <v>0</v>
      </c>
      <c r="K362" s="39">
        <v>0</v>
      </c>
      <c r="L362" s="39">
        <v>0</v>
      </c>
      <c r="M362" s="39">
        <v>0</v>
      </c>
      <c r="N362" s="38" t="s">
        <v>48</v>
      </c>
      <c r="O362" s="39">
        <v>0</v>
      </c>
      <c r="P362" s="38" t="s">
        <v>48</v>
      </c>
      <c r="Q362" s="39">
        <f t="shared" si="63"/>
        <v>0</v>
      </c>
      <c r="R362" s="39">
        <f t="shared" si="59"/>
        <v>0</v>
      </c>
      <c r="S362" s="68">
        <v>0</v>
      </c>
      <c r="T362" s="42" t="s">
        <v>437</v>
      </c>
    </row>
    <row r="363" spans="1:20" ht="30" x14ac:dyDescent="0.25">
      <c r="A363" s="75" t="s">
        <v>36</v>
      </c>
      <c r="B363" s="23" t="s">
        <v>341</v>
      </c>
      <c r="C363" s="76" t="s">
        <v>309</v>
      </c>
      <c r="D363" s="39">
        <v>0</v>
      </c>
      <c r="E363" s="39">
        <v>0</v>
      </c>
      <c r="F363" s="39">
        <v>0</v>
      </c>
      <c r="G363" s="39">
        <v>0</v>
      </c>
      <c r="H363" s="39">
        <f t="shared" si="64"/>
        <v>0</v>
      </c>
      <c r="I363" s="39">
        <v>0</v>
      </c>
      <c r="J363" s="39">
        <v>0</v>
      </c>
      <c r="K363" s="39">
        <v>0</v>
      </c>
      <c r="L363" s="39">
        <v>0</v>
      </c>
      <c r="M363" s="39">
        <v>0</v>
      </c>
      <c r="N363" s="38" t="s">
        <v>48</v>
      </c>
      <c r="O363" s="39">
        <v>0</v>
      </c>
      <c r="P363" s="38" t="s">
        <v>48</v>
      </c>
      <c r="Q363" s="39">
        <f t="shared" si="63"/>
        <v>0</v>
      </c>
      <c r="R363" s="39">
        <f t="shared" si="59"/>
        <v>0</v>
      </c>
      <c r="S363" s="68">
        <v>0</v>
      </c>
      <c r="T363" s="42" t="s">
        <v>437</v>
      </c>
    </row>
    <row r="364" spans="1:20" ht="30" x14ac:dyDescent="0.25">
      <c r="A364" s="75" t="s">
        <v>36</v>
      </c>
      <c r="B364" s="23" t="s">
        <v>342</v>
      </c>
      <c r="C364" s="76" t="s">
        <v>311</v>
      </c>
      <c r="D364" s="39">
        <v>0</v>
      </c>
      <c r="E364" s="39">
        <v>0</v>
      </c>
      <c r="F364" s="39">
        <v>0</v>
      </c>
      <c r="G364" s="39">
        <v>0</v>
      </c>
      <c r="H364" s="39">
        <f t="shared" si="64"/>
        <v>3.4012319999999997E-3</v>
      </c>
      <c r="I364" s="39">
        <v>0</v>
      </c>
      <c r="J364" s="39">
        <v>0</v>
      </c>
      <c r="K364" s="39">
        <v>0</v>
      </c>
      <c r="L364" s="39">
        <v>3.4012319999999997E-3</v>
      </c>
      <c r="M364" s="39">
        <v>0</v>
      </c>
      <c r="N364" s="38" t="s">
        <v>48</v>
      </c>
      <c r="O364" s="39">
        <v>0</v>
      </c>
      <c r="P364" s="38" t="s">
        <v>48</v>
      </c>
      <c r="Q364" s="39">
        <f t="shared" si="63"/>
        <v>-3.4012319999999997E-3</v>
      </c>
      <c r="R364" s="39">
        <f t="shared" si="59"/>
        <v>3.4012319999999997E-3</v>
      </c>
      <c r="S364" s="68">
        <v>0</v>
      </c>
      <c r="T364" s="42" t="s">
        <v>437</v>
      </c>
    </row>
    <row r="365" spans="1:20" ht="30" x14ac:dyDescent="0.25">
      <c r="A365" s="75" t="s">
        <v>36</v>
      </c>
      <c r="B365" s="23" t="s">
        <v>343</v>
      </c>
      <c r="C365" s="76" t="s">
        <v>313</v>
      </c>
      <c r="D365" s="39">
        <v>0</v>
      </c>
      <c r="E365" s="39">
        <v>0</v>
      </c>
      <c r="F365" s="39">
        <v>0</v>
      </c>
      <c r="G365" s="39">
        <v>0</v>
      </c>
      <c r="H365" s="39">
        <f t="shared" si="64"/>
        <v>0</v>
      </c>
      <c r="I365" s="39">
        <v>0</v>
      </c>
      <c r="J365" s="39">
        <v>0</v>
      </c>
      <c r="K365" s="39">
        <v>0</v>
      </c>
      <c r="L365" s="39">
        <v>0</v>
      </c>
      <c r="M365" s="39">
        <v>0</v>
      </c>
      <c r="N365" s="38" t="s">
        <v>48</v>
      </c>
      <c r="O365" s="39">
        <v>0</v>
      </c>
      <c r="P365" s="38" t="s">
        <v>48</v>
      </c>
      <c r="Q365" s="39">
        <f t="shared" si="63"/>
        <v>0</v>
      </c>
      <c r="R365" s="39">
        <f t="shared" si="59"/>
        <v>0</v>
      </c>
      <c r="S365" s="68">
        <v>0</v>
      </c>
      <c r="T365" s="42" t="s">
        <v>437</v>
      </c>
    </row>
    <row r="366" spans="1:20" ht="30" x14ac:dyDescent="0.25">
      <c r="A366" s="75" t="s">
        <v>36</v>
      </c>
      <c r="B366" s="23" t="s">
        <v>671</v>
      </c>
      <c r="C366" s="76" t="s">
        <v>315</v>
      </c>
      <c r="D366" s="39">
        <v>0</v>
      </c>
      <c r="E366" s="39">
        <v>0</v>
      </c>
      <c r="F366" s="39">
        <v>0</v>
      </c>
      <c r="G366" s="39">
        <v>0</v>
      </c>
      <c r="H366" s="39">
        <f t="shared" si="64"/>
        <v>4.6382316E-2</v>
      </c>
      <c r="I366" s="39">
        <v>0</v>
      </c>
      <c r="J366" s="39">
        <v>0</v>
      </c>
      <c r="K366" s="39">
        <v>0</v>
      </c>
      <c r="L366" s="39">
        <v>4.6382316E-2</v>
      </c>
      <c r="M366" s="39">
        <v>0</v>
      </c>
      <c r="N366" s="38" t="s">
        <v>48</v>
      </c>
      <c r="O366" s="39">
        <v>0</v>
      </c>
      <c r="P366" s="38" t="s">
        <v>48</v>
      </c>
      <c r="Q366" s="39">
        <f t="shared" si="63"/>
        <v>-4.6382316E-2</v>
      </c>
      <c r="R366" s="39">
        <f t="shared" si="59"/>
        <v>4.6382316E-2</v>
      </c>
      <c r="S366" s="68">
        <v>0</v>
      </c>
      <c r="T366" s="42" t="s">
        <v>437</v>
      </c>
    </row>
    <row r="367" spans="1:20" ht="45" x14ac:dyDescent="0.25">
      <c r="A367" s="75" t="s">
        <v>36</v>
      </c>
      <c r="B367" s="23" t="s">
        <v>672</v>
      </c>
      <c r="C367" s="76" t="s">
        <v>317</v>
      </c>
      <c r="D367" s="39">
        <v>0</v>
      </c>
      <c r="E367" s="39">
        <v>0</v>
      </c>
      <c r="F367" s="39">
        <v>0</v>
      </c>
      <c r="G367" s="39">
        <v>0</v>
      </c>
      <c r="H367" s="39">
        <f t="shared" si="64"/>
        <v>5.3022827999999994E-2</v>
      </c>
      <c r="I367" s="39">
        <v>0</v>
      </c>
      <c r="J367" s="39">
        <v>0</v>
      </c>
      <c r="K367" s="39">
        <v>0</v>
      </c>
      <c r="L367" s="39">
        <v>5.3022827999999994E-2</v>
      </c>
      <c r="M367" s="39">
        <v>0</v>
      </c>
      <c r="N367" s="38" t="s">
        <v>48</v>
      </c>
      <c r="O367" s="39">
        <v>0</v>
      </c>
      <c r="P367" s="38" t="s">
        <v>48</v>
      </c>
      <c r="Q367" s="39">
        <f t="shared" si="63"/>
        <v>-5.3022827999999994E-2</v>
      </c>
      <c r="R367" s="39">
        <f t="shared" si="59"/>
        <v>5.3022827999999994E-2</v>
      </c>
      <c r="S367" s="68">
        <v>0</v>
      </c>
      <c r="T367" s="42" t="s">
        <v>440</v>
      </c>
    </row>
    <row r="368" spans="1:20" ht="45" x14ac:dyDescent="0.25">
      <c r="A368" s="75" t="s">
        <v>36</v>
      </c>
      <c r="B368" s="23" t="s">
        <v>673</v>
      </c>
      <c r="C368" s="76" t="s">
        <v>319</v>
      </c>
      <c r="D368" s="39">
        <v>0</v>
      </c>
      <c r="E368" s="39">
        <v>0</v>
      </c>
      <c r="F368" s="39">
        <v>0</v>
      </c>
      <c r="G368" s="39">
        <v>0</v>
      </c>
      <c r="H368" s="39">
        <f t="shared" si="64"/>
        <v>0.1693326</v>
      </c>
      <c r="I368" s="39">
        <v>0</v>
      </c>
      <c r="J368" s="39">
        <v>0</v>
      </c>
      <c r="K368" s="39">
        <v>0</v>
      </c>
      <c r="L368" s="39">
        <v>0.1693326</v>
      </c>
      <c r="M368" s="39">
        <v>0</v>
      </c>
      <c r="N368" s="38" t="s">
        <v>48</v>
      </c>
      <c r="O368" s="39">
        <v>0</v>
      </c>
      <c r="P368" s="38" t="s">
        <v>48</v>
      </c>
      <c r="Q368" s="39">
        <f t="shared" si="63"/>
        <v>-0.1693326</v>
      </c>
      <c r="R368" s="39">
        <f t="shared" si="59"/>
        <v>0.1693326</v>
      </c>
      <c r="S368" s="68">
        <v>0</v>
      </c>
      <c r="T368" s="42" t="s">
        <v>440</v>
      </c>
    </row>
    <row r="369" spans="1:20" ht="30" x14ac:dyDescent="0.25">
      <c r="A369" s="28" t="s">
        <v>36</v>
      </c>
      <c r="B369" s="23" t="s">
        <v>674</v>
      </c>
      <c r="C369" s="76" t="s">
        <v>347</v>
      </c>
      <c r="D369" s="39">
        <v>0</v>
      </c>
      <c r="E369" s="39">
        <v>0</v>
      </c>
      <c r="F369" s="39">
        <v>0</v>
      </c>
      <c r="G369" s="39">
        <v>0</v>
      </c>
      <c r="H369" s="39">
        <f t="shared" si="64"/>
        <v>6.4918751999999996E-2</v>
      </c>
      <c r="I369" s="39">
        <v>0</v>
      </c>
      <c r="J369" s="39">
        <v>0</v>
      </c>
      <c r="K369" s="39">
        <v>0</v>
      </c>
      <c r="L369" s="39">
        <v>6.4918751999999996E-2</v>
      </c>
      <c r="M369" s="39">
        <v>0</v>
      </c>
      <c r="N369" s="38" t="s">
        <v>48</v>
      </c>
      <c r="O369" s="39">
        <v>0</v>
      </c>
      <c r="P369" s="38" t="s">
        <v>48</v>
      </c>
      <c r="Q369" s="39">
        <f t="shared" si="63"/>
        <v>-6.4918751999999996E-2</v>
      </c>
      <c r="R369" s="39">
        <f t="shared" si="59"/>
        <v>6.4918751999999996E-2</v>
      </c>
      <c r="S369" s="68">
        <v>0</v>
      </c>
      <c r="T369" s="42" t="s">
        <v>437</v>
      </c>
    </row>
    <row r="370" spans="1:20" ht="30" x14ac:dyDescent="0.25">
      <c r="A370" s="28" t="s">
        <v>36</v>
      </c>
      <c r="B370" s="23" t="s">
        <v>675</v>
      </c>
      <c r="C370" s="76" t="s">
        <v>348</v>
      </c>
      <c r="D370" s="39">
        <v>0</v>
      </c>
      <c r="E370" s="39">
        <v>0</v>
      </c>
      <c r="F370" s="39">
        <v>0</v>
      </c>
      <c r="G370" s="39">
        <v>0</v>
      </c>
      <c r="H370" s="39">
        <f t="shared" si="64"/>
        <v>0.108826692</v>
      </c>
      <c r="I370" s="39">
        <v>0</v>
      </c>
      <c r="J370" s="39">
        <v>0</v>
      </c>
      <c r="K370" s="39">
        <v>0</v>
      </c>
      <c r="L370" s="39">
        <v>0.108826692</v>
      </c>
      <c r="M370" s="39">
        <v>0</v>
      </c>
      <c r="N370" s="38" t="s">
        <v>48</v>
      </c>
      <c r="O370" s="39">
        <v>0</v>
      </c>
      <c r="P370" s="38" t="s">
        <v>48</v>
      </c>
      <c r="Q370" s="39">
        <f t="shared" si="63"/>
        <v>-0.108826692</v>
      </c>
      <c r="R370" s="39">
        <f t="shared" si="59"/>
        <v>0.108826692</v>
      </c>
      <c r="S370" s="68">
        <v>0</v>
      </c>
      <c r="T370" s="42" t="s">
        <v>438</v>
      </c>
    </row>
    <row r="371" spans="1:20" ht="30" x14ac:dyDescent="0.25">
      <c r="A371" s="28" t="s">
        <v>36</v>
      </c>
      <c r="B371" s="23" t="s">
        <v>676</v>
      </c>
      <c r="C371" s="76" t="s">
        <v>571</v>
      </c>
      <c r="D371" s="39">
        <v>0</v>
      </c>
      <c r="E371" s="39">
        <v>0</v>
      </c>
      <c r="F371" s="39">
        <v>0</v>
      </c>
      <c r="G371" s="39">
        <v>0</v>
      </c>
      <c r="H371" s="39">
        <f t="shared" si="64"/>
        <v>9.1762884000000003E-2</v>
      </c>
      <c r="I371" s="39">
        <v>0</v>
      </c>
      <c r="J371" s="39">
        <v>0</v>
      </c>
      <c r="K371" s="39">
        <v>0</v>
      </c>
      <c r="L371" s="39">
        <v>9.1762884000000003E-2</v>
      </c>
      <c r="M371" s="39">
        <v>0</v>
      </c>
      <c r="N371" s="38" t="s">
        <v>48</v>
      </c>
      <c r="O371" s="39">
        <v>0</v>
      </c>
      <c r="P371" s="38" t="s">
        <v>48</v>
      </c>
      <c r="Q371" s="39">
        <f t="shared" si="63"/>
        <v>-9.1762884000000003E-2</v>
      </c>
      <c r="R371" s="39">
        <f t="shared" si="59"/>
        <v>9.1762884000000003E-2</v>
      </c>
      <c r="S371" s="68">
        <v>0</v>
      </c>
      <c r="T371" s="42" t="s">
        <v>438</v>
      </c>
    </row>
    <row r="372" spans="1:20" ht="45" x14ac:dyDescent="0.25">
      <c r="A372" s="28" t="s">
        <v>36</v>
      </c>
      <c r="B372" s="23" t="s">
        <v>677</v>
      </c>
      <c r="C372" s="76" t="s">
        <v>573</v>
      </c>
      <c r="D372" s="39">
        <v>0</v>
      </c>
      <c r="E372" s="39">
        <v>0</v>
      </c>
      <c r="F372" s="39">
        <v>0</v>
      </c>
      <c r="G372" s="39">
        <v>0</v>
      </c>
      <c r="H372" s="39">
        <f t="shared" si="64"/>
        <v>0.332899632</v>
      </c>
      <c r="I372" s="39">
        <v>0</v>
      </c>
      <c r="J372" s="39">
        <f>48.745/1000*1.2</f>
        <v>5.849399999999999E-2</v>
      </c>
      <c r="K372" s="39">
        <v>0</v>
      </c>
      <c r="L372" s="39">
        <v>0.27440563200000001</v>
      </c>
      <c r="M372" s="39">
        <v>0</v>
      </c>
      <c r="N372" s="38" t="s">
        <v>48</v>
      </c>
      <c r="O372" s="39">
        <v>0</v>
      </c>
      <c r="P372" s="38" t="s">
        <v>48</v>
      </c>
      <c r="Q372" s="39">
        <f t="shared" si="63"/>
        <v>-0.332899632</v>
      </c>
      <c r="R372" s="39">
        <f t="shared" si="59"/>
        <v>0.332899632</v>
      </c>
      <c r="S372" s="68">
        <v>0</v>
      </c>
      <c r="T372" s="42" t="s">
        <v>440</v>
      </c>
    </row>
    <row r="373" spans="1:20" ht="45" x14ac:dyDescent="0.25">
      <c r="A373" s="28" t="s">
        <v>36</v>
      </c>
      <c r="B373" s="23" t="s">
        <v>678</v>
      </c>
      <c r="C373" s="76" t="s">
        <v>575</v>
      </c>
      <c r="D373" s="39">
        <v>0</v>
      </c>
      <c r="E373" s="39">
        <v>0</v>
      </c>
      <c r="F373" s="39">
        <v>0</v>
      </c>
      <c r="G373" s="39">
        <v>0</v>
      </c>
      <c r="H373" s="39">
        <f t="shared" si="64"/>
        <v>0.10906936799999997</v>
      </c>
      <c r="I373" s="39">
        <v>0</v>
      </c>
      <c r="J373" s="39">
        <f>18.195/1000*1.2</f>
        <v>2.1833999999999999E-2</v>
      </c>
      <c r="K373" s="39">
        <v>0</v>
      </c>
      <c r="L373" s="39">
        <v>8.723536799999998E-2</v>
      </c>
      <c r="M373" s="39">
        <v>0</v>
      </c>
      <c r="N373" s="38" t="s">
        <v>48</v>
      </c>
      <c r="O373" s="39">
        <v>0</v>
      </c>
      <c r="P373" s="38" t="s">
        <v>48</v>
      </c>
      <c r="Q373" s="39">
        <f t="shared" si="63"/>
        <v>-0.10906936799999997</v>
      </c>
      <c r="R373" s="39">
        <f t="shared" si="59"/>
        <v>0.10906936799999997</v>
      </c>
      <c r="S373" s="68">
        <v>0</v>
      </c>
      <c r="T373" s="42" t="s">
        <v>440</v>
      </c>
    </row>
    <row r="374" spans="1:20" ht="45" x14ac:dyDescent="0.25">
      <c r="A374" s="28" t="s">
        <v>36</v>
      </c>
      <c r="B374" s="23" t="s">
        <v>679</v>
      </c>
      <c r="C374" s="76" t="s">
        <v>577</v>
      </c>
      <c r="D374" s="39">
        <v>0</v>
      </c>
      <c r="E374" s="39">
        <v>0</v>
      </c>
      <c r="F374" s="39">
        <v>0</v>
      </c>
      <c r="G374" s="39">
        <v>0</v>
      </c>
      <c r="H374" s="39">
        <f t="shared" si="64"/>
        <v>0.18424992000000001</v>
      </c>
      <c r="I374" s="39">
        <v>0</v>
      </c>
      <c r="J374" s="39">
        <f>23.477/1000*1.2</f>
        <v>2.81724E-2</v>
      </c>
      <c r="K374" s="39">
        <v>0</v>
      </c>
      <c r="L374" s="39">
        <v>0.15607752</v>
      </c>
      <c r="M374" s="39">
        <v>0</v>
      </c>
      <c r="N374" s="38" t="s">
        <v>48</v>
      </c>
      <c r="O374" s="39">
        <v>0</v>
      </c>
      <c r="P374" s="38" t="s">
        <v>48</v>
      </c>
      <c r="Q374" s="39">
        <f t="shared" si="63"/>
        <v>-0.18424992000000001</v>
      </c>
      <c r="R374" s="39">
        <f t="shared" si="59"/>
        <v>0.18424992000000001</v>
      </c>
      <c r="S374" s="68">
        <v>0</v>
      </c>
      <c r="T374" s="42" t="s">
        <v>440</v>
      </c>
    </row>
    <row r="375" spans="1:20" ht="45" x14ac:dyDescent="0.25">
      <c r="A375" s="28" t="s">
        <v>36</v>
      </c>
      <c r="B375" s="23" t="s">
        <v>680</v>
      </c>
      <c r="C375" s="76" t="s">
        <v>681</v>
      </c>
      <c r="D375" s="39">
        <v>0</v>
      </c>
      <c r="E375" s="39">
        <v>0</v>
      </c>
      <c r="F375" s="39">
        <v>0</v>
      </c>
      <c r="G375" s="39">
        <v>0</v>
      </c>
      <c r="H375" s="39">
        <f t="shared" si="64"/>
        <v>0.18424992000000001</v>
      </c>
      <c r="I375" s="39">
        <v>0</v>
      </c>
      <c r="J375" s="39">
        <f>23.477/1000*1.2</f>
        <v>2.81724E-2</v>
      </c>
      <c r="K375" s="39">
        <v>0</v>
      </c>
      <c r="L375" s="39">
        <v>0.15607752</v>
      </c>
      <c r="M375" s="39">
        <v>0</v>
      </c>
      <c r="N375" s="38" t="s">
        <v>48</v>
      </c>
      <c r="O375" s="39">
        <v>0</v>
      </c>
      <c r="P375" s="38" t="s">
        <v>48</v>
      </c>
      <c r="Q375" s="39">
        <f t="shared" si="63"/>
        <v>-0.18424992000000001</v>
      </c>
      <c r="R375" s="39">
        <f t="shared" si="59"/>
        <v>0.18424992000000001</v>
      </c>
      <c r="S375" s="68">
        <v>0</v>
      </c>
      <c r="T375" s="42" t="s">
        <v>440</v>
      </c>
    </row>
    <row r="376" spans="1:20" ht="45" x14ac:dyDescent="0.25">
      <c r="A376" s="28" t="s">
        <v>36</v>
      </c>
      <c r="B376" s="23" t="s">
        <v>682</v>
      </c>
      <c r="C376" s="76" t="s">
        <v>683</v>
      </c>
      <c r="D376" s="39">
        <v>0</v>
      </c>
      <c r="E376" s="39">
        <v>0</v>
      </c>
      <c r="F376" s="39">
        <v>0</v>
      </c>
      <c r="G376" s="39">
        <v>0</v>
      </c>
      <c r="H376" s="39">
        <f t="shared" si="64"/>
        <v>0.14074355999999999</v>
      </c>
      <c r="I376" s="39">
        <v>0</v>
      </c>
      <c r="J376" s="39">
        <f>20.543/1000*1.2</f>
        <v>2.4651599999999999E-2</v>
      </c>
      <c r="K376" s="39">
        <v>0</v>
      </c>
      <c r="L376" s="39">
        <v>0.11609195999999999</v>
      </c>
      <c r="M376" s="39">
        <v>0</v>
      </c>
      <c r="N376" s="38" t="s">
        <v>48</v>
      </c>
      <c r="O376" s="39">
        <v>0</v>
      </c>
      <c r="P376" s="38" t="s">
        <v>48</v>
      </c>
      <c r="Q376" s="39">
        <f t="shared" si="63"/>
        <v>-0.14074355999999999</v>
      </c>
      <c r="R376" s="39">
        <f t="shared" si="59"/>
        <v>0.14074355999999999</v>
      </c>
      <c r="S376" s="68">
        <v>0</v>
      </c>
      <c r="T376" s="42" t="s">
        <v>440</v>
      </c>
    </row>
    <row r="377" spans="1:20" ht="45" x14ac:dyDescent="0.25">
      <c r="A377" s="28" t="s">
        <v>36</v>
      </c>
      <c r="B377" s="23" t="s">
        <v>684</v>
      </c>
      <c r="C377" s="76" t="s">
        <v>685</v>
      </c>
      <c r="D377" s="39">
        <v>0</v>
      </c>
      <c r="E377" s="39">
        <v>0</v>
      </c>
      <c r="F377" s="39">
        <v>0</v>
      </c>
      <c r="G377" s="39">
        <v>0</v>
      </c>
      <c r="H377" s="39">
        <f t="shared" si="64"/>
        <v>0.17324743200000001</v>
      </c>
      <c r="I377" s="39">
        <v>0</v>
      </c>
      <c r="J377" s="39">
        <f>14.30826/1000*1.2</f>
        <v>1.7169912000000002E-2</v>
      </c>
      <c r="K377" s="39">
        <v>0</v>
      </c>
      <c r="L377" s="39">
        <v>0.15607752</v>
      </c>
      <c r="M377" s="39">
        <v>0</v>
      </c>
      <c r="N377" s="38" t="s">
        <v>48</v>
      </c>
      <c r="O377" s="39">
        <v>0</v>
      </c>
      <c r="P377" s="38" t="s">
        <v>48</v>
      </c>
      <c r="Q377" s="39">
        <f t="shared" si="63"/>
        <v>-0.17324743200000001</v>
      </c>
      <c r="R377" s="39">
        <f t="shared" si="59"/>
        <v>0.17324743200000001</v>
      </c>
      <c r="S377" s="68">
        <v>0</v>
      </c>
      <c r="T377" s="42" t="s">
        <v>440</v>
      </c>
    </row>
    <row r="378" spans="1:20" ht="45" x14ac:dyDescent="0.25">
      <c r="A378" s="28" t="s">
        <v>36</v>
      </c>
      <c r="B378" s="23" t="s">
        <v>686</v>
      </c>
      <c r="C378" s="76" t="s">
        <v>687</v>
      </c>
      <c r="D378" s="39">
        <v>0</v>
      </c>
      <c r="E378" s="39">
        <v>0</v>
      </c>
      <c r="F378" s="39">
        <v>0</v>
      </c>
      <c r="G378" s="39">
        <v>0</v>
      </c>
      <c r="H378" s="39">
        <f t="shared" si="64"/>
        <v>0.46653532799999997</v>
      </c>
      <c r="I378" s="39">
        <v>0</v>
      </c>
      <c r="J378" s="39">
        <v>0</v>
      </c>
      <c r="K378" s="39">
        <v>0</v>
      </c>
      <c r="L378" s="39">
        <v>0.46653532799999997</v>
      </c>
      <c r="M378" s="39">
        <v>0</v>
      </c>
      <c r="N378" s="38" t="s">
        <v>48</v>
      </c>
      <c r="O378" s="39">
        <v>0</v>
      </c>
      <c r="P378" s="38" t="s">
        <v>48</v>
      </c>
      <c r="Q378" s="39">
        <f t="shared" si="63"/>
        <v>-0.46653532799999997</v>
      </c>
      <c r="R378" s="39">
        <f t="shared" si="59"/>
        <v>0.46653532799999997</v>
      </c>
      <c r="S378" s="68">
        <v>0</v>
      </c>
      <c r="T378" s="42" t="s">
        <v>440</v>
      </c>
    </row>
    <row r="379" spans="1:20" ht="45" x14ac:dyDescent="0.25">
      <c r="A379" s="28" t="s">
        <v>36</v>
      </c>
      <c r="B379" s="23" t="s">
        <v>688</v>
      </c>
      <c r="C379" s="76" t="s">
        <v>689</v>
      </c>
      <c r="D379" s="39">
        <v>0</v>
      </c>
      <c r="E379" s="39">
        <v>0</v>
      </c>
      <c r="F379" s="39">
        <v>0</v>
      </c>
      <c r="G379" s="39">
        <v>0</v>
      </c>
      <c r="H379" s="39">
        <f t="shared" si="64"/>
        <v>0.17568068399999998</v>
      </c>
      <c r="I379" s="39">
        <v>0</v>
      </c>
      <c r="J379" s="39">
        <v>0</v>
      </c>
      <c r="K379" s="39">
        <v>0</v>
      </c>
      <c r="L379" s="39">
        <v>0.17568068399999998</v>
      </c>
      <c r="M379" s="39">
        <v>0</v>
      </c>
      <c r="N379" s="38" t="s">
        <v>48</v>
      </c>
      <c r="O379" s="39">
        <v>0</v>
      </c>
      <c r="P379" s="38" t="s">
        <v>48</v>
      </c>
      <c r="Q379" s="39">
        <f t="shared" si="63"/>
        <v>-0.17568068399999998</v>
      </c>
      <c r="R379" s="39">
        <f t="shared" si="59"/>
        <v>0.17568068399999998</v>
      </c>
      <c r="S379" s="68">
        <v>0</v>
      </c>
      <c r="T379" s="42" t="s">
        <v>440</v>
      </c>
    </row>
    <row r="380" spans="1:20" ht="45" x14ac:dyDescent="0.25">
      <c r="A380" s="28" t="s">
        <v>36</v>
      </c>
      <c r="B380" s="23" t="s">
        <v>690</v>
      </c>
      <c r="C380" s="76" t="s">
        <v>691</v>
      </c>
      <c r="D380" s="39">
        <v>0</v>
      </c>
      <c r="E380" s="39">
        <v>0</v>
      </c>
      <c r="F380" s="39">
        <v>0</v>
      </c>
      <c r="G380" s="39">
        <v>0</v>
      </c>
      <c r="H380" s="39">
        <f t="shared" si="64"/>
        <v>2.3812320000000001E-3</v>
      </c>
      <c r="I380" s="39">
        <v>0</v>
      </c>
      <c r="J380" s="39">
        <v>0</v>
      </c>
      <c r="K380" s="39">
        <v>0</v>
      </c>
      <c r="L380" s="39">
        <v>2.3812320000000001E-3</v>
      </c>
      <c r="M380" s="39">
        <v>0</v>
      </c>
      <c r="N380" s="38" t="s">
        <v>48</v>
      </c>
      <c r="O380" s="39">
        <v>0</v>
      </c>
      <c r="P380" s="38" t="s">
        <v>48</v>
      </c>
      <c r="Q380" s="39">
        <f t="shared" si="63"/>
        <v>-2.3812320000000001E-3</v>
      </c>
      <c r="R380" s="39">
        <f t="shared" si="59"/>
        <v>2.3812320000000001E-3</v>
      </c>
      <c r="S380" s="68">
        <v>0</v>
      </c>
      <c r="T380" s="42" t="s">
        <v>434</v>
      </c>
    </row>
    <row r="381" spans="1:20" ht="28.5" x14ac:dyDescent="0.25">
      <c r="A381" s="11" t="s">
        <v>37</v>
      </c>
      <c r="B381" s="14" t="s">
        <v>322</v>
      </c>
      <c r="C381" s="15" t="s">
        <v>51</v>
      </c>
      <c r="D381" s="40">
        <f t="shared" si="54"/>
        <v>0</v>
      </c>
      <c r="E381" s="40">
        <v>0</v>
      </c>
      <c r="F381" s="40">
        <f t="shared" si="60"/>
        <v>0</v>
      </c>
      <c r="G381" s="40">
        <f>I381+K381+M381+O381</f>
        <v>0</v>
      </c>
      <c r="H381" s="40">
        <f t="shared" si="64"/>
        <v>0</v>
      </c>
      <c r="I381" s="40">
        <v>0</v>
      </c>
      <c r="J381" s="40">
        <v>0</v>
      </c>
      <c r="K381" s="40">
        <v>0</v>
      </c>
      <c r="L381" s="40">
        <v>0</v>
      </c>
      <c r="M381" s="40">
        <v>0</v>
      </c>
      <c r="N381" s="41" t="s">
        <v>48</v>
      </c>
      <c r="O381" s="40">
        <v>0</v>
      </c>
      <c r="P381" s="41" t="s">
        <v>48</v>
      </c>
      <c r="Q381" s="40">
        <f t="shared" si="63"/>
        <v>0</v>
      </c>
      <c r="R381" s="40">
        <f t="shared" si="59"/>
        <v>0</v>
      </c>
      <c r="S381" s="56">
        <v>0</v>
      </c>
      <c r="T381" s="41" t="s">
        <v>48</v>
      </c>
    </row>
    <row r="382" spans="1:20" x14ac:dyDescent="0.25">
      <c r="A382" s="11" t="s">
        <v>38</v>
      </c>
      <c r="B382" s="14" t="s">
        <v>323</v>
      </c>
      <c r="C382" s="15" t="s">
        <v>51</v>
      </c>
      <c r="D382" s="40">
        <f t="shared" si="54"/>
        <v>31.997628000000002</v>
      </c>
      <c r="E382" s="40">
        <f t="shared" ref="E382:K382" si="65">SUM(E383:E387)</f>
        <v>0.77694914399999992</v>
      </c>
      <c r="F382" s="40">
        <f t="shared" si="65"/>
        <v>31.220678856000003</v>
      </c>
      <c r="G382" s="40">
        <f t="shared" si="65"/>
        <v>31.997628000000002</v>
      </c>
      <c r="H382" s="40">
        <f t="shared" si="64"/>
        <v>9.5598657599999992</v>
      </c>
      <c r="I382" s="40">
        <f>I383+I384+I385+I386+I387+I388</f>
        <v>0</v>
      </c>
      <c r="J382" s="40">
        <f>J383+J384+J385+J386+J387+J388</f>
        <v>9.727050492</v>
      </c>
      <c r="K382" s="40">
        <f t="shared" si="65"/>
        <v>23.507628</v>
      </c>
      <c r="L382" s="40">
        <f>L383+L384+L385+L386+L387+L388</f>
        <v>-0.16718473200000003</v>
      </c>
      <c r="M382" s="40">
        <f>SUM(M383:M387)</f>
        <v>8.49</v>
      </c>
      <c r="N382" s="41" t="s">
        <v>48</v>
      </c>
      <c r="O382" s="40">
        <f>SUM(O383:O387)</f>
        <v>0</v>
      </c>
      <c r="P382" s="41" t="s">
        <v>48</v>
      </c>
      <c r="Q382" s="40">
        <f t="shared" si="63"/>
        <v>21.660813096000005</v>
      </c>
      <c r="R382" s="40">
        <f t="shared" si="59"/>
        <v>-13.947762240000001</v>
      </c>
      <c r="S382" s="56">
        <f t="shared" si="62"/>
        <v>-59.332920531156951</v>
      </c>
      <c r="T382" s="41" t="s">
        <v>48</v>
      </c>
    </row>
    <row r="383" spans="1:20" ht="189" x14ac:dyDescent="0.25">
      <c r="A383" s="64" t="s">
        <v>38</v>
      </c>
      <c r="B383" s="65" t="s">
        <v>430</v>
      </c>
      <c r="C383" s="34" t="s">
        <v>431</v>
      </c>
      <c r="D383" s="39">
        <f t="shared" si="54"/>
        <v>0</v>
      </c>
      <c r="E383" s="39">
        <v>0</v>
      </c>
      <c r="F383" s="39">
        <f t="shared" si="60"/>
        <v>0</v>
      </c>
      <c r="G383" s="39">
        <f>I383+K383+M383+O383</f>
        <v>0</v>
      </c>
      <c r="H383" s="39">
        <f t="shared" si="64"/>
        <v>9.0868867560000002</v>
      </c>
      <c r="I383" s="39">
        <v>0</v>
      </c>
      <c r="J383" s="39">
        <v>9.4019715000000001</v>
      </c>
      <c r="K383" s="39">
        <v>0</v>
      </c>
      <c r="L383" s="39">
        <v>-0.31508474400000003</v>
      </c>
      <c r="M383" s="39">
        <v>0</v>
      </c>
      <c r="N383" s="38" t="s">
        <v>48</v>
      </c>
      <c r="O383" s="39">
        <v>0</v>
      </c>
      <c r="P383" s="38" t="s">
        <v>48</v>
      </c>
      <c r="Q383" s="39">
        <f t="shared" si="63"/>
        <v>-9.0868867560000002</v>
      </c>
      <c r="R383" s="39">
        <f t="shared" si="59"/>
        <v>9.0868867560000002</v>
      </c>
      <c r="S383" s="68">
        <v>0</v>
      </c>
      <c r="T383" s="42" t="s">
        <v>436</v>
      </c>
    </row>
    <row r="384" spans="1:20" x14ac:dyDescent="0.25">
      <c r="A384" s="66" t="s">
        <v>38</v>
      </c>
      <c r="B384" s="65" t="s">
        <v>324</v>
      </c>
      <c r="C384" s="21" t="s">
        <v>428</v>
      </c>
      <c r="D384" s="39">
        <f t="shared" ref="D384" si="66">G384</f>
        <v>0.84</v>
      </c>
      <c r="E384" s="39">
        <v>0</v>
      </c>
      <c r="F384" s="39">
        <f t="shared" ref="F384" si="67">D384-E384</f>
        <v>0.84</v>
      </c>
      <c r="G384" s="39">
        <f>I384+K384+M384+O384</f>
        <v>0.84</v>
      </c>
      <c r="H384" s="39">
        <f t="shared" si="64"/>
        <v>0</v>
      </c>
      <c r="I384" s="39">
        <v>0</v>
      </c>
      <c r="J384" s="39">
        <v>0</v>
      </c>
      <c r="K384" s="39">
        <v>0.84</v>
      </c>
      <c r="L384" s="39">
        <v>0</v>
      </c>
      <c r="M384" s="39">
        <v>0</v>
      </c>
      <c r="N384" s="38" t="s">
        <v>48</v>
      </c>
      <c r="O384" s="39">
        <v>0</v>
      </c>
      <c r="P384" s="38" t="s">
        <v>48</v>
      </c>
      <c r="Q384" s="39">
        <f t="shared" si="63"/>
        <v>0.84</v>
      </c>
      <c r="R384" s="39">
        <f t="shared" si="59"/>
        <v>-0.84</v>
      </c>
      <c r="S384" s="68">
        <f t="shared" si="62"/>
        <v>-100</v>
      </c>
      <c r="T384" s="38" t="s">
        <v>48</v>
      </c>
    </row>
    <row r="385" spans="1:20" ht="75" x14ac:dyDescent="0.25">
      <c r="A385" s="66" t="s">
        <v>38</v>
      </c>
      <c r="B385" s="23" t="s">
        <v>325</v>
      </c>
      <c r="C385" s="32" t="s">
        <v>326</v>
      </c>
      <c r="D385" s="39">
        <f t="shared" si="54"/>
        <v>6.7556280000000006</v>
      </c>
      <c r="E385" s="39">
        <v>0</v>
      </c>
      <c r="F385" s="39">
        <f t="shared" si="60"/>
        <v>6.7556280000000006</v>
      </c>
      <c r="G385" s="39">
        <f>I385+K385+M385+O385</f>
        <v>6.7556280000000006</v>
      </c>
      <c r="H385" s="39">
        <f t="shared" si="64"/>
        <v>0.32507899199999996</v>
      </c>
      <c r="I385" s="39">
        <v>0</v>
      </c>
      <c r="J385" s="39">
        <v>0.32507899199999996</v>
      </c>
      <c r="K385" s="39">
        <v>6.6596280000000005</v>
      </c>
      <c r="L385" s="39">
        <v>0</v>
      </c>
      <c r="M385" s="39">
        <v>9.6000000000000002E-2</v>
      </c>
      <c r="N385" s="38" t="s">
        <v>48</v>
      </c>
      <c r="O385" s="39">
        <v>0</v>
      </c>
      <c r="P385" s="38" t="s">
        <v>48</v>
      </c>
      <c r="Q385" s="39">
        <f t="shared" si="63"/>
        <v>6.4305490080000007</v>
      </c>
      <c r="R385" s="39">
        <f t="shared" si="59"/>
        <v>-6.3345490080000006</v>
      </c>
      <c r="S385" s="68">
        <f t="shared" si="62"/>
        <v>-95.11866140270898</v>
      </c>
      <c r="T385" s="43" t="s">
        <v>716</v>
      </c>
    </row>
    <row r="386" spans="1:20" ht="90" x14ac:dyDescent="0.25">
      <c r="A386" s="66" t="s">
        <v>38</v>
      </c>
      <c r="B386" s="67" t="s">
        <v>327</v>
      </c>
      <c r="C386" s="32" t="s">
        <v>328</v>
      </c>
      <c r="D386" s="39">
        <f t="shared" si="54"/>
        <v>24.402000000000001</v>
      </c>
      <c r="E386" s="39">
        <v>0</v>
      </c>
      <c r="F386" s="39">
        <f t="shared" si="60"/>
        <v>24.402000000000001</v>
      </c>
      <c r="G386" s="39">
        <f>I386+K386+M386+O386</f>
        <v>24.402000000000001</v>
      </c>
      <c r="H386" s="39">
        <f t="shared" si="64"/>
        <v>0</v>
      </c>
      <c r="I386" s="39">
        <v>0</v>
      </c>
      <c r="J386" s="39">
        <v>0</v>
      </c>
      <c r="K386" s="39">
        <v>16.007999999999999</v>
      </c>
      <c r="L386" s="39">
        <v>0</v>
      </c>
      <c r="M386" s="39">
        <v>8.3940000000000001</v>
      </c>
      <c r="N386" s="38" t="s">
        <v>48</v>
      </c>
      <c r="O386" s="39">
        <v>0</v>
      </c>
      <c r="P386" s="38" t="s">
        <v>48</v>
      </c>
      <c r="Q386" s="39">
        <f t="shared" si="63"/>
        <v>24.402000000000001</v>
      </c>
      <c r="R386" s="39">
        <f t="shared" si="59"/>
        <v>-16.007999999999999</v>
      </c>
      <c r="S386" s="68">
        <f t="shared" si="62"/>
        <v>-100</v>
      </c>
      <c r="T386" s="43" t="s">
        <v>717</v>
      </c>
    </row>
    <row r="387" spans="1:20" x14ac:dyDescent="0.25">
      <c r="A387" s="64" t="s">
        <v>38</v>
      </c>
      <c r="B387" s="23" t="s">
        <v>432</v>
      </c>
      <c r="C387" s="34" t="s">
        <v>429</v>
      </c>
      <c r="D387" s="39">
        <f t="shared" si="54"/>
        <v>0</v>
      </c>
      <c r="E387" s="39">
        <f>647457.62*1.2/1000000</f>
        <v>0.77694914399999992</v>
      </c>
      <c r="F387" s="39">
        <f t="shared" si="60"/>
        <v>-0.77694914399999992</v>
      </c>
      <c r="G387" s="39">
        <f>I387+K387+M387+O387</f>
        <v>0</v>
      </c>
      <c r="H387" s="39">
        <f t="shared" si="64"/>
        <v>0</v>
      </c>
      <c r="I387" s="39">
        <v>0</v>
      </c>
      <c r="J387" s="39">
        <v>0</v>
      </c>
      <c r="K387" s="39">
        <v>0</v>
      </c>
      <c r="L387" s="39">
        <v>0</v>
      </c>
      <c r="M387" s="47">
        <v>0</v>
      </c>
      <c r="N387" s="38" t="s">
        <v>48</v>
      </c>
      <c r="O387" s="47">
        <v>0</v>
      </c>
      <c r="P387" s="38" t="s">
        <v>48</v>
      </c>
      <c r="Q387" s="39">
        <f t="shared" si="63"/>
        <v>-0.77694914399999992</v>
      </c>
      <c r="R387" s="39">
        <f t="shared" si="59"/>
        <v>0</v>
      </c>
      <c r="S387" s="68">
        <v>0</v>
      </c>
      <c r="T387" s="38" t="s">
        <v>48</v>
      </c>
    </row>
    <row r="388" spans="1:20" x14ac:dyDescent="0.25">
      <c r="A388" s="75" t="s">
        <v>38</v>
      </c>
      <c r="B388" s="23" t="s">
        <v>692</v>
      </c>
      <c r="C388" s="76" t="s">
        <v>693</v>
      </c>
      <c r="D388" s="39">
        <v>0</v>
      </c>
      <c r="E388" s="39">
        <v>0</v>
      </c>
      <c r="F388" s="39">
        <v>0</v>
      </c>
      <c r="G388" s="39">
        <v>0</v>
      </c>
      <c r="H388" s="39">
        <f t="shared" si="64"/>
        <v>0.147900012</v>
      </c>
      <c r="I388" s="39">
        <v>0</v>
      </c>
      <c r="J388" s="39">
        <v>0</v>
      </c>
      <c r="K388" s="39">
        <v>0</v>
      </c>
      <c r="L388" s="39">
        <v>0.147900012</v>
      </c>
      <c r="M388" s="47">
        <v>0</v>
      </c>
      <c r="N388" s="38" t="s">
        <v>48</v>
      </c>
      <c r="O388" s="47">
        <v>0</v>
      </c>
      <c r="P388" s="38" t="s">
        <v>48</v>
      </c>
      <c r="Q388" s="39">
        <f t="shared" si="63"/>
        <v>-0.147900012</v>
      </c>
      <c r="R388" s="39">
        <f t="shared" si="59"/>
        <v>0.147900012</v>
      </c>
      <c r="S388" s="68">
        <v>0</v>
      </c>
      <c r="T388" s="38" t="s">
        <v>48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30">
    <mergeCell ref="T217:T227"/>
    <mergeCell ref="S248:S250"/>
    <mergeCell ref="T248:T250"/>
    <mergeCell ref="T25:T92"/>
    <mergeCell ref="T130:T144"/>
    <mergeCell ref="T145:T148"/>
    <mergeCell ref="C13:C15"/>
    <mergeCell ref="T13:T15"/>
    <mergeCell ref="G14:H14"/>
    <mergeCell ref="R13:S13"/>
    <mergeCell ref="M14:N14"/>
    <mergeCell ref="K14:L14"/>
    <mergeCell ref="G13:P13"/>
    <mergeCell ref="O14:P14"/>
    <mergeCell ref="L248:L250"/>
    <mergeCell ref="D13:D15"/>
    <mergeCell ref="A4:T4"/>
    <mergeCell ref="A5:T5"/>
    <mergeCell ref="A7:T7"/>
    <mergeCell ref="A8:T8"/>
    <mergeCell ref="A10:T10"/>
    <mergeCell ref="R14:R15"/>
    <mergeCell ref="S14:S15"/>
    <mergeCell ref="E13:E15"/>
    <mergeCell ref="A12:T12"/>
    <mergeCell ref="F13:F15"/>
    <mergeCell ref="Q13:Q15"/>
    <mergeCell ref="I14:J14"/>
    <mergeCell ref="A13:A15"/>
    <mergeCell ref="B13:B1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10квФ</vt:lpstr>
      <vt:lpstr>'10квФ'!Область_печати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2019-08-09T08:04:50Z</dcterms:modified>
</cp:coreProperties>
</file>