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55" windowWidth="17400" windowHeight="10530"/>
  </bookViews>
  <sheets>
    <sheet name="f3" sheetId="1" r:id="rId1"/>
  </sheets>
  <definedNames>
    <definedName name="_xlnm._FilterDatabase" localSheetId="0" hidden="1">'f3'!$A$17:$AU$17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3_start">'f3'!$A$18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AM87" i="1" l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90" i="1"/>
  <c r="AM191" i="1"/>
  <c r="AM194" i="1"/>
  <c r="AM195" i="1"/>
  <c r="AM196" i="1"/>
  <c r="AM198" i="1"/>
  <c r="AM199" i="1"/>
  <c r="AM200" i="1"/>
  <c r="AM213" i="1"/>
  <c r="AM214" i="1"/>
  <c r="AM215" i="1"/>
  <c r="AM223" i="1"/>
  <c r="AM224" i="1"/>
  <c r="AM225" i="1"/>
  <c r="AM248" i="1"/>
  <c r="AM251" i="1"/>
  <c r="AM252" i="1"/>
  <c r="AM253" i="1"/>
  <c r="AM254" i="1"/>
  <c r="AM255" i="1"/>
  <c r="AM256" i="1"/>
  <c r="AM257" i="1"/>
  <c r="AM258" i="1"/>
  <c r="AM259" i="1"/>
  <c r="AM260" i="1"/>
  <c r="AM262" i="1"/>
  <c r="AM263" i="1"/>
  <c r="AM264" i="1"/>
  <c r="AM265" i="1"/>
  <c r="AM355" i="1"/>
  <c r="AM356" i="1"/>
  <c r="AM357" i="1"/>
  <c r="AM495" i="1"/>
  <c r="AM496" i="1"/>
  <c r="AM497" i="1"/>
  <c r="AM498" i="1"/>
  <c r="AM499" i="1"/>
  <c r="AM500" i="1"/>
  <c r="AM501" i="1"/>
  <c r="AM502" i="1"/>
  <c r="AM509" i="1"/>
  <c r="AM542" i="1"/>
  <c r="AM543" i="1"/>
  <c r="AM544" i="1"/>
  <c r="AM545" i="1"/>
  <c r="AM546" i="1"/>
  <c r="AM547" i="1"/>
  <c r="AM548" i="1"/>
  <c r="AM549" i="1"/>
  <c r="AM559" i="1"/>
  <c r="AM578" i="1"/>
  <c r="AM630" i="1"/>
  <c r="AM632" i="1"/>
  <c r="AM640" i="1"/>
  <c r="AM641" i="1"/>
  <c r="AM642" i="1"/>
  <c r="AM643" i="1"/>
  <c r="AM644" i="1"/>
  <c r="AM645" i="1"/>
  <c r="AM648" i="1"/>
  <c r="AM649" i="1"/>
  <c r="AM650" i="1"/>
  <c r="AM651" i="1"/>
  <c r="AM654" i="1"/>
  <c r="AM661" i="1"/>
  <c r="AM687" i="1"/>
  <c r="AM691" i="1"/>
  <c r="AM702" i="1"/>
  <c r="AM704" i="1"/>
  <c r="AM705" i="1"/>
  <c r="AM708" i="1"/>
  <c r="AM712" i="1"/>
  <c r="AM716" i="1"/>
  <c r="AM717" i="1"/>
  <c r="AM718" i="1"/>
  <c r="AM719" i="1"/>
  <c r="AM720" i="1"/>
  <c r="AM766" i="1"/>
  <c r="AN21" i="1" l="1"/>
  <c r="AN23" i="1"/>
  <c r="AN30" i="1"/>
  <c r="AN37" i="1"/>
  <c r="AN87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90" i="1"/>
  <c r="AN191" i="1"/>
  <c r="AN194" i="1"/>
  <c r="AN195" i="1"/>
  <c r="AN196" i="1"/>
  <c r="AN198" i="1"/>
  <c r="AN199" i="1"/>
  <c r="AN200" i="1"/>
  <c r="AN213" i="1"/>
  <c r="AN222" i="1"/>
  <c r="AN223" i="1"/>
  <c r="AN224" i="1"/>
  <c r="AN225" i="1"/>
  <c r="AN226" i="1"/>
  <c r="AN248" i="1"/>
  <c r="AN251" i="1"/>
  <c r="AN252" i="1"/>
  <c r="AN253" i="1"/>
  <c r="AN254" i="1"/>
  <c r="AN255" i="1"/>
  <c r="AN256" i="1"/>
  <c r="AN257" i="1"/>
  <c r="AN258" i="1"/>
  <c r="AN259" i="1"/>
  <c r="AN260" i="1"/>
  <c r="AN269" i="1"/>
  <c r="AN274" i="1"/>
  <c r="AN275" i="1"/>
  <c r="AN277" i="1"/>
  <c r="AN281" i="1"/>
  <c r="AN285" i="1"/>
  <c r="AN289" i="1"/>
  <c r="AN290" i="1"/>
  <c r="AN294" i="1"/>
  <c r="AN298" i="1"/>
  <c r="AN302" i="1"/>
  <c r="AN355" i="1"/>
  <c r="AN356" i="1"/>
  <c r="AN357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2" i="1"/>
  <c r="AN466" i="1"/>
  <c r="AN470" i="1"/>
  <c r="AN474" i="1"/>
  <c r="AN478" i="1"/>
  <c r="AN482" i="1"/>
  <c r="AN489" i="1"/>
  <c r="AN493" i="1"/>
  <c r="AN495" i="1"/>
  <c r="AN496" i="1"/>
  <c r="AN497" i="1"/>
  <c r="AN498" i="1"/>
  <c r="AN499" i="1"/>
  <c r="AN500" i="1"/>
  <c r="AN501" i="1"/>
  <c r="AN502" i="1"/>
  <c r="AN509" i="1"/>
  <c r="AN542" i="1"/>
  <c r="AN543" i="1"/>
  <c r="AN544" i="1"/>
  <c r="AN545" i="1"/>
  <c r="AN546" i="1"/>
  <c r="AN547" i="1"/>
  <c r="AN548" i="1"/>
  <c r="AN549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2" i="1"/>
  <c r="AN634" i="1"/>
  <c r="AN638" i="1"/>
  <c r="AN639" i="1"/>
  <c r="AN640" i="1"/>
  <c r="AN641" i="1"/>
  <c r="AN642" i="1"/>
  <c r="AN643" i="1"/>
  <c r="AN644" i="1"/>
  <c r="AN645" i="1"/>
  <c r="AN648" i="1"/>
  <c r="AN649" i="1"/>
  <c r="AN650" i="1"/>
  <c r="AN651" i="1"/>
  <c r="AN654" i="1"/>
  <c r="AN657" i="1"/>
  <c r="AN661" i="1"/>
  <c r="AN662" i="1"/>
  <c r="AN665" i="1"/>
  <c r="AN666" i="1"/>
  <c r="AN669" i="1"/>
  <c r="AN670" i="1"/>
  <c r="AN673" i="1"/>
  <c r="AN677" i="1"/>
  <c r="AN678" i="1"/>
  <c r="AN681" i="1"/>
  <c r="AN687" i="1"/>
  <c r="AN691" i="1"/>
  <c r="AN702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9" i="1"/>
  <c r="AN770" i="1"/>
  <c r="AN775" i="1"/>
  <c r="AN776" i="1"/>
  <c r="AN777" i="1"/>
  <c r="AN778" i="1"/>
  <c r="AD770" i="1"/>
  <c r="AM770" i="1" s="1"/>
  <c r="AC770" i="1"/>
  <c r="AD769" i="1"/>
  <c r="AC769" i="1"/>
  <c r="AD768" i="1"/>
  <c r="AC768" i="1"/>
  <c r="AC767" i="1" s="1"/>
  <c r="AC24" i="1" s="1"/>
  <c r="AD683" i="1"/>
  <c r="AM683" i="1" s="1"/>
  <c r="AC683" i="1"/>
  <c r="AD682" i="1"/>
  <c r="AC682" i="1"/>
  <c r="AD681" i="1"/>
  <c r="AM681" i="1" s="1"/>
  <c r="AC681" i="1"/>
  <c r="AD680" i="1"/>
  <c r="AC680" i="1"/>
  <c r="AD679" i="1"/>
  <c r="AM679" i="1" s="1"/>
  <c r="AC679" i="1"/>
  <c r="AD678" i="1"/>
  <c r="AM678" i="1" s="1"/>
  <c r="AC678" i="1"/>
  <c r="AD677" i="1"/>
  <c r="AM677" i="1" s="1"/>
  <c r="AC677" i="1"/>
  <c r="AD676" i="1"/>
  <c r="AC676" i="1"/>
  <c r="AD675" i="1"/>
  <c r="AM675" i="1" s="1"/>
  <c r="AC675" i="1"/>
  <c r="AD674" i="1"/>
  <c r="AC674" i="1"/>
  <c r="AD673" i="1"/>
  <c r="AM673" i="1" s="1"/>
  <c r="AC673" i="1"/>
  <c r="AD672" i="1"/>
  <c r="AC672" i="1"/>
  <c r="AD671" i="1"/>
  <c r="AM671" i="1" s="1"/>
  <c r="AC671" i="1"/>
  <c r="AD670" i="1"/>
  <c r="AM670" i="1" s="1"/>
  <c r="AC670" i="1"/>
  <c r="AD669" i="1"/>
  <c r="AM669" i="1" s="1"/>
  <c r="AC669" i="1"/>
  <c r="AD668" i="1"/>
  <c r="AC668" i="1"/>
  <c r="AD667" i="1"/>
  <c r="AM667" i="1" s="1"/>
  <c r="AC667" i="1"/>
  <c r="AD666" i="1"/>
  <c r="AM666" i="1" s="1"/>
  <c r="AC666" i="1"/>
  <c r="AD665" i="1"/>
  <c r="AM665" i="1" s="1"/>
  <c r="AC665" i="1"/>
  <c r="AD664" i="1"/>
  <c r="AC664" i="1"/>
  <c r="AD663" i="1"/>
  <c r="AM663" i="1" s="1"/>
  <c r="AC663" i="1"/>
  <c r="AC652" i="1" s="1"/>
  <c r="AC22" i="1" s="1"/>
  <c r="AD662" i="1"/>
  <c r="AM662" i="1" s="1"/>
  <c r="AC662" i="1"/>
  <c r="AC661" i="1"/>
  <c r="AD660" i="1"/>
  <c r="AC660" i="1"/>
  <c r="AD659" i="1"/>
  <c r="AM659" i="1" s="1"/>
  <c r="AC659" i="1"/>
  <c r="AD658" i="1"/>
  <c r="AM658" i="1" s="1"/>
  <c r="AC658" i="1"/>
  <c r="AD657" i="1"/>
  <c r="AC657" i="1"/>
  <c r="AD656" i="1"/>
  <c r="AD655" i="1"/>
  <c r="AC655" i="1"/>
  <c r="AC654" i="1"/>
  <c r="AD653" i="1"/>
  <c r="AD647" i="1"/>
  <c r="AM647" i="1" s="1"/>
  <c r="AD646" i="1"/>
  <c r="AD635" i="1"/>
  <c r="AD634" i="1"/>
  <c r="AC634" i="1"/>
  <c r="AC633" i="1"/>
  <c r="AC631" i="1" s="1"/>
  <c r="AD494" i="1"/>
  <c r="AM494" i="1" s="1"/>
  <c r="AC494" i="1"/>
  <c r="AD493" i="1"/>
  <c r="AM493" i="1" s="1"/>
  <c r="AC493" i="1"/>
  <c r="AD492" i="1"/>
  <c r="AC492" i="1"/>
  <c r="AD491" i="1"/>
  <c r="AM491" i="1" s="1"/>
  <c r="AC491" i="1"/>
  <c r="AD490" i="1"/>
  <c r="AM490" i="1" s="1"/>
  <c r="AC490" i="1"/>
  <c r="AD489" i="1"/>
  <c r="AM489" i="1" s="1"/>
  <c r="AC489" i="1"/>
  <c r="AD488" i="1"/>
  <c r="AC488" i="1"/>
  <c r="AD487" i="1"/>
  <c r="AM487" i="1" s="1"/>
  <c r="AC487" i="1"/>
  <c r="AD486" i="1"/>
  <c r="AM486" i="1" s="1"/>
  <c r="AC486" i="1"/>
  <c r="AC485" i="1"/>
  <c r="AD484" i="1"/>
  <c r="AM484" i="1" s="1"/>
  <c r="AC484" i="1"/>
  <c r="AD483" i="1"/>
  <c r="AC483" i="1"/>
  <c r="AD482" i="1"/>
  <c r="AM482" i="1" s="1"/>
  <c r="AC482" i="1"/>
  <c r="AD481" i="1"/>
  <c r="AC481" i="1"/>
  <c r="AC480" i="1"/>
  <c r="AD479" i="1"/>
  <c r="AC479" i="1"/>
  <c r="AD478" i="1"/>
  <c r="AM478" i="1" s="1"/>
  <c r="AC478" i="1"/>
  <c r="AD477" i="1"/>
  <c r="AC477" i="1"/>
  <c r="AD476" i="1"/>
  <c r="AM476" i="1" s="1"/>
  <c r="AC476" i="1"/>
  <c r="AD475" i="1"/>
  <c r="AC475" i="1"/>
  <c r="AD474" i="1"/>
  <c r="AM474" i="1" s="1"/>
  <c r="AC474" i="1"/>
  <c r="AD473" i="1"/>
  <c r="AC473" i="1"/>
  <c r="AD472" i="1"/>
  <c r="AM472" i="1" s="1"/>
  <c r="AC472" i="1"/>
  <c r="AD471" i="1"/>
  <c r="AC471" i="1"/>
  <c r="AD470" i="1"/>
  <c r="AM470" i="1" s="1"/>
  <c r="AC470" i="1"/>
  <c r="AD469" i="1"/>
  <c r="AC469" i="1"/>
  <c r="AD468" i="1"/>
  <c r="AM468" i="1" s="1"/>
  <c r="AC468" i="1"/>
  <c r="AD467" i="1"/>
  <c r="AC467" i="1"/>
  <c r="AD466" i="1"/>
  <c r="AM466" i="1" s="1"/>
  <c r="AC466" i="1"/>
  <c r="AD465" i="1"/>
  <c r="AC465" i="1"/>
  <c r="AD464" i="1"/>
  <c r="AM464" i="1" s="1"/>
  <c r="AC464" i="1"/>
  <c r="AD463" i="1"/>
  <c r="AC463" i="1"/>
  <c r="AD462" i="1"/>
  <c r="AC462" i="1"/>
  <c r="AD305" i="1"/>
  <c r="AC305" i="1"/>
  <c r="AD304" i="1"/>
  <c r="AM304" i="1" s="1"/>
  <c r="AC304" i="1"/>
  <c r="AD303" i="1"/>
  <c r="AC303" i="1"/>
  <c r="AD302" i="1"/>
  <c r="AM302" i="1" s="1"/>
  <c r="AC302" i="1"/>
  <c r="AD301" i="1"/>
  <c r="AC301" i="1"/>
  <c r="AD300" i="1"/>
  <c r="AM300" i="1" s="1"/>
  <c r="AC300" i="1"/>
  <c r="AD299" i="1"/>
  <c r="AC299" i="1"/>
  <c r="AD298" i="1"/>
  <c r="AM298" i="1" s="1"/>
  <c r="AC298" i="1"/>
  <c r="AD297" i="1"/>
  <c r="AC297" i="1"/>
  <c r="AD296" i="1"/>
  <c r="AM296" i="1" s="1"/>
  <c r="AC296" i="1"/>
  <c r="AD295" i="1"/>
  <c r="AC295" i="1"/>
  <c r="AD294" i="1"/>
  <c r="AM294" i="1" s="1"/>
  <c r="AC294" i="1"/>
  <c r="AD293" i="1"/>
  <c r="AC293" i="1"/>
  <c r="AD292" i="1"/>
  <c r="AM292" i="1" s="1"/>
  <c r="AC292" i="1"/>
  <c r="AD291" i="1"/>
  <c r="AD290" i="1"/>
  <c r="AM290" i="1" s="1"/>
  <c r="AD289" i="1"/>
  <c r="AM289" i="1" s="1"/>
  <c r="AC289" i="1"/>
  <c r="AD288" i="1"/>
  <c r="AC288" i="1"/>
  <c r="AD287" i="1"/>
  <c r="AM287" i="1" s="1"/>
  <c r="AC287" i="1"/>
  <c r="AD286" i="1"/>
  <c r="AM286" i="1" s="1"/>
  <c r="AC286" i="1"/>
  <c r="AD285" i="1"/>
  <c r="AM285" i="1" s="1"/>
  <c r="AC285" i="1"/>
  <c r="AD284" i="1"/>
  <c r="AC284" i="1"/>
  <c r="AD283" i="1"/>
  <c r="AM283" i="1" s="1"/>
  <c r="AC283" i="1"/>
  <c r="AD282" i="1"/>
  <c r="AM282" i="1" s="1"/>
  <c r="AC282" i="1"/>
  <c r="AD281" i="1"/>
  <c r="AM281" i="1" s="1"/>
  <c r="AC281" i="1"/>
  <c r="AD280" i="1"/>
  <c r="AC280" i="1"/>
  <c r="AD279" i="1"/>
  <c r="AM279" i="1" s="1"/>
  <c r="AC279" i="1"/>
  <c r="AD278" i="1"/>
  <c r="AM278" i="1" s="1"/>
  <c r="AC278" i="1"/>
  <c r="AD277" i="1"/>
  <c r="AC277" i="1"/>
  <c r="AC276" i="1"/>
  <c r="AD270" i="1"/>
  <c r="AC270" i="1"/>
  <c r="AD269" i="1"/>
  <c r="AM269" i="1" s="1"/>
  <c r="AC269" i="1"/>
  <c r="AC268" i="1" s="1"/>
  <c r="AD227" i="1"/>
  <c r="AD226" i="1"/>
  <c r="AM226" i="1" s="1"/>
  <c r="AD222" i="1"/>
  <c r="AM222" i="1" s="1"/>
  <c r="AC222" i="1"/>
  <c r="AD221" i="1"/>
  <c r="AC221" i="1"/>
  <c r="AD220" i="1"/>
  <c r="AC220" i="1"/>
  <c r="AC219" i="1" s="1"/>
  <c r="AC201" i="1" s="1"/>
  <c r="AC26" i="1" s="1"/>
  <c r="AC19" i="1" s="1"/>
  <c r="AD202" i="1"/>
  <c r="AC202" i="1"/>
  <c r="AD197" i="1"/>
  <c r="AD193" i="1"/>
  <c r="AD189" i="1"/>
  <c r="AD86" i="1"/>
  <c r="AM86" i="1" s="1"/>
  <c r="AD85" i="1"/>
  <c r="AD84" i="1"/>
  <c r="AM84" i="1" s="1"/>
  <c r="AD83" i="1"/>
  <c r="AM83" i="1" s="1"/>
  <c r="AD82" i="1"/>
  <c r="AM82" i="1" s="1"/>
  <c r="AD81" i="1"/>
  <c r="AD80" i="1"/>
  <c r="AM80" i="1" s="1"/>
  <c r="AD79" i="1"/>
  <c r="AM79" i="1" s="1"/>
  <c r="AD78" i="1"/>
  <c r="AM78" i="1" s="1"/>
  <c r="AD77" i="1"/>
  <c r="AD76" i="1"/>
  <c r="AM76" i="1" s="1"/>
  <c r="AD75" i="1"/>
  <c r="AM75" i="1" s="1"/>
  <c r="AD74" i="1"/>
  <c r="AM74" i="1" s="1"/>
  <c r="AD73" i="1"/>
  <c r="AD72" i="1"/>
  <c r="AM72" i="1" s="1"/>
  <c r="AD71" i="1"/>
  <c r="AM71" i="1" s="1"/>
  <c r="AD70" i="1"/>
  <c r="AM70" i="1" s="1"/>
  <c r="AD69" i="1"/>
  <c r="AD68" i="1"/>
  <c r="AM68" i="1" s="1"/>
  <c r="AD67" i="1"/>
  <c r="AM67" i="1" s="1"/>
  <c r="AD66" i="1"/>
  <c r="AM66" i="1" s="1"/>
  <c r="AD65" i="1"/>
  <c r="AD64" i="1"/>
  <c r="AM64" i="1" s="1"/>
  <c r="AD63" i="1"/>
  <c r="AM63" i="1" s="1"/>
  <c r="AD62" i="1"/>
  <c r="AM62" i="1" s="1"/>
  <c r="AD61" i="1"/>
  <c r="AD60" i="1"/>
  <c r="AM60" i="1" s="1"/>
  <c r="AD59" i="1"/>
  <c r="AM59" i="1" s="1"/>
  <c r="AD58" i="1"/>
  <c r="AM58" i="1" s="1"/>
  <c r="AD57" i="1"/>
  <c r="AD56" i="1"/>
  <c r="AM56" i="1" s="1"/>
  <c r="AD55" i="1"/>
  <c r="AM55" i="1" s="1"/>
  <c r="AD54" i="1"/>
  <c r="AM54" i="1" s="1"/>
  <c r="AD53" i="1"/>
  <c r="AD52" i="1"/>
  <c r="AM52" i="1" s="1"/>
  <c r="AD51" i="1"/>
  <c r="AM51" i="1" s="1"/>
  <c r="AD50" i="1"/>
  <c r="AM50" i="1" s="1"/>
  <c r="AD49" i="1"/>
  <c r="AD48" i="1"/>
  <c r="AM48" i="1" s="1"/>
  <c r="AD47" i="1"/>
  <c r="AM47" i="1" s="1"/>
  <c r="AD46" i="1"/>
  <c r="AM46" i="1" s="1"/>
  <c r="AD45" i="1"/>
  <c r="AD44" i="1"/>
  <c r="AM44" i="1" s="1"/>
  <c r="AD43" i="1"/>
  <c r="AM43" i="1" s="1"/>
  <c r="AD42" i="1"/>
  <c r="AC41" i="1"/>
  <c r="AD37" i="1"/>
  <c r="AM37" i="1" s="1"/>
  <c r="AD36" i="1"/>
  <c r="AD35" i="1"/>
  <c r="AD34" i="1"/>
  <c r="AM34" i="1" s="1"/>
  <c r="AC33" i="1"/>
  <c r="AD30" i="1"/>
  <c r="AM30" i="1" s="1"/>
  <c r="AD29" i="1"/>
  <c r="AC28" i="1"/>
  <c r="H767" i="1"/>
  <c r="H24" i="1" s="1"/>
  <c r="H652" i="1"/>
  <c r="H22" i="1" s="1"/>
  <c r="H646" i="1"/>
  <c r="H633" i="1"/>
  <c r="H631" i="1" s="1"/>
  <c r="H461" i="1"/>
  <c r="H460" i="1" s="1"/>
  <c r="H276" i="1"/>
  <c r="H268" i="1"/>
  <c r="H219" i="1"/>
  <c r="H202" i="1"/>
  <c r="H197" i="1"/>
  <c r="H193" i="1"/>
  <c r="H189" i="1"/>
  <c r="H41" i="1"/>
  <c r="H33" i="1"/>
  <c r="H28" i="1"/>
  <c r="AM29" i="1" l="1"/>
  <c r="AN29" i="1"/>
  <c r="AM35" i="1"/>
  <c r="AN35" i="1"/>
  <c r="AD41" i="1"/>
  <c r="AM42" i="1"/>
  <c r="AC267" i="1"/>
  <c r="AM284" i="1"/>
  <c r="AN284" i="1"/>
  <c r="AM288" i="1"/>
  <c r="AN288" i="1"/>
  <c r="AM293" i="1"/>
  <c r="AN293" i="1"/>
  <c r="AM297" i="1"/>
  <c r="AN297" i="1"/>
  <c r="AM299" i="1"/>
  <c r="AN299" i="1"/>
  <c r="AM303" i="1"/>
  <c r="AN303" i="1"/>
  <c r="AM305" i="1"/>
  <c r="AN305" i="1"/>
  <c r="AM465" i="1"/>
  <c r="AN465" i="1"/>
  <c r="AM467" i="1"/>
  <c r="AN467" i="1"/>
  <c r="AM471" i="1"/>
  <c r="AN471" i="1"/>
  <c r="AM475" i="1"/>
  <c r="AN475" i="1"/>
  <c r="AM479" i="1"/>
  <c r="AN479" i="1"/>
  <c r="AM635" i="1"/>
  <c r="AN635" i="1"/>
  <c r="AM653" i="1"/>
  <c r="AN653" i="1"/>
  <c r="AM656" i="1"/>
  <c r="AN656" i="1"/>
  <c r="AN282" i="1"/>
  <c r="AN86" i="1"/>
  <c r="AN70" i="1"/>
  <c r="AN54" i="1"/>
  <c r="AN82" i="1"/>
  <c r="AN66" i="1"/>
  <c r="AN50" i="1"/>
  <c r="AD28" i="1"/>
  <c r="AM45" i="1"/>
  <c r="AN45" i="1"/>
  <c r="AM49" i="1"/>
  <c r="AN49" i="1"/>
  <c r="AM53" i="1"/>
  <c r="AN53" i="1"/>
  <c r="AM57" i="1"/>
  <c r="AN57" i="1"/>
  <c r="AM61" i="1"/>
  <c r="AN61" i="1"/>
  <c r="AM65" i="1"/>
  <c r="AN65" i="1"/>
  <c r="AM69" i="1"/>
  <c r="AN69" i="1"/>
  <c r="AM73" i="1"/>
  <c r="AN73" i="1"/>
  <c r="AM77" i="1"/>
  <c r="AN77" i="1"/>
  <c r="AM81" i="1"/>
  <c r="AN81" i="1"/>
  <c r="AM85" i="1"/>
  <c r="AN85" i="1"/>
  <c r="AD192" i="1"/>
  <c r="AM221" i="1"/>
  <c r="AN221" i="1"/>
  <c r="AM227" i="1"/>
  <c r="AN227" i="1"/>
  <c r="AD268" i="1"/>
  <c r="AM270" i="1"/>
  <c r="AM481" i="1"/>
  <c r="AN481" i="1"/>
  <c r="AM483" i="1"/>
  <c r="AN483" i="1"/>
  <c r="AD633" i="1"/>
  <c r="AM634" i="1"/>
  <c r="AM664" i="1"/>
  <c r="AN664" i="1"/>
  <c r="AM668" i="1"/>
  <c r="AN668" i="1"/>
  <c r="AM672" i="1"/>
  <c r="AN672" i="1"/>
  <c r="AM676" i="1"/>
  <c r="AN676" i="1"/>
  <c r="AM680" i="1"/>
  <c r="AN680" i="1"/>
  <c r="AM768" i="1"/>
  <c r="AN768" i="1"/>
  <c r="AN74" i="1"/>
  <c r="AN58" i="1"/>
  <c r="AN42" i="1"/>
  <c r="AM280" i="1"/>
  <c r="AN280" i="1"/>
  <c r="AM291" i="1"/>
  <c r="AN291" i="1"/>
  <c r="AM295" i="1"/>
  <c r="AN295" i="1"/>
  <c r="AM301" i="1"/>
  <c r="AN301" i="1"/>
  <c r="AM463" i="1"/>
  <c r="AN463" i="1"/>
  <c r="AM469" i="1"/>
  <c r="AN469" i="1"/>
  <c r="AM473" i="1"/>
  <c r="AN473" i="1"/>
  <c r="AM477" i="1"/>
  <c r="AN477" i="1"/>
  <c r="AM488" i="1"/>
  <c r="AN488" i="1"/>
  <c r="AM492" i="1"/>
  <c r="AN492" i="1"/>
  <c r="AM660" i="1"/>
  <c r="AN660" i="1"/>
  <c r="AN490" i="1"/>
  <c r="AN658" i="1"/>
  <c r="AN494" i="1"/>
  <c r="AN486" i="1"/>
  <c r="AN286" i="1"/>
  <c r="AN278" i="1"/>
  <c r="AN270" i="1"/>
  <c r="AN78" i="1"/>
  <c r="AN62" i="1"/>
  <c r="AN46" i="1"/>
  <c r="AN34" i="1"/>
  <c r="AD276" i="1"/>
  <c r="AM277" i="1"/>
  <c r="AD461" i="1"/>
  <c r="AM462" i="1"/>
  <c r="AC461" i="1"/>
  <c r="AC460" i="1" s="1"/>
  <c r="AD652" i="1"/>
  <c r="AM657" i="1"/>
  <c r="AD767" i="1"/>
  <c r="AM769" i="1"/>
  <c r="AN683" i="1"/>
  <c r="AN679" i="1"/>
  <c r="AN675" i="1"/>
  <c r="AN671" i="1"/>
  <c r="AN667" i="1"/>
  <c r="AN663" i="1"/>
  <c r="AN659" i="1"/>
  <c r="AN647" i="1"/>
  <c r="AN491" i="1"/>
  <c r="AN487" i="1"/>
  <c r="AN287" i="1"/>
  <c r="AN283" i="1"/>
  <c r="AN279" i="1"/>
  <c r="AN83" i="1"/>
  <c r="AN79" i="1"/>
  <c r="AN75" i="1"/>
  <c r="AN71" i="1"/>
  <c r="AN67" i="1"/>
  <c r="AN63" i="1"/>
  <c r="AN59" i="1"/>
  <c r="AN55" i="1"/>
  <c r="AN51" i="1"/>
  <c r="AN47" i="1"/>
  <c r="AN43" i="1"/>
  <c r="AD33" i="1"/>
  <c r="AM36" i="1"/>
  <c r="AD219" i="1"/>
  <c r="AD201" i="1" s="1"/>
  <c r="AM220" i="1"/>
  <c r="AN484" i="1"/>
  <c r="AN476" i="1"/>
  <c r="AN472" i="1"/>
  <c r="AN468" i="1"/>
  <c r="AN464" i="1"/>
  <c r="AN304" i="1"/>
  <c r="AN300" i="1"/>
  <c r="AN296" i="1"/>
  <c r="AN292" i="1"/>
  <c r="AN220" i="1"/>
  <c r="AN84" i="1"/>
  <c r="AN80" i="1"/>
  <c r="AN76" i="1"/>
  <c r="AN72" i="1"/>
  <c r="AN68" i="1"/>
  <c r="AN64" i="1"/>
  <c r="AN60" i="1"/>
  <c r="AN56" i="1"/>
  <c r="AN52" i="1"/>
  <c r="AN48" i="1"/>
  <c r="AN44" i="1"/>
  <c r="AN36" i="1"/>
  <c r="AD267" i="1"/>
  <c r="AD27" i="1"/>
  <c r="AC266" i="1"/>
  <c r="AC20" i="1" s="1"/>
  <c r="AC18" i="1" s="1"/>
  <c r="H192" i="1"/>
  <c r="H267" i="1"/>
  <c r="H266" i="1" s="1"/>
  <c r="H20" i="1" s="1"/>
  <c r="H201" i="1"/>
  <c r="H27" i="1"/>
  <c r="AD460" i="1" l="1"/>
  <c r="AD22" i="1"/>
  <c r="AD24" i="1"/>
  <c r="H26" i="1"/>
  <c r="H19" i="1" s="1"/>
  <c r="AD631" i="1"/>
  <c r="AD26" i="1"/>
  <c r="H18" i="1"/>
  <c r="Y41" i="1"/>
  <c r="W41" i="1"/>
  <c r="U41" i="1"/>
  <c r="I41" i="1"/>
  <c r="Y767" i="1"/>
  <c r="W767" i="1"/>
  <c r="W24" i="1" s="1"/>
  <c r="U767" i="1"/>
  <c r="U24" i="1" s="1"/>
  <c r="I767" i="1"/>
  <c r="I24" i="1" s="1"/>
  <c r="Y652" i="1"/>
  <c r="Y22" i="1" s="1"/>
  <c r="W652" i="1"/>
  <c r="W22" i="1" s="1"/>
  <c r="U652" i="1"/>
  <c r="I652" i="1"/>
  <c r="I22" i="1" s="1"/>
  <c r="Y633" i="1"/>
  <c r="W633" i="1"/>
  <c r="W631" i="1" s="1"/>
  <c r="U633" i="1"/>
  <c r="U631" i="1" s="1"/>
  <c r="I633" i="1"/>
  <c r="I631" i="1" s="1"/>
  <c r="Y461" i="1"/>
  <c r="Y460" i="1" s="1"/>
  <c r="W461" i="1"/>
  <c r="W460" i="1" s="1"/>
  <c r="U461" i="1"/>
  <c r="U460" i="1" s="1"/>
  <c r="I461" i="1"/>
  <c r="I460" i="1" s="1"/>
  <c r="Y276" i="1"/>
  <c r="W276" i="1"/>
  <c r="U276" i="1"/>
  <c r="I276" i="1"/>
  <c r="Y268" i="1"/>
  <c r="W268" i="1"/>
  <c r="U268" i="1"/>
  <c r="U267" i="1" s="1"/>
  <c r="I268" i="1"/>
  <c r="Y24" i="1"/>
  <c r="U22" i="1"/>
  <c r="Y646" i="1"/>
  <c r="W646" i="1"/>
  <c r="U646" i="1"/>
  <c r="I646" i="1"/>
  <c r="Y631" i="1"/>
  <c r="Y219" i="1"/>
  <c r="W219" i="1"/>
  <c r="U219" i="1"/>
  <c r="I219" i="1"/>
  <c r="Y202" i="1"/>
  <c r="Y197" i="1"/>
  <c r="Y193" i="1"/>
  <c r="Y189" i="1"/>
  <c r="W202" i="1"/>
  <c r="W197" i="1"/>
  <c r="W193" i="1"/>
  <c r="W189" i="1"/>
  <c r="U202" i="1"/>
  <c r="U201" i="1" s="1"/>
  <c r="U197" i="1"/>
  <c r="U193" i="1"/>
  <c r="U192" i="1" s="1"/>
  <c r="U189" i="1"/>
  <c r="I202" i="1"/>
  <c r="I197" i="1"/>
  <c r="I193" i="1"/>
  <c r="I189" i="1"/>
  <c r="Y33" i="1"/>
  <c r="W33" i="1"/>
  <c r="U33" i="1"/>
  <c r="Y28" i="1"/>
  <c r="W28" i="1"/>
  <c r="U28" i="1"/>
  <c r="I28" i="1"/>
  <c r="AD266" i="1" l="1"/>
  <c r="AD19" i="1"/>
  <c r="I192" i="1"/>
  <c r="Y27" i="1"/>
  <c r="W192" i="1"/>
  <c r="Y192" i="1"/>
  <c r="Y267" i="1"/>
  <c r="Y266" i="1" s="1"/>
  <c r="Y20" i="1" s="1"/>
  <c r="W267" i="1"/>
  <c r="W266" i="1" s="1"/>
  <c r="W20" i="1" s="1"/>
  <c r="W201" i="1"/>
  <c r="Y201" i="1"/>
  <c r="I267" i="1"/>
  <c r="I266" i="1" s="1"/>
  <c r="I20" i="1" s="1"/>
  <c r="I201" i="1"/>
  <c r="W27" i="1"/>
  <c r="W26" i="1" s="1"/>
  <c r="W19" i="1" s="1"/>
  <c r="W18" i="1" s="1"/>
  <c r="U266" i="1"/>
  <c r="U20" i="1" s="1"/>
  <c r="Y26" i="1"/>
  <c r="Y19" i="1" s="1"/>
  <c r="I27" i="1"/>
  <c r="U27" i="1"/>
  <c r="U26" i="1" s="1"/>
  <c r="U19" i="1" s="1"/>
  <c r="U18" i="1" s="1"/>
  <c r="AD18" i="1" l="1"/>
  <c r="I26" i="1"/>
  <c r="I19" i="1" s="1"/>
  <c r="AD20" i="1"/>
  <c r="Y18" i="1"/>
  <c r="I18" i="1"/>
  <c r="AH27" i="1" l="1"/>
  <c r="AH28" i="1" l="1"/>
  <c r="AH33" i="1"/>
  <c r="AH41" i="1"/>
  <c r="AH189" i="1"/>
  <c r="AH193" i="1"/>
  <c r="AH197" i="1"/>
  <c r="AH214" i="1"/>
  <c r="AN214" i="1" s="1"/>
  <c r="AH215" i="1"/>
  <c r="AN215" i="1" s="1"/>
  <c r="AH216" i="1"/>
  <c r="AN216" i="1" s="1"/>
  <c r="AH217" i="1"/>
  <c r="AN217" i="1" s="1"/>
  <c r="AH218" i="1"/>
  <c r="AN218" i="1" s="1"/>
  <c r="AH262" i="1"/>
  <c r="AN262" i="1" s="1"/>
  <c r="AH263" i="1"/>
  <c r="AN263" i="1" s="1"/>
  <c r="AH264" i="1"/>
  <c r="AN264" i="1" s="1"/>
  <c r="AH265" i="1"/>
  <c r="AN265" i="1" s="1"/>
  <c r="AH272" i="1"/>
  <c r="AN272" i="1" s="1"/>
  <c r="AH273" i="1"/>
  <c r="AN273" i="1" s="1"/>
  <c r="AH358" i="1"/>
  <c r="AN358" i="1" s="1"/>
  <c r="AH359" i="1"/>
  <c r="AN359" i="1" s="1"/>
  <c r="AH360" i="1"/>
  <c r="AN360" i="1" s="1"/>
  <c r="AH361" i="1"/>
  <c r="AN361" i="1" s="1"/>
  <c r="AH362" i="1"/>
  <c r="AN362" i="1" s="1"/>
  <c r="AH363" i="1"/>
  <c r="AN363" i="1" s="1"/>
  <c r="AH364" i="1"/>
  <c r="AN364" i="1" s="1"/>
  <c r="AH365" i="1"/>
  <c r="AN365" i="1" s="1"/>
  <c r="AH366" i="1"/>
  <c r="AN366" i="1" s="1"/>
  <c r="AH367" i="1"/>
  <c r="AN367" i="1" s="1"/>
  <c r="AH368" i="1"/>
  <c r="AN368" i="1" s="1"/>
  <c r="AH369" i="1"/>
  <c r="AN369" i="1" s="1"/>
  <c r="AH370" i="1"/>
  <c r="AN370" i="1" s="1"/>
  <c r="AH371" i="1"/>
  <c r="AN371" i="1" s="1"/>
  <c r="AH372" i="1"/>
  <c r="AN372" i="1" s="1"/>
  <c r="AH373" i="1"/>
  <c r="AN373" i="1" s="1"/>
  <c r="AH374" i="1"/>
  <c r="AN374" i="1" s="1"/>
  <c r="AH375" i="1"/>
  <c r="AN375" i="1" s="1"/>
  <c r="AH376" i="1"/>
  <c r="AN376" i="1" s="1"/>
  <c r="AH377" i="1"/>
  <c r="AN377" i="1" s="1"/>
  <c r="AH378" i="1"/>
  <c r="AN378" i="1" s="1"/>
  <c r="AH379" i="1"/>
  <c r="AN379" i="1" s="1"/>
  <c r="AH380" i="1"/>
  <c r="AN380" i="1" s="1"/>
  <c r="AH381" i="1"/>
  <c r="AN381" i="1" s="1"/>
  <c r="AH553" i="1"/>
  <c r="AN553" i="1" s="1"/>
  <c r="AH554" i="1"/>
  <c r="AN554" i="1" s="1"/>
  <c r="AH555" i="1"/>
  <c r="AN555" i="1" s="1"/>
  <c r="AH556" i="1"/>
  <c r="AN556" i="1" s="1"/>
  <c r="AH557" i="1"/>
  <c r="AN557" i="1" s="1"/>
  <c r="AH558" i="1"/>
  <c r="AN558" i="1" s="1"/>
  <c r="AH559" i="1"/>
  <c r="AN559" i="1" s="1"/>
  <c r="AH560" i="1"/>
  <c r="AN560" i="1" s="1"/>
  <c r="AH561" i="1"/>
  <c r="AN561" i="1" s="1"/>
  <c r="AH562" i="1"/>
  <c r="AN562" i="1" s="1"/>
  <c r="AH563" i="1"/>
  <c r="AN563" i="1" s="1"/>
  <c r="AH564" i="1"/>
  <c r="AN564" i="1" s="1"/>
  <c r="AH565" i="1"/>
  <c r="AN565" i="1" s="1"/>
  <c r="AH566" i="1"/>
  <c r="AN566" i="1" s="1"/>
  <c r="AH567" i="1"/>
  <c r="AN567" i="1" s="1"/>
  <c r="AH568" i="1"/>
  <c r="AN568" i="1" s="1"/>
  <c r="AH569" i="1"/>
  <c r="AN569" i="1" s="1"/>
  <c r="AH570" i="1"/>
  <c r="AN570" i="1" s="1"/>
  <c r="AH571" i="1"/>
  <c r="AN571" i="1" s="1"/>
  <c r="AH572" i="1"/>
  <c r="AN572" i="1" s="1"/>
  <c r="AH573" i="1"/>
  <c r="AN573" i="1" s="1"/>
  <c r="AH574" i="1"/>
  <c r="AN574" i="1" s="1"/>
  <c r="AH575" i="1"/>
  <c r="AN575" i="1" s="1"/>
  <c r="AH576" i="1"/>
  <c r="AN576" i="1" s="1"/>
  <c r="AH577" i="1"/>
  <c r="AN577" i="1" s="1"/>
  <c r="AH637" i="1"/>
  <c r="AH703" i="1"/>
  <c r="AN703" i="1" s="1"/>
  <c r="AH704" i="1"/>
  <c r="AN704" i="1" s="1"/>
  <c r="AH705" i="1"/>
  <c r="AN705" i="1" s="1"/>
  <c r="AH706" i="1"/>
  <c r="AN706" i="1" s="1"/>
  <c r="AH707" i="1"/>
  <c r="AN707" i="1" s="1"/>
  <c r="AH708" i="1"/>
  <c r="AN708" i="1" s="1"/>
  <c r="AH709" i="1"/>
  <c r="AN709" i="1" s="1"/>
  <c r="AH710" i="1"/>
  <c r="AN710" i="1" s="1"/>
  <c r="AH711" i="1"/>
  <c r="AN711" i="1" s="1"/>
  <c r="AH712" i="1"/>
  <c r="AN712" i="1" s="1"/>
  <c r="AH713" i="1"/>
  <c r="AN713" i="1" s="1"/>
  <c r="AH714" i="1"/>
  <c r="AN714" i="1" s="1"/>
  <c r="AH715" i="1"/>
  <c r="AN715" i="1" s="1"/>
  <c r="AH773" i="1"/>
  <c r="AN773" i="1" s="1"/>
  <c r="AH774" i="1"/>
  <c r="AN774" i="1" s="1"/>
  <c r="AJ26" i="1"/>
  <c r="AL26" i="1"/>
  <c r="AE27" i="1"/>
  <c r="AH633" i="1" l="1"/>
  <c r="AH631" i="1" s="1"/>
  <c r="AN637" i="1"/>
  <c r="AH268" i="1"/>
  <c r="AH767" i="1"/>
  <c r="AH24" i="1" s="1"/>
  <c r="AH652" i="1"/>
  <c r="AH22" i="1" s="1"/>
  <c r="AH192" i="1"/>
  <c r="AH276" i="1"/>
  <c r="AH267" i="1" s="1"/>
  <c r="AH202" i="1"/>
  <c r="AH219" i="1"/>
  <c r="AH201" i="1" s="1"/>
  <c r="AH461" i="1"/>
  <c r="AH460" i="1" s="1"/>
  <c r="AH26" i="1" l="1"/>
  <c r="AH19" i="1" s="1"/>
  <c r="AH266" i="1"/>
  <c r="AH20" i="1" s="1"/>
  <c r="AH18" i="1" l="1"/>
  <c r="X21" i="1" l="1"/>
  <c r="X23" i="1"/>
  <c r="X29" i="1"/>
  <c r="X30" i="1"/>
  <c r="X31" i="1"/>
  <c r="X32" i="1"/>
  <c r="X34" i="1"/>
  <c r="X35" i="1"/>
  <c r="X36" i="1"/>
  <c r="X37" i="1"/>
  <c r="X38" i="1"/>
  <c r="X39" i="1"/>
  <c r="X40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9" i="1"/>
  <c r="X270" i="1"/>
  <c r="X271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9" i="1"/>
  <c r="X578" i="1"/>
  <c r="X634" i="1"/>
  <c r="X636" i="1"/>
  <c r="X640" i="1"/>
  <c r="X641" i="1"/>
  <c r="X642" i="1"/>
  <c r="X643" i="1"/>
  <c r="X644" i="1"/>
  <c r="X645" i="1"/>
  <c r="X647" i="1"/>
  <c r="X648" i="1"/>
  <c r="X649" i="1"/>
  <c r="X650" i="1"/>
  <c r="X651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4" i="1"/>
  <c r="X705" i="1"/>
  <c r="X708" i="1"/>
  <c r="X712" i="1"/>
  <c r="X716" i="1"/>
  <c r="X717" i="1"/>
  <c r="X718" i="1"/>
  <c r="X719" i="1"/>
  <c r="X720" i="1"/>
  <c r="X766" i="1"/>
  <c r="X768" i="1"/>
  <c r="X769" i="1"/>
  <c r="X770" i="1"/>
  <c r="X771" i="1"/>
  <c r="X772" i="1"/>
  <c r="Z21" i="1"/>
  <c r="Z23" i="1"/>
  <c r="Z29" i="1"/>
  <c r="Z30" i="1"/>
  <c r="Z31" i="1"/>
  <c r="Z32" i="1"/>
  <c r="Z34" i="1"/>
  <c r="Z35" i="1"/>
  <c r="Z36" i="1"/>
  <c r="Z37" i="1"/>
  <c r="Z38" i="1"/>
  <c r="Z39" i="1"/>
  <c r="Z40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203" i="1"/>
  <c r="Z204" i="1"/>
  <c r="Z205" i="1"/>
  <c r="Z206" i="1"/>
  <c r="Z207" i="1"/>
  <c r="Z208" i="1"/>
  <c r="Z209" i="1"/>
  <c r="Z210" i="1"/>
  <c r="Z211" i="1"/>
  <c r="Z212" i="1"/>
  <c r="Z213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4" i="1"/>
  <c r="Z269" i="1"/>
  <c r="Z270" i="1"/>
  <c r="Z271" i="1"/>
  <c r="Z274" i="1"/>
  <c r="Z275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4" i="1"/>
  <c r="Z636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8" i="1"/>
  <c r="Z769" i="1"/>
  <c r="Z770" i="1"/>
  <c r="Z771" i="1"/>
  <c r="Z772" i="1"/>
  <c r="Z775" i="1"/>
  <c r="Z776" i="1"/>
  <c r="Z777" i="1"/>
  <c r="Z778" i="1"/>
  <c r="AF96" i="1" l="1"/>
  <c r="AM96" i="1" l="1"/>
  <c r="AN96" i="1"/>
  <c r="AF31" i="1"/>
  <c r="AM31" i="1" l="1"/>
  <c r="AN31" i="1"/>
  <c r="AF674" i="1"/>
  <c r="AF655" i="1"/>
  <c r="AF682" i="1"/>
  <c r="AF485" i="1"/>
  <c r="AF480" i="1"/>
  <c r="AM655" i="1" l="1"/>
  <c r="AN655" i="1"/>
  <c r="AM480" i="1"/>
  <c r="AN480" i="1"/>
  <c r="AN674" i="1"/>
  <c r="AM674" i="1"/>
  <c r="AM485" i="1"/>
  <c r="AN485" i="1"/>
  <c r="AN682" i="1"/>
  <c r="AM682" i="1"/>
  <c r="AF636" i="1"/>
  <c r="AF241" i="1"/>
  <c r="AM241" i="1" l="1"/>
  <c r="AN241" i="1"/>
  <c r="AM636" i="1"/>
  <c r="AN636" i="1"/>
  <c r="AF772" i="1"/>
  <c r="AF771" i="1"/>
  <c r="AF701" i="1"/>
  <c r="AF700" i="1"/>
  <c r="AF699" i="1"/>
  <c r="AF698" i="1"/>
  <c r="AF697" i="1"/>
  <c r="AF696" i="1"/>
  <c r="AF695" i="1"/>
  <c r="AF694" i="1"/>
  <c r="AF693" i="1"/>
  <c r="AF692" i="1"/>
  <c r="AF690" i="1"/>
  <c r="AF689" i="1"/>
  <c r="AF688" i="1"/>
  <c r="AF686" i="1"/>
  <c r="AF685" i="1"/>
  <c r="AF684" i="1"/>
  <c r="AF552" i="1"/>
  <c r="AF551" i="1"/>
  <c r="AF550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8" i="1"/>
  <c r="AF507" i="1"/>
  <c r="AF506" i="1"/>
  <c r="AF505" i="1"/>
  <c r="AF504" i="1"/>
  <c r="AF503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271" i="1"/>
  <c r="AF261" i="1"/>
  <c r="AF250" i="1"/>
  <c r="AF249" i="1"/>
  <c r="AF247" i="1"/>
  <c r="AF246" i="1"/>
  <c r="AF245" i="1"/>
  <c r="AF244" i="1"/>
  <c r="AF243" i="1"/>
  <c r="AF242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12" i="1"/>
  <c r="AF211" i="1"/>
  <c r="AF210" i="1"/>
  <c r="AF209" i="1"/>
  <c r="AF208" i="1"/>
  <c r="AF207" i="1"/>
  <c r="AF206" i="1"/>
  <c r="AF205" i="1"/>
  <c r="AF204" i="1"/>
  <c r="AF203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40" i="1"/>
  <c r="AF39" i="1"/>
  <c r="AF38" i="1"/>
  <c r="AF32" i="1"/>
  <c r="AF646" i="1"/>
  <c r="AF633" i="1"/>
  <c r="AN646" i="1" l="1"/>
  <c r="AM40" i="1"/>
  <c r="AN40" i="1"/>
  <c r="AM91" i="1"/>
  <c r="AN91" i="1"/>
  <c r="AM95" i="1"/>
  <c r="AN95" i="1"/>
  <c r="AM100" i="1"/>
  <c r="AN100" i="1"/>
  <c r="AM104" i="1"/>
  <c r="AN104" i="1"/>
  <c r="AM108" i="1"/>
  <c r="AN108" i="1"/>
  <c r="AM112" i="1"/>
  <c r="AN112" i="1"/>
  <c r="AM204" i="1"/>
  <c r="AN204" i="1"/>
  <c r="AM208" i="1"/>
  <c r="AN208" i="1"/>
  <c r="AM212" i="1"/>
  <c r="AN212" i="1"/>
  <c r="AM231" i="1"/>
  <c r="AN231" i="1"/>
  <c r="AM235" i="1"/>
  <c r="AN235" i="1"/>
  <c r="AM239" i="1"/>
  <c r="AN239" i="1"/>
  <c r="AM244" i="1"/>
  <c r="AN244" i="1"/>
  <c r="AM249" i="1"/>
  <c r="AN249" i="1"/>
  <c r="AM306" i="1"/>
  <c r="AN306" i="1"/>
  <c r="AM310" i="1"/>
  <c r="AN310" i="1"/>
  <c r="AM314" i="1"/>
  <c r="AN314" i="1"/>
  <c r="AM318" i="1"/>
  <c r="AN318" i="1"/>
  <c r="AM322" i="1"/>
  <c r="AN322" i="1"/>
  <c r="AM326" i="1"/>
  <c r="AN326" i="1"/>
  <c r="AM330" i="1"/>
  <c r="AN330" i="1"/>
  <c r="AM334" i="1"/>
  <c r="AN334" i="1"/>
  <c r="AM338" i="1"/>
  <c r="AN338" i="1"/>
  <c r="AM342" i="1"/>
  <c r="AN342" i="1"/>
  <c r="AM346" i="1"/>
  <c r="AN346" i="1"/>
  <c r="AM350" i="1"/>
  <c r="AN350" i="1"/>
  <c r="AM354" i="1"/>
  <c r="AN354" i="1"/>
  <c r="AM506" i="1"/>
  <c r="AN506" i="1"/>
  <c r="AM511" i="1"/>
  <c r="AN511" i="1"/>
  <c r="AM515" i="1"/>
  <c r="AN515" i="1"/>
  <c r="AM519" i="1"/>
  <c r="AN519" i="1"/>
  <c r="AM523" i="1"/>
  <c r="AN523" i="1"/>
  <c r="AM527" i="1"/>
  <c r="AN527" i="1"/>
  <c r="AM531" i="1"/>
  <c r="AN531" i="1"/>
  <c r="AM535" i="1"/>
  <c r="AN535" i="1"/>
  <c r="AM539" i="1"/>
  <c r="AN539" i="1"/>
  <c r="AM551" i="1"/>
  <c r="AN551" i="1"/>
  <c r="AM686" i="1"/>
  <c r="AN686" i="1"/>
  <c r="AM692" i="1"/>
  <c r="AN692" i="1"/>
  <c r="AM696" i="1"/>
  <c r="AN696" i="1"/>
  <c r="AM700" i="1"/>
  <c r="AN700" i="1"/>
  <c r="AM32" i="1"/>
  <c r="AN32" i="1"/>
  <c r="AM88" i="1"/>
  <c r="AN88" i="1"/>
  <c r="AM92" i="1"/>
  <c r="AN92" i="1"/>
  <c r="AM97" i="1"/>
  <c r="AN97" i="1"/>
  <c r="AM101" i="1"/>
  <c r="AN101" i="1"/>
  <c r="AM105" i="1"/>
  <c r="AN105" i="1"/>
  <c r="AM109" i="1"/>
  <c r="AN109" i="1"/>
  <c r="AM113" i="1"/>
  <c r="AN113" i="1"/>
  <c r="AM205" i="1"/>
  <c r="AN205" i="1"/>
  <c r="AM209" i="1"/>
  <c r="AN209" i="1"/>
  <c r="AM228" i="1"/>
  <c r="AN228" i="1"/>
  <c r="AM232" i="1"/>
  <c r="AN232" i="1"/>
  <c r="AM236" i="1"/>
  <c r="AN236" i="1"/>
  <c r="AM240" i="1"/>
  <c r="AN240" i="1"/>
  <c r="AM245" i="1"/>
  <c r="AN245" i="1"/>
  <c r="AM250" i="1"/>
  <c r="AN250" i="1"/>
  <c r="AM307" i="1"/>
  <c r="AN307" i="1"/>
  <c r="AM311" i="1"/>
  <c r="AN311" i="1"/>
  <c r="AM315" i="1"/>
  <c r="AN315" i="1"/>
  <c r="AM319" i="1"/>
  <c r="AN319" i="1"/>
  <c r="AM323" i="1"/>
  <c r="AN323" i="1"/>
  <c r="AM327" i="1"/>
  <c r="AN327" i="1"/>
  <c r="AM331" i="1"/>
  <c r="AN331" i="1"/>
  <c r="AM335" i="1"/>
  <c r="AN335" i="1"/>
  <c r="AM339" i="1"/>
  <c r="AN339" i="1"/>
  <c r="AM343" i="1"/>
  <c r="AN343" i="1"/>
  <c r="AM347" i="1"/>
  <c r="AN347" i="1"/>
  <c r="AM351" i="1"/>
  <c r="AN351" i="1"/>
  <c r="AM503" i="1"/>
  <c r="AN503" i="1"/>
  <c r="AM507" i="1"/>
  <c r="AN507" i="1"/>
  <c r="AM512" i="1"/>
  <c r="AN512" i="1"/>
  <c r="AM516" i="1"/>
  <c r="AN516" i="1"/>
  <c r="AM520" i="1"/>
  <c r="AN520" i="1"/>
  <c r="AM524" i="1"/>
  <c r="AN524" i="1"/>
  <c r="AM528" i="1"/>
  <c r="AN528" i="1"/>
  <c r="AM532" i="1"/>
  <c r="AN532" i="1"/>
  <c r="AM536" i="1"/>
  <c r="AN536" i="1"/>
  <c r="AM540" i="1"/>
  <c r="AN540" i="1"/>
  <c r="AM552" i="1"/>
  <c r="AN552" i="1"/>
  <c r="AM688" i="1"/>
  <c r="AN688" i="1"/>
  <c r="AM693" i="1"/>
  <c r="AN693" i="1"/>
  <c r="AM697" i="1"/>
  <c r="AN697" i="1"/>
  <c r="AM701" i="1"/>
  <c r="AN701" i="1"/>
  <c r="AM38" i="1"/>
  <c r="AN38" i="1"/>
  <c r="AM89" i="1"/>
  <c r="AN89" i="1"/>
  <c r="AM93" i="1"/>
  <c r="AN93" i="1"/>
  <c r="AM98" i="1"/>
  <c r="AN98" i="1"/>
  <c r="AM102" i="1"/>
  <c r="AN102" i="1"/>
  <c r="AM106" i="1"/>
  <c r="AN106" i="1"/>
  <c r="AM110" i="1"/>
  <c r="AN110" i="1"/>
  <c r="AM114" i="1"/>
  <c r="AN114" i="1"/>
  <c r="AM206" i="1"/>
  <c r="AN206" i="1"/>
  <c r="AM210" i="1"/>
  <c r="AN210" i="1"/>
  <c r="AM229" i="1"/>
  <c r="AN229" i="1"/>
  <c r="AM233" i="1"/>
  <c r="AN233" i="1"/>
  <c r="AM237" i="1"/>
  <c r="AN237" i="1"/>
  <c r="AM242" i="1"/>
  <c r="AN242" i="1"/>
  <c r="AM246" i="1"/>
  <c r="AN246" i="1"/>
  <c r="AM261" i="1"/>
  <c r="AN261" i="1"/>
  <c r="AM308" i="1"/>
  <c r="AN308" i="1"/>
  <c r="AM312" i="1"/>
  <c r="AN312" i="1"/>
  <c r="AM316" i="1"/>
  <c r="AN316" i="1"/>
  <c r="AM320" i="1"/>
  <c r="AN320" i="1"/>
  <c r="AM324" i="1"/>
  <c r="AN324" i="1"/>
  <c r="AM328" i="1"/>
  <c r="AN328" i="1"/>
  <c r="AM332" i="1"/>
  <c r="AN332" i="1"/>
  <c r="AM336" i="1"/>
  <c r="AN336" i="1"/>
  <c r="AM340" i="1"/>
  <c r="AN340" i="1"/>
  <c r="AM344" i="1"/>
  <c r="AN344" i="1"/>
  <c r="AM348" i="1"/>
  <c r="AN348" i="1"/>
  <c r="AM352" i="1"/>
  <c r="AN352" i="1"/>
  <c r="AM504" i="1"/>
  <c r="AN504" i="1"/>
  <c r="AM508" i="1"/>
  <c r="AN508" i="1"/>
  <c r="AM513" i="1"/>
  <c r="AN513" i="1"/>
  <c r="AM517" i="1"/>
  <c r="AN517" i="1"/>
  <c r="AM521" i="1"/>
  <c r="AN521" i="1"/>
  <c r="AM525" i="1"/>
  <c r="AN525" i="1"/>
  <c r="AM529" i="1"/>
  <c r="AN529" i="1"/>
  <c r="AM533" i="1"/>
  <c r="AN533" i="1"/>
  <c r="AM537" i="1"/>
  <c r="AN537" i="1"/>
  <c r="AM541" i="1"/>
  <c r="AN541" i="1"/>
  <c r="AM684" i="1"/>
  <c r="AN684" i="1"/>
  <c r="AM689" i="1"/>
  <c r="AN689" i="1"/>
  <c r="AM694" i="1"/>
  <c r="AN694" i="1"/>
  <c r="AM698" i="1"/>
  <c r="AN698" i="1"/>
  <c r="AM771" i="1"/>
  <c r="AN771" i="1"/>
  <c r="AF631" i="1"/>
  <c r="AN633" i="1"/>
  <c r="AM39" i="1"/>
  <c r="AN39" i="1"/>
  <c r="AM90" i="1"/>
  <c r="AN90" i="1"/>
  <c r="AM94" i="1"/>
  <c r="AN94" i="1"/>
  <c r="AM99" i="1"/>
  <c r="AN99" i="1"/>
  <c r="AM103" i="1"/>
  <c r="AN103" i="1"/>
  <c r="AM107" i="1"/>
  <c r="AN107" i="1"/>
  <c r="AM111" i="1"/>
  <c r="AN111" i="1"/>
  <c r="AM203" i="1"/>
  <c r="AN203" i="1"/>
  <c r="AM207" i="1"/>
  <c r="AN207" i="1"/>
  <c r="AM211" i="1"/>
  <c r="AN211" i="1"/>
  <c r="AM230" i="1"/>
  <c r="AN230" i="1"/>
  <c r="AM234" i="1"/>
  <c r="AN234" i="1"/>
  <c r="AM238" i="1"/>
  <c r="AN238" i="1"/>
  <c r="AM243" i="1"/>
  <c r="AN243" i="1"/>
  <c r="AM247" i="1"/>
  <c r="AN247" i="1"/>
  <c r="AM271" i="1"/>
  <c r="AN271" i="1"/>
  <c r="AM309" i="1"/>
  <c r="AN309" i="1"/>
  <c r="AM313" i="1"/>
  <c r="AN313" i="1"/>
  <c r="AM317" i="1"/>
  <c r="AN317" i="1"/>
  <c r="AM321" i="1"/>
  <c r="AN321" i="1"/>
  <c r="AM325" i="1"/>
  <c r="AN325" i="1"/>
  <c r="AM329" i="1"/>
  <c r="AN329" i="1"/>
  <c r="AM333" i="1"/>
  <c r="AN333" i="1"/>
  <c r="AM337" i="1"/>
  <c r="AN337" i="1"/>
  <c r="AM341" i="1"/>
  <c r="AN341" i="1"/>
  <c r="AM345" i="1"/>
  <c r="AN345" i="1"/>
  <c r="AM349" i="1"/>
  <c r="AN349" i="1"/>
  <c r="AM353" i="1"/>
  <c r="AN353" i="1"/>
  <c r="AM505" i="1"/>
  <c r="AN505" i="1"/>
  <c r="AM510" i="1"/>
  <c r="AN510" i="1"/>
  <c r="AM514" i="1"/>
  <c r="AN514" i="1"/>
  <c r="AM518" i="1"/>
  <c r="AN518" i="1"/>
  <c r="AM522" i="1"/>
  <c r="AN522" i="1"/>
  <c r="AM526" i="1"/>
  <c r="AN526" i="1"/>
  <c r="AM530" i="1"/>
  <c r="AN530" i="1"/>
  <c r="AM534" i="1"/>
  <c r="AN534" i="1"/>
  <c r="AM538" i="1"/>
  <c r="AN538" i="1"/>
  <c r="AM550" i="1"/>
  <c r="AN550" i="1"/>
  <c r="AM685" i="1"/>
  <c r="AN685" i="1"/>
  <c r="AM690" i="1"/>
  <c r="AN690" i="1"/>
  <c r="AM695" i="1"/>
  <c r="AN695" i="1"/>
  <c r="AM699" i="1"/>
  <c r="AN699" i="1"/>
  <c r="AM772" i="1"/>
  <c r="AN772" i="1"/>
  <c r="AF276" i="1"/>
  <c r="AF219" i="1"/>
  <c r="AF202" i="1"/>
  <c r="AF189" i="1"/>
  <c r="AF28" i="1"/>
  <c r="AF268" i="1"/>
  <c r="AF197" i="1"/>
  <c r="AF767" i="1"/>
  <c r="AF193" i="1"/>
  <c r="AF652" i="1"/>
  <c r="AF461" i="1"/>
  <c r="AF41" i="1"/>
  <c r="AF33" i="1"/>
  <c r="AN33" i="1" l="1"/>
  <c r="AN193" i="1"/>
  <c r="AN28" i="1"/>
  <c r="AN276" i="1"/>
  <c r="AN41" i="1"/>
  <c r="AF24" i="1"/>
  <c r="AN24" i="1" s="1"/>
  <c r="AN767" i="1"/>
  <c r="AN189" i="1"/>
  <c r="AN631" i="1"/>
  <c r="AF460" i="1"/>
  <c r="AN461" i="1"/>
  <c r="AN197" i="1"/>
  <c r="AN202" i="1"/>
  <c r="AF22" i="1"/>
  <c r="AN22" i="1" s="1"/>
  <c r="AN652" i="1"/>
  <c r="AN268" i="1"/>
  <c r="AN219" i="1"/>
  <c r="AF192" i="1"/>
  <c r="AF267" i="1"/>
  <c r="AF201" i="1"/>
  <c r="AF27" i="1"/>
  <c r="AN192" i="1" l="1"/>
  <c r="AN27" i="1"/>
  <c r="AN201" i="1"/>
  <c r="AN460" i="1"/>
  <c r="AF266" i="1"/>
  <c r="AN267" i="1"/>
  <c r="AF26" i="1"/>
  <c r="AF20" i="1" l="1"/>
  <c r="AN20" i="1" s="1"/>
  <c r="AN266" i="1"/>
  <c r="AF19" i="1"/>
  <c r="AN26" i="1"/>
  <c r="Z773" i="1"/>
  <c r="Z774" i="1"/>
  <c r="Z637" i="1"/>
  <c r="Z272" i="1"/>
  <c r="Z767" i="1"/>
  <c r="Z28" i="1"/>
  <c r="AF18" i="1" l="1"/>
  <c r="AN18" i="1" s="1"/>
  <c r="AN19" i="1"/>
  <c r="Z33" i="1"/>
  <c r="Z214" i="1"/>
  <c r="Z218" i="1"/>
  <c r="Z360" i="1"/>
  <c r="Z368" i="1"/>
  <c r="Z372" i="1"/>
  <c r="Z376" i="1"/>
  <c r="Z380" i="1"/>
  <c r="Z555" i="1"/>
  <c r="Z559" i="1"/>
  <c r="Z567" i="1"/>
  <c r="Z571" i="1"/>
  <c r="Z575" i="1"/>
  <c r="Z703" i="1"/>
  <c r="Z707" i="1"/>
  <c r="Z711" i="1"/>
  <c r="Z41" i="1"/>
  <c r="Z215" i="1"/>
  <c r="Z262" i="1"/>
  <c r="Z273" i="1"/>
  <c r="Z361" i="1"/>
  <c r="Z365" i="1"/>
  <c r="Z369" i="1"/>
  <c r="Z373" i="1"/>
  <c r="Z377" i="1"/>
  <c r="Z381" i="1"/>
  <c r="Z556" i="1"/>
  <c r="Z560" i="1"/>
  <c r="Z564" i="1"/>
  <c r="Z568" i="1"/>
  <c r="Z572" i="1"/>
  <c r="Z576" i="1"/>
  <c r="Z704" i="1"/>
  <c r="Z708" i="1"/>
  <c r="Z712" i="1"/>
  <c r="Z216" i="1"/>
  <c r="Z263" i="1"/>
  <c r="Z358" i="1"/>
  <c r="Z362" i="1"/>
  <c r="Z366" i="1"/>
  <c r="Z370" i="1"/>
  <c r="Z374" i="1"/>
  <c r="Z378" i="1"/>
  <c r="Z553" i="1"/>
  <c r="Z557" i="1"/>
  <c r="Z561" i="1"/>
  <c r="Z565" i="1"/>
  <c r="Z569" i="1"/>
  <c r="Z573" i="1"/>
  <c r="Z577" i="1"/>
  <c r="Z705" i="1"/>
  <c r="Z709" i="1"/>
  <c r="Z713" i="1"/>
  <c r="Z217" i="1"/>
  <c r="Z265" i="1"/>
  <c r="Z359" i="1"/>
  <c r="Z363" i="1"/>
  <c r="Z367" i="1"/>
  <c r="Z371" i="1"/>
  <c r="Z375" i="1"/>
  <c r="Z379" i="1"/>
  <c r="Z554" i="1"/>
  <c r="Z558" i="1"/>
  <c r="Z562" i="1"/>
  <c r="Z566" i="1"/>
  <c r="Z570" i="1"/>
  <c r="Z574" i="1"/>
  <c r="Z706" i="1"/>
  <c r="Z710" i="1"/>
  <c r="Z714" i="1"/>
  <c r="Z364" i="1"/>
  <c r="Z563" i="1"/>
  <c r="Z715" i="1"/>
  <c r="Z633" i="1"/>
  <c r="Z652" i="1"/>
  <c r="Z461" i="1"/>
  <c r="Z276" i="1"/>
  <c r="Z193" i="1" l="1"/>
  <c r="Z202" i="1"/>
  <c r="Z268" i="1"/>
  <c r="Z219" i="1"/>
  <c r="Z189" i="1"/>
  <c r="Z24" i="1"/>
  <c r="Z27" i="1"/>
  <c r="Z197" i="1"/>
  <c r="Z201" i="1" l="1"/>
  <c r="Z631" i="1"/>
  <c r="Z460" i="1"/>
  <c r="Z267" i="1"/>
  <c r="Z22" i="1"/>
  <c r="Z26" i="1"/>
  <c r="Z192" i="1" l="1"/>
  <c r="Z266" i="1"/>
  <c r="Z19" i="1"/>
  <c r="AK778" i="1"/>
  <c r="AM778" i="1" s="1"/>
  <c r="AK777" i="1"/>
  <c r="AM777" i="1" s="1"/>
  <c r="AK765" i="1"/>
  <c r="AM765" i="1" s="1"/>
  <c r="AK764" i="1"/>
  <c r="AM764" i="1" s="1"/>
  <c r="AK763" i="1"/>
  <c r="AM763" i="1" s="1"/>
  <c r="AK762" i="1"/>
  <c r="AM762" i="1" s="1"/>
  <c r="AK761" i="1"/>
  <c r="AM761" i="1" s="1"/>
  <c r="AK760" i="1"/>
  <c r="AM760" i="1" s="1"/>
  <c r="AK759" i="1"/>
  <c r="AM759" i="1" s="1"/>
  <c r="AK758" i="1"/>
  <c r="AM758" i="1" s="1"/>
  <c r="AK757" i="1"/>
  <c r="AM757" i="1" s="1"/>
  <c r="AK756" i="1"/>
  <c r="AM756" i="1" s="1"/>
  <c r="AK755" i="1"/>
  <c r="AM755" i="1" s="1"/>
  <c r="AK754" i="1"/>
  <c r="AM754" i="1" s="1"/>
  <c r="AK753" i="1"/>
  <c r="AM753" i="1" s="1"/>
  <c r="AK752" i="1"/>
  <c r="AM752" i="1" s="1"/>
  <c r="AK751" i="1"/>
  <c r="AM751" i="1" s="1"/>
  <c r="AK750" i="1"/>
  <c r="AM750" i="1" s="1"/>
  <c r="AK749" i="1"/>
  <c r="AM749" i="1" s="1"/>
  <c r="AK748" i="1"/>
  <c r="AM748" i="1" s="1"/>
  <c r="AK747" i="1"/>
  <c r="AM747" i="1" s="1"/>
  <c r="AK746" i="1"/>
  <c r="AM746" i="1" s="1"/>
  <c r="AK745" i="1"/>
  <c r="AM745" i="1" s="1"/>
  <c r="AK744" i="1"/>
  <c r="AM744" i="1" s="1"/>
  <c r="AK743" i="1"/>
  <c r="AM743" i="1" s="1"/>
  <c r="AK742" i="1"/>
  <c r="AM742" i="1" s="1"/>
  <c r="AK639" i="1"/>
  <c r="AM639" i="1" s="1"/>
  <c r="AK629" i="1"/>
  <c r="AM629" i="1" s="1"/>
  <c r="AK628" i="1"/>
  <c r="AM628" i="1" s="1"/>
  <c r="AK627" i="1"/>
  <c r="AM627" i="1" s="1"/>
  <c r="AK626" i="1"/>
  <c r="AM626" i="1" s="1"/>
  <c r="AK625" i="1"/>
  <c r="AM625" i="1" s="1"/>
  <c r="AK624" i="1"/>
  <c r="AM624" i="1" s="1"/>
  <c r="AK623" i="1"/>
  <c r="AM623" i="1" s="1"/>
  <c r="AK622" i="1"/>
  <c r="AM622" i="1" s="1"/>
  <c r="AK621" i="1"/>
  <c r="AM621" i="1" s="1"/>
  <c r="AK620" i="1"/>
  <c r="AM620" i="1" s="1"/>
  <c r="AK619" i="1"/>
  <c r="AM619" i="1" s="1"/>
  <c r="AK618" i="1"/>
  <c r="AM618" i="1" s="1"/>
  <c r="AK617" i="1"/>
  <c r="AM617" i="1" s="1"/>
  <c r="AK616" i="1"/>
  <c r="AM616" i="1" s="1"/>
  <c r="AK615" i="1"/>
  <c r="AM615" i="1" s="1"/>
  <c r="AK614" i="1"/>
  <c r="AM614" i="1" s="1"/>
  <c r="AK613" i="1"/>
  <c r="AM613" i="1" s="1"/>
  <c r="AK612" i="1"/>
  <c r="AM612" i="1" s="1"/>
  <c r="AK611" i="1"/>
  <c r="AM611" i="1" s="1"/>
  <c r="AK610" i="1"/>
  <c r="AM610" i="1" s="1"/>
  <c r="AK609" i="1"/>
  <c r="AM609" i="1" s="1"/>
  <c r="AK608" i="1"/>
  <c r="AM608" i="1" s="1"/>
  <c r="AK607" i="1"/>
  <c r="AM607" i="1" s="1"/>
  <c r="AK606" i="1"/>
  <c r="AM606" i="1" s="1"/>
  <c r="AK605" i="1"/>
  <c r="AM605" i="1" s="1"/>
  <c r="AK459" i="1"/>
  <c r="AM459" i="1" s="1"/>
  <c r="AK458" i="1"/>
  <c r="AM458" i="1" s="1"/>
  <c r="AK457" i="1"/>
  <c r="AM457" i="1" s="1"/>
  <c r="AK456" i="1"/>
  <c r="AM456" i="1" s="1"/>
  <c r="AK455" i="1"/>
  <c r="AM455" i="1" s="1"/>
  <c r="AK454" i="1"/>
  <c r="AM454" i="1" s="1"/>
  <c r="AK453" i="1"/>
  <c r="AM453" i="1" s="1"/>
  <c r="AK452" i="1"/>
  <c r="AM452" i="1" s="1"/>
  <c r="AK451" i="1"/>
  <c r="AM451" i="1" s="1"/>
  <c r="AK450" i="1"/>
  <c r="AM450" i="1" s="1"/>
  <c r="AK449" i="1"/>
  <c r="AM449" i="1" s="1"/>
  <c r="AK448" i="1"/>
  <c r="AM448" i="1" s="1"/>
  <c r="AK447" i="1"/>
  <c r="AM447" i="1" s="1"/>
  <c r="AK446" i="1"/>
  <c r="AM446" i="1" s="1"/>
  <c r="AK445" i="1"/>
  <c r="AM445" i="1" s="1"/>
  <c r="AK444" i="1"/>
  <c r="AM444" i="1" s="1"/>
  <c r="AK443" i="1"/>
  <c r="AM443" i="1" s="1"/>
  <c r="AK442" i="1"/>
  <c r="AM442" i="1" s="1"/>
  <c r="AK441" i="1"/>
  <c r="AM441" i="1" s="1"/>
  <c r="AK440" i="1"/>
  <c r="AM440" i="1" s="1"/>
  <c r="AK439" i="1"/>
  <c r="AM439" i="1" s="1"/>
  <c r="AK438" i="1"/>
  <c r="AM438" i="1" s="1"/>
  <c r="AK437" i="1"/>
  <c r="AM437" i="1" s="1"/>
  <c r="AK436" i="1"/>
  <c r="AM436" i="1" s="1"/>
  <c r="AK435" i="1"/>
  <c r="AM435" i="1" s="1"/>
  <c r="AK434" i="1"/>
  <c r="AM434" i="1" s="1"/>
  <c r="AK433" i="1"/>
  <c r="AM433" i="1" s="1"/>
  <c r="AK432" i="1"/>
  <c r="AM432" i="1" s="1"/>
  <c r="AK431" i="1"/>
  <c r="AM431" i="1" s="1"/>
  <c r="AK430" i="1"/>
  <c r="AM430" i="1" s="1"/>
  <c r="AK429" i="1"/>
  <c r="AM429" i="1" s="1"/>
  <c r="AK428" i="1"/>
  <c r="AM428" i="1" s="1"/>
  <c r="AK427" i="1"/>
  <c r="AM427" i="1" s="1"/>
  <c r="AK426" i="1"/>
  <c r="AM426" i="1" s="1"/>
  <c r="AK425" i="1"/>
  <c r="AM425" i="1" s="1"/>
  <c r="AK424" i="1"/>
  <c r="AM424" i="1" s="1"/>
  <c r="AK423" i="1"/>
  <c r="AM423" i="1" s="1"/>
  <c r="AK422" i="1"/>
  <c r="AM422" i="1" s="1"/>
  <c r="AK421" i="1"/>
  <c r="AM421" i="1" s="1"/>
  <c r="AK420" i="1"/>
  <c r="AM420" i="1" s="1"/>
  <c r="AK419" i="1"/>
  <c r="AM419" i="1" s="1"/>
  <c r="AK418" i="1"/>
  <c r="AM418" i="1" s="1"/>
  <c r="AK275" i="1"/>
  <c r="AM275" i="1" s="1"/>
  <c r="AI776" i="1"/>
  <c r="AM776" i="1" s="1"/>
  <c r="AI775" i="1"/>
  <c r="AM775" i="1" s="1"/>
  <c r="AI741" i="1"/>
  <c r="AM741" i="1" s="1"/>
  <c r="AI740" i="1"/>
  <c r="AM740" i="1" s="1"/>
  <c r="AI739" i="1"/>
  <c r="AM739" i="1" s="1"/>
  <c r="AI738" i="1"/>
  <c r="AM738" i="1" s="1"/>
  <c r="AI737" i="1"/>
  <c r="AM737" i="1" s="1"/>
  <c r="AI736" i="1"/>
  <c r="AM736" i="1" s="1"/>
  <c r="AI735" i="1"/>
  <c r="AM735" i="1" s="1"/>
  <c r="AI734" i="1"/>
  <c r="AM734" i="1" s="1"/>
  <c r="AI733" i="1"/>
  <c r="AM733" i="1" s="1"/>
  <c r="AI732" i="1"/>
  <c r="AM732" i="1" s="1"/>
  <c r="AI731" i="1"/>
  <c r="AM731" i="1" s="1"/>
  <c r="AI730" i="1"/>
  <c r="AM730" i="1" s="1"/>
  <c r="AI729" i="1"/>
  <c r="AM729" i="1" s="1"/>
  <c r="AI728" i="1"/>
  <c r="AM728" i="1" s="1"/>
  <c r="AI727" i="1"/>
  <c r="AM727" i="1" s="1"/>
  <c r="AI726" i="1"/>
  <c r="AM726" i="1" s="1"/>
  <c r="AI725" i="1"/>
  <c r="AM725" i="1" s="1"/>
  <c r="AI724" i="1"/>
  <c r="AM724" i="1" s="1"/>
  <c r="AI723" i="1"/>
  <c r="AM723" i="1" s="1"/>
  <c r="AI722" i="1"/>
  <c r="AM722" i="1" s="1"/>
  <c r="AI721" i="1"/>
  <c r="AM721" i="1" s="1"/>
  <c r="AI638" i="1"/>
  <c r="AM638" i="1" s="1"/>
  <c r="AI604" i="1"/>
  <c r="AM604" i="1" s="1"/>
  <c r="AI603" i="1"/>
  <c r="AM603" i="1" s="1"/>
  <c r="AI602" i="1"/>
  <c r="AM602" i="1" s="1"/>
  <c r="AI601" i="1"/>
  <c r="AM601" i="1" s="1"/>
  <c r="AI600" i="1"/>
  <c r="AM600" i="1" s="1"/>
  <c r="AI599" i="1"/>
  <c r="AM599" i="1" s="1"/>
  <c r="AI598" i="1"/>
  <c r="AM598" i="1" s="1"/>
  <c r="AI597" i="1"/>
  <c r="AM597" i="1" s="1"/>
  <c r="AI596" i="1"/>
  <c r="AM596" i="1" s="1"/>
  <c r="AI595" i="1"/>
  <c r="AM595" i="1" s="1"/>
  <c r="AI594" i="1"/>
  <c r="AM594" i="1" s="1"/>
  <c r="AI593" i="1"/>
  <c r="AM593" i="1" s="1"/>
  <c r="AI592" i="1"/>
  <c r="AM592" i="1" s="1"/>
  <c r="AI591" i="1"/>
  <c r="AM591" i="1" s="1"/>
  <c r="AI590" i="1"/>
  <c r="AM590" i="1" s="1"/>
  <c r="AI589" i="1"/>
  <c r="AM589" i="1" s="1"/>
  <c r="AI588" i="1"/>
  <c r="AM588" i="1" s="1"/>
  <c r="AI587" i="1"/>
  <c r="AM587" i="1" s="1"/>
  <c r="AI586" i="1"/>
  <c r="AM586" i="1" s="1"/>
  <c r="AI585" i="1"/>
  <c r="AM585" i="1" s="1"/>
  <c r="AI584" i="1"/>
  <c r="AM584" i="1" s="1"/>
  <c r="AI583" i="1"/>
  <c r="AM583" i="1" s="1"/>
  <c r="AI582" i="1"/>
  <c r="AM582" i="1" s="1"/>
  <c r="AI581" i="1"/>
  <c r="AM581" i="1" s="1"/>
  <c r="AI580" i="1"/>
  <c r="AM580" i="1" s="1"/>
  <c r="X583" i="1" l="1"/>
  <c r="X591" i="1"/>
  <c r="X595" i="1"/>
  <c r="X603" i="1"/>
  <c r="X722" i="1"/>
  <c r="X730" i="1"/>
  <c r="X738" i="1"/>
  <c r="X419" i="1"/>
  <c r="X423" i="1"/>
  <c r="X427" i="1"/>
  <c r="X431" i="1"/>
  <c r="X435" i="1"/>
  <c r="X439" i="1"/>
  <c r="X443" i="1"/>
  <c r="X447" i="1"/>
  <c r="X451" i="1"/>
  <c r="X455" i="1"/>
  <c r="X459" i="1"/>
  <c r="X608" i="1"/>
  <c r="X612" i="1"/>
  <c r="X616" i="1"/>
  <c r="X620" i="1"/>
  <c r="X624" i="1"/>
  <c r="X628" i="1"/>
  <c r="X743" i="1"/>
  <c r="X747" i="1"/>
  <c r="X751" i="1"/>
  <c r="X755" i="1"/>
  <c r="X759" i="1"/>
  <c r="X763" i="1"/>
  <c r="X778" i="1"/>
  <c r="X580" i="1"/>
  <c r="X584" i="1"/>
  <c r="X588" i="1"/>
  <c r="X592" i="1"/>
  <c r="X596" i="1"/>
  <c r="X600" i="1"/>
  <c r="X604" i="1"/>
  <c r="X723" i="1"/>
  <c r="X727" i="1"/>
  <c r="X731" i="1"/>
  <c r="X735" i="1"/>
  <c r="X739" i="1"/>
  <c r="X776" i="1"/>
  <c r="X420" i="1"/>
  <c r="X424" i="1"/>
  <c r="X428" i="1"/>
  <c r="X432" i="1"/>
  <c r="X436" i="1"/>
  <c r="X440" i="1"/>
  <c r="X444" i="1"/>
  <c r="X448" i="1"/>
  <c r="X452" i="1"/>
  <c r="X456" i="1"/>
  <c r="X605" i="1"/>
  <c r="X609" i="1"/>
  <c r="X613" i="1"/>
  <c r="X617" i="1"/>
  <c r="X621" i="1"/>
  <c r="X625" i="1"/>
  <c r="X629" i="1"/>
  <c r="X744" i="1"/>
  <c r="X748" i="1"/>
  <c r="X752" i="1"/>
  <c r="X756" i="1"/>
  <c r="X760" i="1"/>
  <c r="X764" i="1"/>
  <c r="Z20" i="1"/>
  <c r="X581" i="1"/>
  <c r="X585" i="1"/>
  <c r="X589" i="1"/>
  <c r="X593" i="1"/>
  <c r="X597" i="1"/>
  <c r="X601" i="1"/>
  <c r="X638" i="1"/>
  <c r="X724" i="1"/>
  <c r="X728" i="1"/>
  <c r="X732" i="1"/>
  <c r="X736" i="1"/>
  <c r="X740" i="1"/>
  <c r="X275" i="1"/>
  <c r="X421" i="1"/>
  <c r="X425" i="1"/>
  <c r="X429" i="1"/>
  <c r="X433" i="1"/>
  <c r="X437" i="1"/>
  <c r="X441" i="1"/>
  <c r="X445" i="1"/>
  <c r="X449" i="1"/>
  <c r="X453" i="1"/>
  <c r="X457" i="1"/>
  <c r="X606" i="1"/>
  <c r="X610" i="1"/>
  <c r="X614" i="1"/>
  <c r="X618" i="1"/>
  <c r="X622" i="1"/>
  <c r="X626" i="1"/>
  <c r="X639" i="1"/>
  <c r="X745" i="1"/>
  <c r="X749" i="1"/>
  <c r="X753" i="1"/>
  <c r="X757" i="1"/>
  <c r="X761" i="1"/>
  <c r="X765" i="1"/>
  <c r="X587" i="1"/>
  <c r="X599" i="1"/>
  <c r="X726" i="1"/>
  <c r="X734" i="1"/>
  <c r="X775" i="1"/>
  <c r="X582" i="1"/>
  <c r="X586" i="1"/>
  <c r="X590" i="1"/>
  <c r="X594" i="1"/>
  <c r="X598" i="1"/>
  <c r="X602" i="1"/>
  <c r="X721" i="1"/>
  <c r="X725" i="1"/>
  <c r="X729" i="1"/>
  <c r="X733" i="1"/>
  <c r="X737" i="1"/>
  <c r="X741" i="1"/>
  <c r="X418" i="1"/>
  <c r="X422" i="1"/>
  <c r="X426" i="1"/>
  <c r="X430" i="1"/>
  <c r="X434" i="1"/>
  <c r="X438" i="1"/>
  <c r="X442" i="1"/>
  <c r="X446" i="1"/>
  <c r="X450" i="1"/>
  <c r="X454" i="1"/>
  <c r="X458" i="1"/>
  <c r="X607" i="1"/>
  <c r="X611" i="1"/>
  <c r="X615" i="1"/>
  <c r="X619" i="1"/>
  <c r="X623" i="1"/>
  <c r="X627" i="1"/>
  <c r="X742" i="1"/>
  <c r="X746" i="1"/>
  <c r="X750" i="1"/>
  <c r="X754" i="1"/>
  <c r="X758" i="1"/>
  <c r="X762" i="1"/>
  <c r="X777" i="1"/>
  <c r="Z18" i="1"/>
  <c r="AI417" i="1"/>
  <c r="AM417" i="1" s="1"/>
  <c r="AI416" i="1"/>
  <c r="AM416" i="1" s="1"/>
  <c r="AI415" i="1"/>
  <c r="AM415" i="1" s="1"/>
  <c r="AI414" i="1"/>
  <c r="AM414" i="1" s="1"/>
  <c r="AI413" i="1"/>
  <c r="AM413" i="1" s="1"/>
  <c r="AI412" i="1"/>
  <c r="AM412" i="1" s="1"/>
  <c r="AI411" i="1"/>
  <c r="AM411" i="1" s="1"/>
  <c r="AI410" i="1"/>
  <c r="AM410" i="1" s="1"/>
  <c r="AI409" i="1"/>
  <c r="AM409" i="1" s="1"/>
  <c r="AI408" i="1"/>
  <c r="AM408" i="1" s="1"/>
  <c r="AI407" i="1"/>
  <c r="AM407" i="1" s="1"/>
  <c r="AI406" i="1"/>
  <c r="AM406" i="1" s="1"/>
  <c r="AI405" i="1"/>
  <c r="AM405" i="1" s="1"/>
  <c r="AI404" i="1"/>
  <c r="AM404" i="1" s="1"/>
  <c r="AI403" i="1"/>
  <c r="AM403" i="1" s="1"/>
  <c r="AI402" i="1"/>
  <c r="AM402" i="1" s="1"/>
  <c r="X403" i="1" l="1"/>
  <c r="X407" i="1"/>
  <c r="X411" i="1"/>
  <c r="X415" i="1"/>
  <c r="X404" i="1"/>
  <c r="X408" i="1"/>
  <c r="X412" i="1"/>
  <c r="X416" i="1"/>
  <c r="X402" i="1"/>
  <c r="X406" i="1"/>
  <c r="X410" i="1"/>
  <c r="X414" i="1"/>
  <c r="X405" i="1"/>
  <c r="X409" i="1"/>
  <c r="X413" i="1"/>
  <c r="X417" i="1"/>
  <c r="AI401" i="1"/>
  <c r="AM401" i="1" s="1"/>
  <c r="AI400" i="1"/>
  <c r="AM400" i="1" s="1"/>
  <c r="AI399" i="1"/>
  <c r="AM399" i="1" s="1"/>
  <c r="AI398" i="1"/>
  <c r="AM398" i="1" s="1"/>
  <c r="AI397" i="1"/>
  <c r="AM397" i="1" s="1"/>
  <c r="AI396" i="1"/>
  <c r="AM396" i="1" s="1"/>
  <c r="AI395" i="1"/>
  <c r="AM395" i="1" s="1"/>
  <c r="AI394" i="1"/>
  <c r="AM394" i="1" s="1"/>
  <c r="AI393" i="1"/>
  <c r="AM393" i="1" s="1"/>
  <c r="AI392" i="1"/>
  <c r="AM392" i="1" s="1"/>
  <c r="AI391" i="1"/>
  <c r="AM391" i="1" s="1"/>
  <c r="AI390" i="1"/>
  <c r="AM390" i="1" s="1"/>
  <c r="AI389" i="1"/>
  <c r="AM389" i="1" s="1"/>
  <c r="AI388" i="1"/>
  <c r="AM388" i="1" s="1"/>
  <c r="AI387" i="1"/>
  <c r="AM387" i="1" s="1"/>
  <c r="AI386" i="1"/>
  <c r="AM386" i="1" s="1"/>
  <c r="AI385" i="1"/>
  <c r="AM385" i="1" s="1"/>
  <c r="AI384" i="1"/>
  <c r="AM384" i="1" s="1"/>
  <c r="AI383" i="1"/>
  <c r="AM383" i="1" s="1"/>
  <c r="AI382" i="1"/>
  <c r="AM382" i="1" s="1"/>
  <c r="AI274" i="1"/>
  <c r="AM274" i="1" s="1"/>
  <c r="X382" i="1" l="1"/>
  <c r="X386" i="1"/>
  <c r="X390" i="1"/>
  <c r="X394" i="1"/>
  <c r="X398" i="1"/>
  <c r="X383" i="1"/>
  <c r="X387" i="1"/>
  <c r="X391" i="1"/>
  <c r="X395" i="1"/>
  <c r="X399" i="1"/>
  <c r="X384" i="1"/>
  <c r="X388" i="1"/>
  <c r="X392" i="1"/>
  <c r="X396" i="1"/>
  <c r="X400" i="1"/>
  <c r="X274" i="1"/>
  <c r="X385" i="1"/>
  <c r="X389" i="1"/>
  <c r="X393" i="1"/>
  <c r="X397" i="1"/>
  <c r="X401" i="1"/>
  <c r="AG219" i="1"/>
  <c r="AG202" i="1"/>
  <c r="AG774" i="1"/>
  <c r="AM774" i="1" s="1"/>
  <c r="AG773" i="1"/>
  <c r="AM773" i="1" s="1"/>
  <c r="AG715" i="1"/>
  <c r="AM715" i="1" s="1"/>
  <c r="AG714" i="1"/>
  <c r="AM714" i="1" s="1"/>
  <c r="AG713" i="1"/>
  <c r="AM713" i="1" s="1"/>
  <c r="AG711" i="1"/>
  <c r="AM711" i="1" s="1"/>
  <c r="AG710" i="1"/>
  <c r="AM710" i="1" s="1"/>
  <c r="AG709" i="1"/>
  <c r="AM709" i="1" s="1"/>
  <c r="AG707" i="1"/>
  <c r="AM707" i="1" s="1"/>
  <c r="AG706" i="1"/>
  <c r="AM706" i="1" s="1"/>
  <c r="AG703" i="1"/>
  <c r="AM703" i="1" s="1"/>
  <c r="AG637" i="1"/>
  <c r="AM637" i="1" s="1"/>
  <c r="AG579" i="1"/>
  <c r="AM579" i="1" s="1"/>
  <c r="AG577" i="1"/>
  <c r="AM577" i="1" s="1"/>
  <c r="AG576" i="1"/>
  <c r="AM576" i="1" s="1"/>
  <c r="AG575" i="1"/>
  <c r="AM575" i="1" s="1"/>
  <c r="AG574" i="1"/>
  <c r="AM574" i="1" s="1"/>
  <c r="AG573" i="1"/>
  <c r="AM573" i="1" s="1"/>
  <c r="AG572" i="1"/>
  <c r="AM572" i="1" s="1"/>
  <c r="AG571" i="1"/>
  <c r="AM571" i="1" s="1"/>
  <c r="AG570" i="1"/>
  <c r="AM570" i="1" s="1"/>
  <c r="AG569" i="1"/>
  <c r="AM569" i="1" s="1"/>
  <c r="AG568" i="1"/>
  <c r="AM568" i="1" s="1"/>
  <c r="AG567" i="1"/>
  <c r="AM567" i="1" s="1"/>
  <c r="AG566" i="1"/>
  <c r="AM566" i="1" s="1"/>
  <c r="AG565" i="1"/>
  <c r="AM565" i="1" s="1"/>
  <c r="AG564" i="1"/>
  <c r="AM564" i="1" s="1"/>
  <c r="AG563" i="1"/>
  <c r="AM563" i="1" s="1"/>
  <c r="AG562" i="1"/>
  <c r="AM562" i="1" s="1"/>
  <c r="AG561" i="1"/>
  <c r="AM561" i="1" s="1"/>
  <c r="AG560" i="1"/>
  <c r="AM560" i="1" s="1"/>
  <c r="AG558" i="1"/>
  <c r="AM558" i="1" s="1"/>
  <c r="AG557" i="1"/>
  <c r="AM557" i="1" s="1"/>
  <c r="AG556" i="1"/>
  <c r="AM556" i="1" s="1"/>
  <c r="AG555" i="1"/>
  <c r="AM555" i="1" s="1"/>
  <c r="AG554" i="1"/>
  <c r="AM554" i="1" s="1"/>
  <c r="AG553" i="1"/>
  <c r="AM553" i="1" s="1"/>
  <c r="AG381" i="1"/>
  <c r="AM381" i="1" s="1"/>
  <c r="AG380" i="1"/>
  <c r="AM380" i="1" s="1"/>
  <c r="AG379" i="1"/>
  <c r="AM379" i="1" s="1"/>
  <c r="AG378" i="1"/>
  <c r="AM378" i="1" s="1"/>
  <c r="AG377" i="1"/>
  <c r="AM377" i="1" s="1"/>
  <c r="AG376" i="1"/>
  <c r="AM376" i="1" s="1"/>
  <c r="AG375" i="1"/>
  <c r="AM375" i="1" s="1"/>
  <c r="AG374" i="1"/>
  <c r="AM374" i="1" s="1"/>
  <c r="AG373" i="1"/>
  <c r="AM373" i="1" s="1"/>
  <c r="AG372" i="1"/>
  <c r="AM372" i="1" s="1"/>
  <c r="AG371" i="1"/>
  <c r="AM371" i="1" s="1"/>
  <c r="AG370" i="1"/>
  <c r="AM370" i="1" s="1"/>
  <c r="AG369" i="1"/>
  <c r="AM369" i="1" s="1"/>
  <c r="AG368" i="1"/>
  <c r="AM368" i="1" s="1"/>
  <c r="AG367" i="1"/>
  <c r="AM367" i="1" s="1"/>
  <c r="AG366" i="1"/>
  <c r="AM366" i="1" s="1"/>
  <c r="AG365" i="1"/>
  <c r="AM365" i="1" s="1"/>
  <c r="AG364" i="1"/>
  <c r="AM364" i="1" s="1"/>
  <c r="AG363" i="1"/>
  <c r="AM363" i="1" s="1"/>
  <c r="AG362" i="1"/>
  <c r="AM362" i="1" s="1"/>
  <c r="AG361" i="1"/>
  <c r="AM361" i="1" s="1"/>
  <c r="AG360" i="1"/>
  <c r="AM360" i="1" s="1"/>
  <c r="AG359" i="1"/>
  <c r="AM359" i="1" s="1"/>
  <c r="AG358" i="1"/>
  <c r="AM358" i="1" s="1"/>
  <c r="AG273" i="1"/>
  <c r="AM273" i="1" s="1"/>
  <c r="AG272" i="1"/>
  <c r="AM272" i="1" s="1"/>
  <c r="AG218" i="1"/>
  <c r="AM218" i="1" s="1"/>
  <c r="AG217" i="1"/>
  <c r="AM217" i="1" s="1"/>
  <c r="AG216" i="1"/>
  <c r="AM216" i="1" s="1"/>
  <c r="X703" i="1" l="1"/>
  <c r="X637" i="1"/>
  <c r="X273" i="1"/>
  <c r="X272" i="1"/>
  <c r="X364" i="1"/>
  <c r="X372" i="1"/>
  <c r="X380" i="1"/>
  <c r="X555" i="1"/>
  <c r="X560" i="1"/>
  <c r="X568" i="1"/>
  <c r="X572" i="1"/>
  <c r="X576" i="1"/>
  <c r="X710" i="1"/>
  <c r="X715" i="1"/>
  <c r="X365" i="1"/>
  <c r="X377" i="1"/>
  <c r="X556" i="1"/>
  <c r="X565" i="1"/>
  <c r="X573" i="1"/>
  <c r="X577" i="1"/>
  <c r="X711" i="1"/>
  <c r="X217" i="1"/>
  <c r="X366" i="1"/>
  <c r="X370" i="1"/>
  <c r="X374" i="1"/>
  <c r="X378" i="1"/>
  <c r="X553" i="1"/>
  <c r="X557" i="1"/>
  <c r="X562" i="1"/>
  <c r="X566" i="1"/>
  <c r="X570" i="1"/>
  <c r="X574" i="1"/>
  <c r="X579" i="1"/>
  <c r="X707" i="1"/>
  <c r="X713" i="1"/>
  <c r="X774" i="1"/>
  <c r="X360" i="1"/>
  <c r="X368" i="1"/>
  <c r="X376" i="1"/>
  <c r="X564" i="1"/>
  <c r="X216" i="1"/>
  <c r="X361" i="1"/>
  <c r="X369" i="1"/>
  <c r="X373" i="1"/>
  <c r="X381" i="1"/>
  <c r="X561" i="1"/>
  <c r="X569" i="1"/>
  <c r="X706" i="1"/>
  <c r="X773" i="1"/>
  <c r="X358" i="1"/>
  <c r="X362" i="1"/>
  <c r="X218" i="1"/>
  <c r="X359" i="1"/>
  <c r="X363" i="1"/>
  <c r="X367" i="1"/>
  <c r="X371" i="1"/>
  <c r="X375" i="1"/>
  <c r="X379" i="1"/>
  <c r="X554" i="1"/>
  <c r="X558" i="1"/>
  <c r="X563" i="1"/>
  <c r="X567" i="1"/>
  <c r="X571" i="1"/>
  <c r="X575" i="1"/>
  <c r="X709" i="1"/>
  <c r="X714" i="1"/>
  <c r="AG201" i="1"/>
  <c r="AG633" i="1"/>
  <c r="AG268" i="1"/>
  <c r="AG652" i="1"/>
  <c r="AG276" i="1"/>
  <c r="AG461" i="1"/>
  <c r="AG767" i="1"/>
  <c r="AG26" i="1" l="1"/>
  <c r="AG24" i="1"/>
  <c r="AG22" i="1"/>
  <c r="AG631" i="1"/>
  <c r="AG460" i="1"/>
  <c r="AG267" i="1"/>
  <c r="AE772" i="1"/>
  <c r="AE771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36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1" i="1"/>
  <c r="AE510" i="1"/>
  <c r="AE509" i="1"/>
  <c r="AE508" i="1"/>
  <c r="AE507" i="1"/>
  <c r="AE506" i="1"/>
  <c r="AE505" i="1"/>
  <c r="AE504" i="1"/>
  <c r="AE503" i="1"/>
  <c r="AG19" i="1" l="1"/>
  <c r="AG266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271" i="1"/>
  <c r="AE250" i="1"/>
  <c r="AE249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2" i="1"/>
  <c r="AE231" i="1"/>
  <c r="AE230" i="1"/>
  <c r="AE229" i="1"/>
  <c r="AE228" i="1"/>
  <c r="AE212" i="1"/>
  <c r="AE211" i="1"/>
  <c r="AE210" i="1"/>
  <c r="AE209" i="1"/>
  <c r="AE208" i="1"/>
  <c r="AE207" i="1"/>
  <c r="AE206" i="1"/>
  <c r="AE205" i="1"/>
  <c r="AE204" i="1"/>
  <c r="AE203" i="1"/>
  <c r="AG20" i="1" l="1"/>
  <c r="AA633" i="1"/>
  <c r="AA631" i="1" s="1"/>
  <c r="AK767" i="1"/>
  <c r="AK24" i="1" s="1"/>
  <c r="AK652" i="1"/>
  <c r="AK22" i="1" s="1"/>
  <c r="AK646" i="1"/>
  <c r="AK633" i="1"/>
  <c r="AK631" i="1" s="1"/>
  <c r="AK461" i="1"/>
  <c r="AK460" i="1" s="1"/>
  <c r="AK276" i="1"/>
  <c r="AK268" i="1"/>
  <c r="AK219" i="1"/>
  <c r="AK202" i="1"/>
  <c r="AK27" i="1" s="1"/>
  <c r="AK41" i="1"/>
  <c r="AK33" i="1"/>
  <c r="AK28" i="1"/>
  <c r="AI767" i="1"/>
  <c r="AM767" i="1" s="1"/>
  <c r="AI652" i="1"/>
  <c r="AM652" i="1" s="1"/>
  <c r="AI646" i="1"/>
  <c r="AM646" i="1" s="1"/>
  <c r="AI633" i="1"/>
  <c r="AM633" i="1" s="1"/>
  <c r="AI461" i="1"/>
  <c r="AM461" i="1" s="1"/>
  <c r="AI276" i="1"/>
  <c r="AM276" i="1" s="1"/>
  <c r="AI268" i="1"/>
  <c r="AM268" i="1" s="1"/>
  <c r="AI219" i="1"/>
  <c r="AM219" i="1" s="1"/>
  <c r="AI202" i="1"/>
  <c r="AI41" i="1"/>
  <c r="AM41" i="1" s="1"/>
  <c r="AI33" i="1"/>
  <c r="AM33" i="1" s="1"/>
  <c r="AI28" i="1"/>
  <c r="AM28" i="1" s="1"/>
  <c r="AE767" i="1"/>
  <c r="AE652" i="1"/>
  <c r="AE633" i="1"/>
  <c r="AE461" i="1"/>
  <c r="AE276" i="1"/>
  <c r="AE268" i="1"/>
  <c r="AE219" i="1"/>
  <c r="AE202" i="1"/>
  <c r="AE41" i="1"/>
  <c r="AE33" i="1"/>
  <c r="AE28" i="1"/>
  <c r="AA202" i="1"/>
  <c r="AA41" i="1"/>
  <c r="AA33" i="1"/>
  <c r="AA28" i="1"/>
  <c r="AI27" i="1" l="1"/>
  <c r="AM27" i="1" s="1"/>
  <c r="AM202" i="1"/>
  <c r="X28" i="1"/>
  <c r="X33" i="1"/>
  <c r="X202" i="1"/>
  <c r="X41" i="1"/>
  <c r="X268" i="1"/>
  <c r="AI631" i="1"/>
  <c r="X633" i="1"/>
  <c r="X276" i="1"/>
  <c r="X646" i="1"/>
  <c r="AI460" i="1"/>
  <c r="X461" i="1"/>
  <c r="AI22" i="1"/>
  <c r="X22" i="1" s="1"/>
  <c r="X652" i="1"/>
  <c r="X219" i="1"/>
  <c r="AI24" i="1"/>
  <c r="X24" i="1" s="1"/>
  <c r="X767" i="1"/>
  <c r="AG18" i="1"/>
  <c r="AK189" i="1"/>
  <c r="AI193" i="1"/>
  <c r="AM193" i="1" s="1"/>
  <c r="AI201" i="1"/>
  <c r="AE631" i="1"/>
  <c r="AE22" i="1"/>
  <c r="AM22" i="1"/>
  <c r="AK197" i="1"/>
  <c r="AE193" i="1"/>
  <c r="AE24" i="1"/>
  <c r="AM24" i="1"/>
  <c r="AK193" i="1"/>
  <c r="AE460" i="1"/>
  <c r="AE189" i="1"/>
  <c r="AE201" i="1"/>
  <c r="AK201" i="1"/>
  <c r="AK267" i="1"/>
  <c r="AK266" i="1" s="1"/>
  <c r="AK20" i="1" s="1"/>
  <c r="AI267" i="1"/>
  <c r="AM267" i="1" s="1"/>
  <c r="AE267" i="1"/>
  <c r="AA767" i="1"/>
  <c r="AA24" i="1" s="1"/>
  <c r="AA652" i="1"/>
  <c r="AA22" i="1" s="1"/>
  <c r="AA461" i="1"/>
  <c r="AA460" i="1" s="1"/>
  <c r="AA276" i="1"/>
  <c r="AA268" i="1"/>
  <c r="AA219" i="1"/>
  <c r="AA201" i="1" s="1"/>
  <c r="AA26" i="1" s="1"/>
  <c r="X631" i="1" l="1"/>
  <c r="AM631" i="1"/>
  <c r="AM201" i="1"/>
  <c r="X189" i="1"/>
  <c r="AM189" i="1"/>
  <c r="X460" i="1"/>
  <c r="AM460" i="1"/>
  <c r="X193" i="1"/>
  <c r="X27" i="1"/>
  <c r="AI266" i="1"/>
  <c r="AM266" i="1" s="1"/>
  <c r="X267" i="1"/>
  <c r="X201" i="1"/>
  <c r="AI197" i="1"/>
  <c r="AK192" i="1"/>
  <c r="AK26" i="1" s="1"/>
  <c r="AK19" i="1" s="1"/>
  <c r="AK18" i="1" s="1"/>
  <c r="AE197" i="1"/>
  <c r="AE266" i="1"/>
  <c r="AA19" i="1"/>
  <c r="AA267" i="1"/>
  <c r="AA266" i="1" s="1"/>
  <c r="AA20" i="1" s="1"/>
  <c r="X197" i="1" l="1"/>
  <c r="AM197" i="1"/>
  <c r="AE20" i="1"/>
  <c r="AI192" i="1"/>
  <c r="AM192" i="1" s="1"/>
  <c r="AI20" i="1"/>
  <c r="X20" i="1" s="1"/>
  <c r="X266" i="1"/>
  <c r="AM20" i="1"/>
  <c r="AE192" i="1"/>
  <c r="AA18" i="1"/>
  <c r="AE26" i="1" l="1"/>
  <c r="X192" i="1"/>
  <c r="AI26" i="1"/>
  <c r="AM26" i="1" s="1"/>
  <c r="AM19" i="1" l="1"/>
  <c r="AM18" i="1" s="1"/>
  <c r="X26" i="1"/>
  <c r="AI19" i="1"/>
  <c r="AE19" i="1"/>
  <c r="AI18" i="1" l="1"/>
  <c r="X18" i="1" s="1"/>
  <c r="X19" i="1"/>
  <c r="AE18" i="1"/>
</calcChain>
</file>

<file path=xl/sharedStrings.xml><?xml version="1.0" encoding="utf-8"?>
<sst xmlns="http://schemas.openxmlformats.org/spreadsheetml/2006/main" count="4653" uniqueCount="1573">
  <si>
    <t>Приложение  № 3</t>
  </si>
  <si>
    <t>к приказу Минэнерго России</t>
  </si>
  <si>
    <t>от «05» мая 2016 г. № 380</t>
  </si>
  <si>
    <t>Форма 3. План освоения капитальных вложений по инвестиционным проектам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</si>
  <si>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</si>
  <si>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</si>
  <si>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</si>
  <si>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</si>
  <si>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</si>
  <si>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</si>
  <si>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</si>
  <si>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</si>
  <si>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Фактический объем освоения капитальных вложений на 01.01.2015 года, млн рублей (без НДС)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</si>
  <si>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</si>
  <si>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</si>
  <si>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</si>
  <si>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</si>
  <si>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</si>
  <si>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</si>
  <si>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План на 01.01.2017 года</t>
  </si>
  <si>
    <t>Предложение по корректировке утвержденного плана на 01.01.2017 года</t>
  </si>
  <si>
    <t>2016 год</t>
  </si>
  <si>
    <t>2017 год</t>
  </si>
  <si>
    <t>2018 год</t>
  </si>
  <si>
    <t>2019 год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</si>
  <si>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</si>
  <si>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</si>
  <si>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</si>
  <si>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</si>
  <si>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</si>
  <si>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</si>
  <si>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</si>
  <si>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</si>
  <si>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</si>
  <si>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</si>
  <si>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</si>
  <si>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Утвержденный план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</si>
  <si>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</si>
  <si>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</si>
  <si>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</si>
  <si>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</si>
  <si>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</si>
  <si>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</si>
  <si>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</si>
  <si>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</si>
  <si>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</si>
  <si>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</si>
  <si>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</si>
  <si>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</si>
  <si>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</si>
  <si>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</si>
  <si>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</si>
  <si>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</si>
  <si>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</si>
  <si>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</si>
  <si>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</si>
  <si>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</si>
  <si>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</si>
  <si>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</si>
  <si>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</si>
  <si>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</si>
  <si>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</si>
  <si>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</si>
  <si>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</si>
  <si>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</si>
  <si>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</si>
  <si>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</si>
  <si>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</si>
  <si>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</si>
  <si>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</si>
  <si>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</si>
  <si>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</si>
  <si>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</si>
  <si>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</si>
  <si>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</si>
  <si>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</si>
  <si>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</si>
  <si>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</si>
  <si>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</si>
  <si>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</si>
  <si>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</si>
  <si>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</si>
  <si>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</si>
  <si>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</si>
  <si>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</si>
  <si>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</si>
  <si>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</si>
  <si>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</si>
  <si>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</si>
  <si>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</si>
  <si>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</si>
  <si>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</si>
  <si>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</si>
  <si>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</si>
  <si>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</si>
  <si>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</si>
  <si>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</si>
  <si>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</si>
  <si>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</si>
  <si>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</si>
  <si>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</si>
  <si>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</si>
  <si>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</si>
  <si>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</si>
  <si>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</si>
  <si>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</si>
  <si>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</si>
  <si>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</si>
  <si>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</si>
  <si>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</si>
  <si>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</si>
  <si>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</si>
  <si>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</si>
  <si>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</si>
  <si>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</si>
  <si>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</si>
  <si>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</si>
  <si>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</si>
  <si>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</si>
  <si>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</si>
  <si>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</si>
  <si>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</si>
  <si>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</si>
  <si>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</si>
  <si>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</si>
  <si>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</si>
  <si>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</si>
  <si>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</si>
  <si>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</si>
  <si>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</si>
  <si>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</si>
  <si>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</si>
  <si>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</si>
  <si>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</si>
  <si>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</si>
  <si>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</si>
  <si>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</si>
  <si>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 реквизиты решения органа исполнительной власти, утвердившего инвестиционную программу</t>
  </si>
  <si>
    <t>Инвестиционная программа МУП "Воронежская горэлектросеть"</t>
  </si>
  <si>
    <t>город 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</si>
  <si>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</si>
  <si>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</si>
  <si>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</si>
  <si>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</si>
  <si>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</si>
  <si>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</si>
  <si>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</si>
  <si>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</si>
  <si>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</si>
  <si>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</si>
  <si>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</si>
  <si>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</si>
  <si>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</si>
  <si>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</si>
  <si>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</si>
  <si>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</si>
  <si>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</si>
  <si>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</si>
  <si>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</si>
  <si>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</si>
  <si>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</si>
  <si>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</si>
  <si>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</si>
  <si>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</si>
  <si>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</si>
  <si>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</si>
  <si>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</si>
  <si>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</si>
  <si>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</si>
  <si>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</si>
  <si>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договор №1023 от 14.12.2012 г.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</si>
  <si>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</si>
  <si>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</si>
  <si>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</si>
  <si>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</si>
  <si>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F_15/00013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</si>
  <si>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</si>
  <si>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</si>
  <si>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</si>
  <si>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</si>
  <si>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</si>
  <si>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</si>
  <si>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</si>
  <si>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</si>
  <si>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</si>
  <si>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</si>
  <si>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</si>
  <si>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</si>
  <si>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</si>
  <si>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</si>
  <si>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</si>
  <si>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</si>
  <si>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</si>
  <si>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</si>
  <si>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</si>
  <si>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</si>
  <si>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</si>
  <si>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</si>
  <si>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</si>
  <si>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</si>
  <si>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</si>
  <si>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</si>
  <si>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</si>
  <si>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</si>
  <si>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</si>
  <si>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</si>
  <si>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</si>
  <si>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</si>
  <si>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</si>
  <si>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</si>
  <si>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</si>
  <si>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</si>
  <si>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</si>
  <si>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</si>
  <si>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</si>
  <si>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</si>
  <si>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</si>
  <si>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</si>
  <si>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</si>
  <si>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</si>
  <si>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</si>
  <si>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</si>
  <si>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</si>
  <si>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</si>
  <si>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</si>
  <si>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</si>
  <si>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</si>
  <si>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</si>
  <si>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</si>
  <si>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</si>
  <si>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</si>
  <si>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</si>
  <si>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</si>
  <si>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</si>
  <si>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</si>
  <si>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</si>
  <si>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</si>
  <si>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</si>
  <si>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</si>
  <si>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</si>
  <si>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</si>
  <si>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</si>
  <si>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</si>
  <si>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</si>
  <si>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</si>
  <si>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</si>
  <si>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</si>
  <si>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</si>
  <si>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</si>
  <si>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</si>
  <si>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</si>
  <si>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</si>
  <si>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</si>
  <si>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</si>
  <si>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</si>
  <si>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</si>
  <si>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</si>
  <si>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</si>
  <si>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</si>
  <si>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</si>
  <si>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</si>
  <si>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</si>
  <si>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</si>
  <si>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</si>
  <si>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</si>
  <si>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</si>
  <si>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</si>
  <si>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</si>
  <si>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</si>
  <si>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</si>
  <si>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</si>
  <si>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</si>
  <si>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</si>
  <si>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</si>
  <si>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</si>
  <si>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</si>
  <si>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</si>
  <si>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</si>
  <si>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</si>
  <si>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</si>
  <si>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</si>
  <si>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</si>
  <si>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</si>
  <si>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</si>
  <si>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</si>
  <si>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</si>
  <si>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</si>
  <si>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</si>
  <si>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</si>
  <si>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</si>
  <si>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</si>
  <si>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</si>
  <si>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</si>
  <si>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</si>
  <si>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</si>
  <si>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</si>
  <si>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</si>
  <si>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</si>
  <si>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</si>
  <si>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</si>
  <si>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</si>
  <si>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</si>
  <si>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</si>
  <si>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</si>
  <si>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</si>
  <si>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</si>
  <si>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</si>
  <si>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 xml:space="preserve"> Строительство КЛ-1кВ от РУ-0,4 кВ ТП-472 протяженностью L=4х0,35 км. по договору Т.П. (до 670 кВт) №183 от 17.04.2014</t>
  </si>
  <si>
    <t xml:space="preserve"> Реконструкция ТП-938 в части установки двух вакуумных выключателей. по договору Т.П. (свыше 670 кВт) №22 от 24.01.2017</t>
  </si>
  <si>
    <t xml:space="preserve"> Строительство КЛ-10 кВ от ТП-проект. до РП-15 протяженностью L=4х0,67 км. по договору Т.П. (свыше 670 кВт) №90 от 19.02.2015</t>
  </si>
  <si>
    <t xml:space="preserve"> Реконструкция РПС-15 в части установки двух вакуумных выключателей. по договору Т.П. (свыше 670 кВт) №90 от 19.02.2015</t>
  </si>
  <si>
    <t xml:space="preserve"> Реконструкция РП-31 в части установки вакуумного выключателя. по договору Т.П. (свыше 670 кВт) №176 от 24.03.2016</t>
  </si>
  <si>
    <t xml:space="preserve"> Строительство КЛ-1 кВ  протяженностью 4х0,25 км. по договору Т.П. (до 670 кВт) №344 от 03.06.2016</t>
  </si>
  <si>
    <t xml:space="preserve"> Реконструкция ТП-988 в части установки двух рубильников РПС. по договору Т.П. (до 670 кВт) №344 от 03.06.2016</t>
  </si>
  <si>
    <t xml:space="preserve"> Строительство КЛ-10 кВ от РП-68 протяженностью 2,2 км. по договору Т.П. (свыше 670 кВт) №475 от 03.06.2016</t>
  </si>
  <si>
    <t xml:space="preserve"> Реконструкция РП-68 в части установки вакумного выключателя. по договору Т.П. (свыше 670 кВт) №475 от 03.06.2016</t>
  </si>
  <si>
    <t xml:space="preserve"> Строительство 2КЛ-10 кВ от ТП-1095 протяженностью 2х0,85 км. по договору Т.П. (свыше 670 кВт) №508 от 03.08.2016</t>
  </si>
  <si>
    <t xml:space="preserve"> Реконструкция ТП-1095 в части установки двух камер КСО. по договору Т.П. (свыше 670 кВт) №508 от 03.08.2016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</si>
  <si>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</si>
  <si>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</si>
  <si>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 xml:space="preserve"> Строительство ТП с двумя трасформаторами 0,4 МВА. по договору Т.П. (до 670 кВт) №530 от 23.09.2016</t>
  </si>
  <si>
    <t xml:space="preserve"> Строительство КЛ-10 кВ от ТП-проект. до ТП-1364 протяженностью 0,215 км. по договору Т.П. (до 670 кВт) №530 от 23.09.2016</t>
  </si>
  <si>
    <t xml:space="preserve"> Строительство КЛ-10 кВ от ТП-проект. до ТП-1490 протяженностью 0,7 км. по договору Т.П. (до 670 кВт) №530 от 23.09.2016</t>
  </si>
  <si>
    <t xml:space="preserve"> Строительство 4КЛ-1 кВ от ТП-проект. протяженностью 4х0,12 км. по договору Т.П. (до 670 кВт) №530 от 23.09.2016</t>
  </si>
  <si>
    <t xml:space="preserve"> Реконструкция ТП-1364 в части установки ВН. по договору Т.П. (до 670 кВт) №530 от 23.09.2016</t>
  </si>
  <si>
    <t xml:space="preserve"> Реконструкция ТП-1490 в части установки ВН. по договору Т.П. (до 670 кВт) №530 от 23.09.2016</t>
  </si>
  <si>
    <t xml:space="preserve"> Строительство 2КЛ-10 кВ от РП-22 протяженностью 2х1,5 км. по договору Т.П. (до 670 кВт) №531 от 28.06.2016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</si>
  <si>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</si>
  <si>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 xml:space="preserve"> Реконструкция ТП-21 в части замены панели ЩО-70. по договору Т.П. (до 670 кВт) №592 от 26.08.2015</t>
  </si>
  <si>
    <t xml:space="preserve"> Реконструкция ТП-124 в части установки рубильника РПС. по договору Т.П. (до 670 кВт) №592 от 26.08.2015</t>
  </si>
  <si>
    <t xml:space="preserve"> Строительство 2КЛ-1 КВ от ТП-363 протяженностью 2х0,15 км. по договору Т.П. (до 670 кВт) №598 от 06.08.2015</t>
  </si>
  <si>
    <t xml:space="preserve"> Реконструкция ТП-363 в части замены трансформатора с 0,4 МВА на 0,63 МВА.  по договору Т.П. (до 670 кВт) №598 от 06.08.2015</t>
  </si>
  <si>
    <t xml:space="preserve"> Реконструкция ТП-363 в части замены панели ЩО-70.  по договору Т.П. (до 670 кВт) №598 от 06.08.2015</t>
  </si>
  <si>
    <t xml:space="preserve"> Строительство ТП с двумя трасформаторами 0,25 МВА. по договору Т.П. (до 670 кВт) №676 от 20.09.2016</t>
  </si>
  <si>
    <t xml:space="preserve"> Строительство 2КЛ-10 кВ от ТП-проект. до БКТП-508 протяженностью 2х0,55 км. по договору Т.П. (до 670 кВт) №676 от 20.09.2016</t>
  </si>
  <si>
    <t xml:space="preserve"> Строительство КЛ-10 кВ от ТП-проект. до ТП-63 протяженностью 0,54 км. по договору Т.П. (до 670 кВт) №676 от 20.09.2016</t>
  </si>
  <si>
    <t xml:space="preserve"> Реконструкция ТП-63 в части установки ВН. по договору Т.П. (до 670 кВт) №676 от 20.09.2016</t>
  </si>
  <si>
    <t xml:space="preserve"> Строительство ТП с двумя трасформаторами 0,25 МВА. по договору Т.П. (до 670 кВт) №677 от 20.09.2016</t>
  </si>
  <si>
    <t xml:space="preserve"> Строительство КЛ-10 кВ от ТП-проект. до ТП-77 протяженностью 2х0,75 км. по договору Т.П. (до 670 кВт) №677 от 20.09.2016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</si>
  <si>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</si>
  <si>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 xml:space="preserve"> Реконструкция РП-51 в части замены ТТ. по договору Т.П. (до 670 кВт) №677 от 20.09.2016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</si>
  <si>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</si>
  <si>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</si>
  <si>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 xml:space="preserve"> Строительство КЛ-10 кВ от КТП-1154 протяженностью 0,6 км. по договору Т.П. (свыше 670 кВт) №727 от 28.10.2016</t>
  </si>
  <si>
    <t xml:space="preserve"> Строительство КЛ-10 кВ от ТП-560 протяженностью 1 км. по договору Т.П. № от 00.01.1900</t>
  </si>
  <si>
    <t xml:space="preserve"> Реконструкция ТП-560 в части установки одной камеры КСО. по договору Т.П. № от 00.01.1900</t>
  </si>
  <si>
    <t xml:space="preserve"> Строительство ТП с четырмя трасформаторами 1 МВА. по договору Т.П. (свыше 670 кВт) №682 от 10.11.2015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</si>
  <si>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</si>
  <si>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</si>
  <si>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 xml:space="preserve"> Строительство 6КЛ-1 КВ от ТП-1291 протяженностью 6х0,65 км. по договору Т.П. (до 670 кВт) №783 от 12.12.2016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</si>
  <si>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</si>
  <si>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 xml:space="preserve"> Реконструкция ТП-1291 в части замены панелей ЩО-70. по договору Т.П. (до 670 кВт) №783 от 12.12.2016</t>
  </si>
  <si>
    <t xml:space="preserve"> Строительство ТП с двумя трасформаторами 1 МВА. по договору Т.П. (до 670 кВт) №789 от 31.10.2016</t>
  </si>
  <si>
    <t xml:space="preserve"> Строительство КЛ-10 кВ от ТП-проект. до РП-29 протяженностью 2,6 км. по договору Т.П. (до 670 кВт) №789 от 31.10.2016</t>
  </si>
  <si>
    <t xml:space="preserve"> Строительство КЛ-10 кВ от ТП-проект. до ТП-996 протяженностью 2,7 км. по договору Т.П. (до 670 кВт) №789 от 31.10.2016</t>
  </si>
  <si>
    <t xml:space="preserve"> Строительство 10КЛ-1 кВ от ТП-проект. протяженностью  10х0,35 км. по договору Т.П. (до 670 кВт) №789 от 31.10.2016</t>
  </si>
  <si>
    <t>Реконструкция РП-29 в части  установки вакуум. выкл. по договору Т.П. (до 670 кВт) №789 от 31.10.2016</t>
  </si>
  <si>
    <t>Реконструкция ТП-996 в части  установки ВНА. по договору Т.П. (до 670 кВт) №789 от 31.10.2016</t>
  </si>
  <si>
    <t xml:space="preserve"> Строительство ТП с одним трасформатором 0,4 МВА. по договору Т.П. (до 670 кВт) №708 от 23.09.2015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</si>
  <si>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</si>
  <si>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 xml:space="preserve"> Строительство КЛ-10 кВ от ТП-проект. до ТП-996 протяженностью 2,7 км. по договору Т.П. (до 670 кВт) №708 от 23.09.2015</t>
  </si>
  <si>
    <t xml:space="preserve"> Строительство 2КЛ-1 кВ от ТП-проект. протяженностью  2х0,1 км. по договору Т.П. (до 670 кВт) №708 от 23.09.2015</t>
  </si>
  <si>
    <t>Реконструкция РП-65 в части  установки вакуум. выкл. по договору Т.П. (до 670 кВт) №708 от 23.09.2015</t>
  </si>
  <si>
    <t xml:space="preserve"> Строительство 2КЛ-1 кВ от ТП-1281 протяженностью 2х0,4 км. по договору Т.П. (до 670 кВт) №826 от 09.11.2016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</si>
  <si>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</si>
  <si>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одним трансформатором 0,63 МВА. по договору Т.П. (до 670 кВт) №1017 от 18.08.2014</t>
  </si>
  <si>
    <t xml:space="preserve"> Строительство 2КЛ-10 кВ протяженностью 2х0,15 км. по договору Т.П. (до 670 кВт) №1017 от 18.08.2014</t>
  </si>
  <si>
    <t xml:space="preserve"> Строительство КЛ-1 кВ протяженностью 4х0,08 км4 6х0,085 км; 2х0,1 км. по договору Т.П. (до 670 кВт) №1017 от 18.08.2014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</si>
  <si>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</si>
  <si>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2КЛ-10 кВ от ТП-проект. до РП-проект. протяженностью 2х4 км.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</si>
  <si>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</si>
  <si>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</si>
  <si>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</si>
  <si>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</si>
  <si>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Строительство ТП с двумя трансформаторами 1,25 МВА. по договору Т.П. (свыше 670 кВт) №2465 от 31.10.2014</t>
  </si>
  <si>
    <t xml:space="preserve"> Строительство 2КЛ-10 кВ протяженностью 2х0,12 км. по договору Т.П. (свыше 670 кВт) №2465 от 31.10.2014</t>
  </si>
  <si>
    <t xml:space="preserve"> Строительство 16КЛ-1 кВ от ТП-проект. протяженностью 16х0,07 км. по договору Т.П. (свыше 670 кВт) №2465 от 31.10.2014</t>
  </si>
  <si>
    <t xml:space="preserve"> Реконструкция РП-91 в части установки двух панелей  ЩО-70. по договору Т.П. (до 670 кВт) №2555 от 16.02.2015</t>
  </si>
  <si>
    <t xml:space="preserve"> Строительство 4КЛ-10 кВ протяженностью 4х0,52 км. по договору Т.П. (свыше 670 кВт) №2641 от 24.12.2014</t>
  </si>
  <si>
    <t xml:space="preserve"> Реконструкция кВ ТП-143Н в части установки рубильников РПС. по договору Т.П. (до 670 кВт) №71 от 24.04.2015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</si>
  <si>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</si>
  <si>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</si>
  <si>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</si>
  <si>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</si>
  <si>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</si>
  <si>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</si>
  <si>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</si>
  <si>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</si>
  <si>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</si>
  <si>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</si>
  <si>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</si>
  <si>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</si>
  <si>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</si>
  <si>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</si>
  <si>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</si>
  <si>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</si>
  <si>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</si>
  <si>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</si>
  <si>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</si>
  <si>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</si>
  <si>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</si>
  <si>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</si>
  <si>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</si>
  <si>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</si>
  <si>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</si>
  <si>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</si>
  <si>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</si>
  <si>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</si>
  <si>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</si>
  <si>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</si>
  <si>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</si>
  <si>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</si>
  <si>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</si>
  <si>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</si>
  <si>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</si>
  <si>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</si>
  <si>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</si>
  <si>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</si>
  <si>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</si>
  <si>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</si>
  <si>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</si>
  <si>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</si>
  <si>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</si>
  <si>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</si>
  <si>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</si>
  <si>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</si>
  <si>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</si>
  <si>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</si>
  <si>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</si>
  <si>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</si>
  <si>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</si>
  <si>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</si>
  <si>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</si>
  <si>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</si>
  <si>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</si>
  <si>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</si>
  <si>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</si>
  <si>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</si>
  <si>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</si>
  <si>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</si>
  <si>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</si>
  <si>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</si>
  <si>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</si>
  <si>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</si>
  <si>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</si>
  <si>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</si>
  <si>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</si>
  <si>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</si>
  <si>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</si>
  <si>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</si>
  <si>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</si>
  <si>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</si>
  <si>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</si>
  <si>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</si>
  <si>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</si>
  <si>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</si>
  <si>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</si>
  <si>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</si>
  <si>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</si>
  <si>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</si>
  <si>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</si>
  <si>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</si>
  <si>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</si>
  <si>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</si>
  <si>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</si>
  <si>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</si>
  <si>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Реконструкция низковольтного оборудования.Установка рубильника  в ТП-1083</t>
  </si>
  <si>
    <t>Реконструкция низковольтного оборудования.Установка рубильника  в ТП-1290</t>
  </si>
  <si>
    <t>Реконструкция низковольтного оборудования.Установка рубильника  в ТП-688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</si>
  <si>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</si>
  <si>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</si>
  <si>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</si>
  <si>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</si>
  <si>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</si>
  <si>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</si>
  <si>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</si>
  <si>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</si>
  <si>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</si>
  <si>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</si>
  <si>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</si>
  <si>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</si>
  <si>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</si>
  <si>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</si>
  <si>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</si>
  <si>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</si>
  <si>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</si>
  <si>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</si>
  <si>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</si>
  <si>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</si>
  <si>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</si>
  <si>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</si>
  <si>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</si>
  <si>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</si>
  <si>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</si>
  <si>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</si>
  <si>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</si>
  <si>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</si>
  <si>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</si>
  <si>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</si>
  <si>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</si>
  <si>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</si>
  <si>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</si>
  <si>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</si>
  <si>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</si>
  <si>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</si>
  <si>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</si>
  <si>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</si>
  <si>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</si>
  <si>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</si>
  <si>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</si>
  <si>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</si>
  <si>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</si>
  <si>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</si>
  <si>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</si>
  <si>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</si>
  <si>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</si>
  <si>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</si>
  <si>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</si>
  <si>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</si>
  <si>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</si>
  <si>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</si>
  <si>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</si>
  <si>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</si>
  <si>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</si>
  <si>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</si>
  <si>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</si>
  <si>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</si>
  <si>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</si>
  <si>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</si>
  <si>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</si>
  <si>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</si>
  <si>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</si>
  <si>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</si>
  <si>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</si>
  <si>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</si>
  <si>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</si>
  <si>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</si>
  <si>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</si>
  <si>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</si>
  <si>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</si>
  <si>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</si>
  <si>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</si>
  <si>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</si>
  <si>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выключамелей на вакуумные выключатели в РП-45 (11 шт.)</t>
  </si>
  <si>
    <t>F_15/1.3.3.1</t>
  </si>
  <si>
    <t>Замена масляных выключамелей на вакуумные выключатели в РП-36 (7 шт.)</t>
  </si>
  <si>
    <t>F_15/1.3.3.2</t>
  </si>
  <si>
    <t>Замена масляных выключамелей на вакуумные выключатели в РП-31 (8 шт.)</t>
  </si>
  <si>
    <t>F_15/1.3.3.3</t>
  </si>
  <si>
    <t>Замена масляных выключамелей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</si>
  <si>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</si>
  <si>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</si>
  <si>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</si>
  <si>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</si>
  <si>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</si>
  <si>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</si>
  <si>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</si>
  <si>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</si>
  <si>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</si>
  <si>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</si>
  <si>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</si>
  <si>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</si>
  <si>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</si>
  <si>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</si>
  <si>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</si>
  <si>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</si>
  <si>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</si>
  <si>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</si>
  <si>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</si>
  <si>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</si>
  <si>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</si>
  <si>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</si>
  <si>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</si>
  <si>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</si>
  <si>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</si>
  <si>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</si>
  <si>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</si>
  <si>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</si>
  <si>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</si>
  <si>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</si>
  <si>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</si>
  <si>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</si>
  <si>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</si>
  <si>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</si>
  <si>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</si>
  <si>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</si>
  <si>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</si>
  <si>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</si>
  <si>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</si>
  <si>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</si>
  <si>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</si>
  <si>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</si>
  <si>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</si>
  <si>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</si>
  <si>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</si>
  <si>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</si>
  <si>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</si>
  <si>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</si>
  <si>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</si>
  <si>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</si>
  <si>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</si>
  <si>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</si>
  <si>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</si>
  <si>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</si>
  <si>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</si>
  <si>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</si>
  <si>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</si>
  <si>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</si>
  <si>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</si>
  <si>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</si>
  <si>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</si>
  <si>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</si>
  <si>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</si>
  <si>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</si>
  <si>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</si>
  <si>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</si>
  <si>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</si>
  <si>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</si>
  <si>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</si>
  <si>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</si>
  <si>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</si>
  <si>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</si>
  <si>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</si>
  <si>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</si>
  <si>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</si>
  <si>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</si>
  <si>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</si>
  <si>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</si>
  <si>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</si>
  <si>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</si>
  <si>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</si>
  <si>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</si>
  <si>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</si>
  <si>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</si>
  <si>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</si>
  <si>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</si>
  <si>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</si>
  <si>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</si>
  <si>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</si>
  <si>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</si>
  <si>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</si>
  <si>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</si>
  <si>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</si>
  <si>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</si>
  <si>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</si>
  <si>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</si>
  <si>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</si>
  <si>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</si>
  <si>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</si>
  <si>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</si>
  <si>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</si>
  <si>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</si>
  <si>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</si>
  <si>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</si>
  <si>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</si>
  <si>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</si>
  <si>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</si>
  <si>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</si>
  <si>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</si>
  <si>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</si>
  <si>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</si>
  <si>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</si>
  <si>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</si>
  <si>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</si>
  <si>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</si>
  <si>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</si>
  <si>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</si>
  <si>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</si>
  <si>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</si>
  <si>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</si>
  <si>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</si>
  <si>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</si>
  <si>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</si>
  <si>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</si>
  <si>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</si>
  <si>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</si>
  <si>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</si>
  <si>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</si>
  <si>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</si>
  <si>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</si>
  <si>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</si>
  <si>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</si>
  <si>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</si>
  <si>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</si>
  <si>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</si>
  <si>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</si>
  <si>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</si>
  <si>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</si>
  <si>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</si>
  <si>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</si>
  <si>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</si>
  <si>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</si>
  <si>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</si>
  <si>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</si>
  <si>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</si>
  <si>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</si>
  <si>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</si>
  <si>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</si>
  <si>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</si>
  <si>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</si>
  <si>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</si>
  <si>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</si>
  <si>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</si>
  <si>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</si>
  <si>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</si>
  <si>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</si>
  <si>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</si>
  <si>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</si>
  <si>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</si>
  <si>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</si>
  <si>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</si>
  <si>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</si>
  <si>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</si>
  <si>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</si>
  <si>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</si>
  <si>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</si>
  <si>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</si>
  <si>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</si>
  <si>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</si>
  <si>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</si>
  <si>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</si>
  <si>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</si>
  <si>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</si>
  <si>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</si>
  <si>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</si>
  <si>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</si>
  <si>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</si>
  <si>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</si>
  <si>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</si>
  <si>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</si>
  <si>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</si>
  <si>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</si>
  <si>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</si>
  <si>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</si>
  <si>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</si>
  <si>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</si>
  <si>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</si>
  <si>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</si>
  <si>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</si>
  <si>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</si>
  <si>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</si>
  <si>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</si>
  <si>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</si>
  <si>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</si>
  <si>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</si>
  <si>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</si>
  <si>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</si>
  <si>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</si>
  <si>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</si>
  <si>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</si>
  <si>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</si>
  <si>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</si>
  <si>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</si>
  <si>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</si>
  <si>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</si>
  <si>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</si>
  <si>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</si>
  <si>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</si>
  <si>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</si>
  <si>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</si>
  <si>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</si>
  <si>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</si>
  <si>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</si>
  <si>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</si>
  <si>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</si>
  <si>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</si>
  <si>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</si>
  <si>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</si>
  <si>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</si>
  <si>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</si>
  <si>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</si>
  <si>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</si>
  <si>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</si>
  <si>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</si>
  <si>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</si>
  <si>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</si>
  <si>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</si>
  <si>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</si>
  <si>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</si>
  <si>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</si>
  <si>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</si>
  <si>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</si>
  <si>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</si>
  <si>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</si>
  <si>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</si>
  <si>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</si>
  <si>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</si>
  <si>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</si>
  <si>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</si>
  <si>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</si>
  <si>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</si>
  <si>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</si>
  <si>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</si>
  <si>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</si>
  <si>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</si>
  <si>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</si>
  <si>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</si>
  <si>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</si>
  <si>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</si>
  <si>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</si>
  <si>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</si>
  <si>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</si>
  <si>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</si>
  <si>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</si>
  <si>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</si>
  <si>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</si>
  <si>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</si>
  <si>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</si>
  <si>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</si>
  <si>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</si>
  <si>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</si>
  <si>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</si>
  <si>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</si>
  <si>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</si>
  <si>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</si>
  <si>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</si>
  <si>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</si>
  <si>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</si>
  <si>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</si>
  <si>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</si>
  <si>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</si>
  <si>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</si>
  <si>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</si>
  <si>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</si>
  <si>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</si>
  <si>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</si>
  <si>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</si>
  <si>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</si>
  <si>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</si>
  <si>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</si>
  <si>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</si>
  <si>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</si>
  <si>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</si>
  <si>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</si>
  <si>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</si>
  <si>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</si>
  <si>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</si>
  <si>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</si>
  <si>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</si>
  <si>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</si>
  <si>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</si>
  <si>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</si>
  <si>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</si>
  <si>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</si>
  <si>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</si>
  <si>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</si>
  <si>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</si>
  <si>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</si>
  <si>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</si>
  <si>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</si>
  <si>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</si>
  <si>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</si>
  <si>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</si>
  <si>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</si>
  <si>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</si>
  <si>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</si>
  <si>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</si>
  <si>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</si>
  <si>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</si>
  <si>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</si>
  <si>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</si>
  <si>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</si>
  <si>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</si>
  <si>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</si>
  <si>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</si>
  <si>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</si>
  <si>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</si>
  <si>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</si>
  <si>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</si>
  <si>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</si>
  <si>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</si>
  <si>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</si>
  <si>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</si>
  <si>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</si>
  <si>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</si>
  <si>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</si>
  <si>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</si>
  <si>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</si>
  <si>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</si>
  <si>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</si>
  <si>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</si>
  <si>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</si>
  <si>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</si>
  <si>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</si>
  <si>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</si>
  <si>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</si>
  <si>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0,70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</si>
  <si>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</si>
  <si>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</si>
  <si>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</si>
  <si>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</si>
  <si>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</si>
  <si>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</si>
  <si>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</si>
  <si>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</si>
  <si>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</si>
  <si>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</si>
  <si>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</si>
  <si>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</si>
  <si>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</si>
  <si>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</si>
  <si>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</si>
  <si>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</si>
  <si>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</si>
  <si>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</si>
  <si>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</si>
  <si>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</si>
  <si>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</si>
  <si>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</si>
  <si>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</si>
  <si>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</si>
  <si>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</si>
  <si>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</si>
  <si>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</si>
  <si>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</si>
  <si>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</si>
  <si>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</si>
  <si>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</si>
  <si>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</si>
  <si>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</si>
  <si>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</si>
  <si>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</si>
  <si>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</si>
  <si>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</si>
  <si>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</si>
  <si>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</si>
  <si>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</si>
  <si>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</si>
  <si>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</si>
  <si>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</si>
  <si>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</si>
  <si>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</si>
  <si>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</si>
  <si>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</si>
  <si>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</si>
  <si>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</si>
  <si>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</si>
  <si>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</si>
  <si>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</si>
  <si>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</si>
  <si>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</si>
  <si>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</si>
  <si>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</si>
  <si>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</si>
  <si>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</si>
  <si>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</si>
  <si>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</si>
  <si>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</si>
  <si>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</si>
  <si>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</si>
  <si>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</si>
  <si>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</si>
  <si>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</si>
  <si>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</si>
  <si>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</si>
  <si>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</si>
  <si>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</si>
  <si>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</si>
  <si>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</si>
  <si>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</si>
  <si>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</si>
  <si>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</si>
  <si>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</si>
  <si>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</si>
  <si>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</si>
  <si>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</si>
  <si>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</si>
  <si>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</si>
  <si>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</si>
  <si>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</si>
  <si>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</si>
  <si>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</si>
  <si>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</si>
  <si>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</si>
  <si>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</si>
  <si>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</si>
  <si>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</si>
  <si>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</si>
  <si>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</si>
  <si>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</si>
  <si>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</si>
  <si>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</si>
  <si>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</si>
  <si>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</si>
  <si>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</si>
  <si>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</si>
  <si>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</si>
  <si>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</si>
  <si>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</si>
  <si>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</si>
  <si>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</si>
  <si>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</si>
  <si>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</si>
  <si>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</si>
  <si>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</si>
  <si>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</si>
  <si>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</si>
  <si>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</si>
  <si>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</si>
  <si>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</si>
  <si>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</si>
  <si>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</si>
  <si>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</si>
  <si>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</si>
  <si>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</si>
  <si>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</si>
  <si>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</si>
  <si>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</si>
  <si>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</si>
  <si>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</si>
  <si>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</si>
  <si>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</si>
  <si>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</si>
  <si>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</si>
  <si>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</si>
  <si>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</si>
  <si>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</si>
  <si>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</si>
  <si>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</si>
  <si>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</si>
  <si>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</si>
  <si>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</si>
  <si>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</si>
  <si>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</si>
  <si>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</si>
  <si>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</si>
  <si>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</si>
  <si>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</si>
  <si>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</si>
  <si>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</si>
  <si>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</si>
  <si>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</si>
  <si>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</si>
  <si>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</si>
  <si>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</si>
  <si>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</si>
  <si>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</si>
  <si>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</si>
  <si>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</si>
  <si>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</si>
  <si>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</si>
  <si>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</si>
  <si>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</si>
  <si>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</si>
  <si>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</si>
  <si>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</si>
  <si>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</si>
  <si>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</si>
  <si>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</si>
  <si>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</si>
  <si>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</si>
  <si>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</si>
  <si>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</si>
  <si>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</si>
  <si>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</si>
  <si>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</si>
  <si>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</si>
  <si>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</si>
  <si>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</si>
  <si>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</si>
  <si>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</si>
  <si>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</si>
  <si>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</si>
  <si>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</si>
  <si>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</si>
  <si>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</si>
  <si>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</si>
  <si>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</si>
  <si>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</si>
  <si>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</si>
  <si>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</si>
  <si>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</si>
  <si>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</si>
  <si>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</si>
  <si>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</si>
  <si>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</si>
  <si>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</si>
  <si>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</si>
  <si>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</si>
  <si>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</si>
  <si>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</si>
  <si>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</si>
  <si>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</si>
  <si>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</si>
  <si>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</si>
  <si>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</si>
  <si>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</si>
  <si>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</si>
  <si>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</si>
  <si>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</si>
  <si>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</si>
  <si>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</si>
  <si>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</si>
  <si>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</si>
  <si>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</si>
  <si>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</si>
  <si>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</si>
  <si>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</si>
  <si>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</si>
  <si>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</si>
  <si>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</si>
  <si>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</si>
  <si>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</si>
  <si>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</si>
  <si>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</si>
  <si>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</si>
  <si>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</si>
  <si>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</si>
  <si>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</si>
  <si>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</si>
  <si>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</si>
  <si>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</si>
  <si>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</si>
  <si>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</si>
  <si>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</si>
  <si>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</si>
  <si>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</si>
  <si>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</si>
  <si>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</si>
  <si>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</si>
  <si>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</si>
  <si>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</si>
  <si>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</si>
  <si>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</si>
  <si>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</si>
  <si>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</si>
  <si>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</si>
  <si>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</si>
  <si>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</si>
  <si>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</si>
  <si>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</si>
  <si>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</si>
  <si>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</si>
  <si>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</si>
  <si>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</si>
  <si>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</si>
  <si>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</si>
  <si>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</si>
  <si>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</si>
  <si>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</si>
  <si>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</si>
  <si>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</si>
  <si>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</si>
  <si>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</si>
  <si>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</si>
  <si>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</si>
  <si>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</si>
  <si>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</si>
  <si>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</si>
  <si>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</si>
  <si>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</si>
  <si>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</si>
  <si>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</si>
  <si>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</si>
  <si>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</si>
  <si>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</si>
  <si>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</si>
  <si>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Установка автоматизированной информационно-измерительной системы контроля учета электрической энергии (4шт.)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</si>
  <si>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</si>
  <si>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</si>
  <si>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</si>
  <si>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</si>
  <si>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</si>
  <si>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</si>
  <si>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</si>
  <si>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</si>
  <si>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</si>
  <si>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</si>
  <si>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</si>
  <si>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</si>
  <si>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</si>
  <si>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</si>
  <si>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</si>
  <si>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</si>
  <si>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</si>
  <si>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</si>
  <si>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</si>
  <si>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</si>
  <si>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</si>
  <si>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</si>
  <si>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</si>
  <si>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</si>
  <si>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</si>
  <si>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</si>
  <si>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</si>
  <si>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</si>
  <si>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</si>
  <si>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</si>
  <si>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</si>
  <si>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</si>
  <si>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</si>
  <si>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</si>
  <si>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</si>
  <si>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</si>
  <si>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</si>
  <si>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</si>
  <si>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</si>
  <si>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</si>
  <si>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</si>
  <si>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</si>
  <si>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</si>
  <si>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</si>
  <si>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</si>
  <si>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</si>
  <si>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</si>
  <si>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</si>
  <si>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</si>
  <si>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</si>
  <si>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</si>
  <si>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</si>
  <si>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</si>
  <si>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</si>
  <si>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</si>
  <si>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</si>
  <si>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</si>
  <si>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</si>
  <si>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</si>
  <si>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</si>
  <si>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</si>
  <si>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</si>
  <si>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</si>
  <si>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</si>
  <si>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</si>
  <si>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</si>
  <si>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</si>
  <si>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</si>
  <si>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</si>
  <si>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</si>
  <si>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</si>
  <si>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</si>
  <si>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</si>
  <si>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</si>
  <si>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</si>
  <si>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</si>
  <si>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</si>
  <si>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</si>
  <si>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</si>
  <si>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</si>
  <si>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</si>
  <si>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</si>
  <si>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</si>
  <si>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</si>
  <si>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</si>
  <si>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</si>
  <si>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</si>
  <si>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</si>
  <si>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</si>
  <si>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</si>
  <si>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</si>
  <si>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</si>
  <si>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</si>
  <si>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</si>
  <si>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</si>
  <si>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</si>
  <si>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</si>
  <si>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</si>
  <si>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</si>
  <si>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</si>
  <si>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</si>
  <si>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</si>
  <si>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</si>
  <si>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</si>
  <si>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</si>
  <si>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</si>
  <si>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</si>
  <si>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</si>
  <si>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РП-33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</si>
  <si>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</si>
  <si>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</si>
  <si>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</si>
  <si>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</si>
  <si>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 xml:space="preserve">Прокладка 2-х кабелей 3х240 от ПС-44 до РП-69 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</si>
  <si>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</si>
  <si>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</si>
  <si>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</si>
  <si>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</si>
  <si>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</si>
  <si>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</si>
  <si>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</si>
  <si>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</si>
  <si>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</si>
  <si>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</si>
  <si>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</si>
  <si>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</si>
  <si>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</si>
  <si>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</si>
  <si>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</si>
  <si>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</si>
  <si>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</si>
  <si>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</si>
  <si>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</si>
  <si>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</si>
  <si>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</si>
  <si>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</si>
  <si>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</si>
  <si>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</si>
  <si>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</si>
  <si>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</si>
  <si>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</si>
  <si>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</si>
  <si>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</si>
  <si>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</si>
  <si>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</si>
  <si>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</si>
  <si>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</si>
  <si>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</si>
  <si>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</si>
  <si>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</si>
  <si>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</si>
  <si>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</si>
  <si>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</si>
  <si>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</si>
  <si>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</si>
  <si>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</si>
  <si>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</si>
  <si>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</si>
  <si>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</si>
  <si>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</si>
  <si>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</si>
  <si>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</si>
  <si>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</si>
  <si>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</si>
  <si>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</si>
  <si>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</si>
  <si>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</si>
  <si>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</si>
  <si>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</si>
  <si>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</si>
  <si>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</si>
  <si>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</si>
  <si>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</si>
  <si>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</si>
  <si>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</si>
  <si>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</si>
  <si>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</si>
  <si>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</si>
  <si>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</si>
  <si>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</si>
  <si>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</si>
  <si>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</si>
  <si>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</si>
  <si>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</si>
  <si>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</si>
  <si>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</si>
  <si>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</si>
  <si>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</si>
  <si>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</si>
  <si>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</si>
  <si>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</si>
  <si>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</si>
  <si>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</si>
  <si>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</si>
  <si>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(1шт.)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</si>
  <si>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</si>
  <si>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</si>
  <si>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</si>
  <si>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</si>
  <si>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</si>
  <si>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</si>
  <si>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</si>
  <si>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</si>
  <si>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</si>
  <si>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</si>
  <si>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</si>
  <si>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</si>
  <si>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</si>
  <si>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</si>
  <si>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</si>
  <si>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</si>
  <si>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</si>
  <si>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</si>
  <si>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</si>
  <si>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</si>
  <si>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</si>
  <si>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</si>
  <si>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</si>
  <si>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</si>
  <si>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</si>
  <si>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</si>
  <si>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</si>
  <si>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</si>
  <si>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</si>
  <si>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</si>
  <si>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</si>
  <si>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</si>
  <si>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</si>
  <si>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</si>
  <si>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</si>
  <si>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</si>
  <si>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</si>
  <si>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</si>
  <si>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</si>
  <si>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</si>
  <si>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</si>
  <si>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</si>
  <si>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</si>
  <si>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ВЛ-0,4 кВ  от ТП- 744 с монтажом кабельных линий (протяженность по трассе 4,012км)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</si>
  <si>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</si>
  <si>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</si>
  <si>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</si>
  <si>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</si>
  <si>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ВЛ-0,4 кВ ТП-154 (протяженность по трассе 0,08 км)</t>
  </si>
  <si>
    <t>F_15/1.1.1.7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</si>
  <si>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</si>
  <si>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</si>
  <si>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</si>
  <si>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</si>
  <si>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</si>
  <si>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</si>
  <si>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</si>
  <si>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</si>
  <si>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</si>
  <si>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</si>
  <si>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</si>
  <si>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</si>
  <si>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</si>
  <si>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</si>
  <si>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</si>
  <si>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</si>
  <si>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Вынос ВЛ-0,4 кВ  ТП-1423 из зоны строительства по ул. Майская, 18 (договор №  871 от 09.11.2015 г., протяженность - 0,14 км)</t>
  </si>
  <si>
    <t>Вынос ВЛ-0,4 кВ  ТП-188 из зоны строительства по ул. Московский пр., 48 (договор №  206 от 30.03.2016 г., протяженность - 0,155 км)</t>
  </si>
  <si>
    <t>Вынос ВЛ-0,4 кВ  КТП-312 из зоны строительства п. Маклок (договор №  556 от 23.06.2016 г., протяженность - 0,258 км)</t>
  </si>
  <si>
    <t>Вынос ВЛ-0,4 кВ  РП-77 из зоны строительства по ул. Московский пр., 179 (договор № 534 от 31.05.2016 г., протяженность - 0,194 км)</t>
  </si>
  <si>
    <t>Вынос ВЛ-0,4 кВ  ТП-393 из зоны строительства по ул. Дорожная, 7 (договор № 569 от 15.07.2016 г., протяженность - 0,528 км)</t>
  </si>
  <si>
    <t>Вынос КЛ-6 кВ ТП-131 - ТП-543 из зоны строительства по ул. Космонавтов, 23/в (договор № 625 от 25.08.2015 г., протяженность - 0,124 км)</t>
  </si>
  <si>
    <t>Вынос КЛ-6 кВ ТП-40 - ТП-741 из зоны строительства по ул. 45 Стрелковой Дивизии, 62 (договор № 987 от 14.01.2016 г., протяженность - 0,145 км)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</si>
  <si>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</si>
  <si>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G_16/00033</t>
  </si>
  <si>
    <t>G_16/00034</t>
  </si>
  <si>
    <t>G_16/00035</t>
  </si>
  <si>
    <t>G_16/00036</t>
  </si>
  <si>
    <t>G_16/00037</t>
  </si>
  <si>
    <t>G_16/00038</t>
  </si>
  <si>
    <t>G_16/00039</t>
  </si>
  <si>
    <t>G_16/00040</t>
  </si>
  <si>
    <t>нд</t>
  </si>
  <si>
    <t>Реконструкция высоковольтного оборудования в ТП-398,ТП-802 (2 шт.)</t>
  </si>
  <si>
    <t>G_16/1.3.7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</si>
  <si>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</si>
  <si>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</si>
  <si>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</si>
  <si>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</si>
  <si>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</si>
  <si>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</si>
  <si>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</si>
  <si>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</si>
  <si>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</si>
  <si>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</si>
  <si>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</si>
  <si>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</si>
  <si>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</si>
  <si>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H_17/2.1.3.7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</si>
  <si>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</si>
  <si>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</si>
  <si>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</si>
  <si>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</si>
  <si>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</si>
  <si>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</si>
  <si>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</si>
  <si>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Реконструкция ВЛ-0,4 кВ  ТП-23 (демонтаж опор)</t>
  </si>
  <si>
    <t>G_16/00045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</si>
  <si>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</si>
  <si>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</si>
  <si>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</si>
  <si>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</si>
  <si>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</si>
  <si>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</si>
  <si>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</si>
  <si>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</si>
  <si>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</si>
  <si>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</si>
  <si>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</si>
  <si>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</si>
  <si>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Прокладка КЛ-0,4кВ  от ТП-1303 до опоры №1,№53 ул.Степная (протяженностью по трассе 0,05 км)</t>
  </si>
  <si>
    <t>G_16/2.2.7.6</t>
  </si>
  <si>
    <t>Реконструкция ВЛ-0,4 кВ  ТП-1808 (протяженность по трассе 0,087)</t>
  </si>
  <si>
    <t>G_16/00046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</si>
  <si>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</si>
  <si>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</si>
  <si>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</si>
  <si>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</si>
  <si>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З</t>
  </si>
  <si>
    <t>С</t>
  </si>
  <si>
    <t>П</t>
  </si>
  <si>
    <t>C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</si>
  <si>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</si>
  <si>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</si>
  <si>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Строительство по технологическому присоединению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</si>
  <si>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</si>
  <si>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</si>
  <si>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</si>
  <si>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>Работа отменена</t>
  </si>
  <si>
    <t xml:space="preserve">Корректировка объемов и стоимости закупаемого оборудования и техники 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</si>
  <si>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219.</t>
  </si>
  <si>
    <t>H_17/00001</t>
  </si>
  <si>
    <t>H_17/00002</t>
  </si>
  <si>
    <t>E_19/00001</t>
  </si>
  <si>
    <t>H_17/00003</t>
  </si>
  <si>
    <t>H_17/00004</t>
  </si>
  <si>
    <t>H_17/00005</t>
  </si>
  <si>
    <t>H_17/00006</t>
  </si>
  <si>
    <t>H_17/00007</t>
  </si>
  <si>
    <t>E_18/00001</t>
  </si>
  <si>
    <t>E_18/00002</t>
  </si>
  <si>
    <t>E_18/00003</t>
  </si>
  <si>
    <t>E_18/00004</t>
  </si>
  <si>
    <t>E_18/00005</t>
  </si>
  <si>
    <t>E_18/00006</t>
  </si>
  <si>
    <t>H_17/00008</t>
  </si>
  <si>
    <t>H_17/00009</t>
  </si>
  <si>
    <t>H_17/00010</t>
  </si>
  <si>
    <t>H_17/00011</t>
  </si>
  <si>
    <t>H_17/00012</t>
  </si>
  <si>
    <t>H_17/00013</t>
  </si>
  <si>
    <t>H_17/00014</t>
  </si>
  <si>
    <t>H_17/00015</t>
  </si>
  <si>
    <t>H_17/00016</t>
  </si>
  <si>
    <t>H_17/00017</t>
  </si>
  <si>
    <t>H_17/00018</t>
  </si>
  <si>
    <t>H_17/00019</t>
  </si>
  <si>
    <t>H_17/00020</t>
  </si>
  <si>
    <t>H_17/00021</t>
  </si>
  <si>
    <t>H_17/00022</t>
  </si>
  <si>
    <t>H_17/00023</t>
  </si>
  <si>
    <t>H_17/00024</t>
  </si>
  <si>
    <t>H_17/00025</t>
  </si>
  <si>
    <t>H_17/00026</t>
  </si>
  <si>
    <t>H_17/00027</t>
  </si>
  <si>
    <t>H_17/00028</t>
  </si>
  <si>
    <t>E_18/00007</t>
  </si>
  <si>
    <t>E_18/00008</t>
  </si>
  <si>
    <t>H_17/00029</t>
  </si>
  <si>
    <t>H_17/00030</t>
  </si>
  <si>
    <t>H_17/00031</t>
  </si>
  <si>
    <t>E_18/00009</t>
  </si>
  <si>
    <t>E_18/00010</t>
  </si>
  <si>
    <t>E_18/00011</t>
  </si>
  <si>
    <t>H_17/00032</t>
  </si>
  <si>
    <t>H_17/00033</t>
  </si>
  <si>
    <t>H_17/00034</t>
  </si>
  <si>
    <t>H_17/00035</t>
  </si>
  <si>
    <t>H_17/00036</t>
  </si>
  <si>
    <t>H_17/00037</t>
  </si>
  <si>
    <t>H_17/00038</t>
  </si>
  <si>
    <t>H_17/00039</t>
  </si>
  <si>
    <t>H_17/00040</t>
  </si>
  <si>
    <t>H_17/00041</t>
  </si>
  <si>
    <t>H_17/00042</t>
  </si>
  <si>
    <t>H_17/00043</t>
  </si>
  <si>
    <t>H_17/00044</t>
  </si>
  <si>
    <t>H_17/00045</t>
  </si>
  <si>
    <t>H_17/00046</t>
  </si>
  <si>
    <t>H_17/00047</t>
  </si>
  <si>
    <t>E_18/00012</t>
  </si>
  <si>
    <t>E_18/00013</t>
  </si>
  <si>
    <t>E_18/00014</t>
  </si>
  <si>
    <t>H_17/00048</t>
  </si>
  <si>
    <t>H_17/00049</t>
  </si>
  <si>
    <t>H_17/00050</t>
  </si>
  <si>
    <t>H_17/00051</t>
  </si>
  <si>
    <t>H_17/00052</t>
  </si>
  <si>
    <t>H_17/00053</t>
  </si>
  <si>
    <t>G_16/00041</t>
  </si>
  <si>
    <t>G_16/00042</t>
  </si>
  <si>
    <t>G_16/00043</t>
  </si>
  <si>
    <t>H_17/00054</t>
  </si>
  <si>
    <t>G_16/00044</t>
  </si>
  <si>
    <t>H_17/00055</t>
  </si>
  <si>
    <t>2015 год</t>
  </si>
  <si>
    <t>29.9</t>
  </si>
  <si>
    <t>29.10</t>
  </si>
  <si>
    <t>План на 01.01.2016 года</t>
  </si>
  <si>
    <t>Освоение капитальных вложений 2015 года в прогнозных ценах соответствующих лет, млн рублей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</si>
</sst>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  <numFmt numFmtId="173" formatCode="#,##0.00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761">
    <xf numFmtId="0" fontId="0" fillId="0" borderId="0"/>
    <xf numFmtId="0" fontId="2" fillId="0" borderId="0"/>
    <xf numFmtId="0" fontId="2" fillId="0" borderId="0"/>
    <xf numFmtId="0" fontId="4" fillId="0" borderId="0"/>
    <xf numFmtId="165" fontId="8" fillId="3" borderId="0">
      <alignment vertical="top"/>
    </xf>
    <xf numFmtId="38" fontId="9" fillId="0" borderId="0">
      <alignment vertical="top"/>
    </xf>
    <xf numFmtId="166" fontId="10" fillId="4" borderId="14" applyNumberFormat="0" applyFont="0">
      <alignment shrinkToFit="1"/>
      <protection locked="0"/>
    </xf>
    <xf numFmtId="0" fontId="10" fillId="0" borderId="0"/>
    <xf numFmtId="166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7" fontId="10" fillId="5" borderId="0" applyFont="0" applyBorder="0">
      <alignment horizontal="center" vertical="center" shrinkToFit="1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166" fontId="11" fillId="0" borderId="15">
      <protection locked="0"/>
    </xf>
    <xf numFmtId="0" fontId="13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14" fillId="7" borderId="0" applyNumberFormat="0" applyBorder="0" applyAlignment="0" applyProtection="0"/>
    <xf numFmtId="166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14" fillId="9" borderId="0" applyNumberFormat="0" applyBorder="0" applyAlignment="0" applyProtection="0"/>
    <xf numFmtId="166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14" fillId="11" borderId="0" applyNumberFormat="0" applyBorder="0" applyAlignment="0" applyProtection="0"/>
    <xf numFmtId="166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14" fillId="13" borderId="0" applyNumberFormat="0" applyBorder="0" applyAlignment="0" applyProtection="0"/>
    <xf numFmtId="166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14" fillId="15" borderId="0" applyNumberFormat="0" applyBorder="0" applyAlignment="0" applyProtection="0"/>
    <xf numFmtId="166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14" fillId="17" borderId="0" applyNumberFormat="0" applyBorder="0" applyAlignment="0" applyProtection="0"/>
    <xf numFmtId="16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14" fillId="19" borderId="0" applyNumberFormat="0" applyBorder="0" applyAlignment="0" applyProtection="0"/>
    <xf numFmtId="16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14" fillId="21" borderId="0" applyNumberFormat="0" applyBorder="0" applyAlignment="0" applyProtection="0"/>
    <xf numFmtId="166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14" fillId="23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14" fillId="13" borderId="0" applyNumberFormat="0" applyBorder="0" applyAlignment="0" applyProtection="0"/>
    <xf numFmtId="166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14" fillId="19" borderId="0" applyNumberFormat="0" applyBorder="0" applyAlignment="0" applyProtection="0"/>
    <xf numFmtId="16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14" fillId="25" borderId="0" applyNumberFormat="0" applyBorder="0" applyAlignment="0" applyProtection="0"/>
    <xf numFmtId="166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7" borderId="0" applyNumberFormat="0" applyBorder="0" applyAlignment="0" applyProtection="0"/>
    <xf numFmtId="166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1" borderId="0" applyNumberFormat="0" applyBorder="0" applyAlignment="0" applyProtection="0"/>
    <xf numFmtId="166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3" borderId="0" applyNumberFormat="0" applyBorder="0" applyAlignment="0" applyProtection="0"/>
    <xf numFmtId="166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9" borderId="0" applyNumberFormat="0" applyBorder="0" applyAlignment="0" applyProtection="0"/>
    <xf numFmtId="166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1" borderId="0" applyNumberFormat="0" applyBorder="0" applyAlignment="0" applyProtection="0"/>
    <xf numFmtId="166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3" borderId="0" applyNumberFormat="0" applyBorder="0" applyAlignment="0" applyProtection="0"/>
    <xf numFmtId="166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6" fontId="21" fillId="0" borderId="0" applyFont="0" applyFill="0" applyBorder="0" applyAlignment="0" applyProtection="0"/>
    <xf numFmtId="166" fontId="9" fillId="0" borderId="0">
      <alignment vertical="top"/>
    </xf>
    <xf numFmtId="38" fontId="9" fillId="0" borderId="0">
      <alignment vertical="top"/>
    </xf>
    <xf numFmtId="0" fontId="22" fillId="0" borderId="0"/>
    <xf numFmtId="166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3" fillId="0" borderId="0"/>
    <xf numFmtId="166" fontId="13" fillId="0" borderId="0"/>
    <xf numFmtId="0" fontId="2" fillId="0" borderId="0"/>
    <xf numFmtId="166" fontId="10" fillId="0" borderId="0"/>
    <xf numFmtId="166" fontId="10" fillId="0" borderId="0"/>
    <xf numFmtId="166" fontId="24" fillId="0" borderId="0"/>
    <xf numFmtId="0" fontId="2" fillId="0" borderId="0"/>
    <xf numFmtId="0" fontId="2" fillId="0" borderId="0"/>
    <xf numFmtId="166" fontId="9" fillId="0" borderId="0"/>
    <xf numFmtId="166" fontId="4" fillId="0" borderId="0"/>
    <xf numFmtId="0" fontId="1" fillId="0" borderId="0"/>
    <xf numFmtId="166" fontId="25" fillId="0" borderId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0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NumberFormat="0">
      <alignment horizontal="left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4" fontId="9" fillId="53" borderId="17" applyNumberFormat="0" applyProtection="0">
      <alignment horizontal="right" vertical="center"/>
    </xf>
    <xf numFmtId="4" fontId="9" fillId="53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2" borderId="17" applyNumberFormat="0" applyProtection="0">
      <alignment horizontal="left" vertical="center" indent="1"/>
    </xf>
    <xf numFmtId="4" fontId="9" fillId="62" borderId="17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166" fontId="27" fillId="65" borderId="17" applyNumberFormat="0" applyProtection="0">
      <alignment horizontal="left" vertical="center" indent="1"/>
    </xf>
    <xf numFmtId="166" fontId="27" fillId="65" borderId="17" applyNumberFormat="0" applyProtection="0">
      <alignment horizontal="left" vertical="center" indent="1"/>
    </xf>
    <xf numFmtId="166" fontId="27" fillId="65" borderId="17" applyNumberFormat="0" applyProtection="0">
      <alignment horizontal="left" vertical="center" indent="1"/>
    </xf>
    <xf numFmtId="166" fontId="27" fillId="65" borderId="17" applyNumberFormat="0" applyProtection="0">
      <alignment horizontal="left" vertical="center" indent="1"/>
    </xf>
    <xf numFmtId="166" fontId="27" fillId="66" borderId="17" applyNumberFormat="0" applyProtection="0">
      <alignment horizontal="left" vertical="center" indent="1"/>
    </xf>
    <xf numFmtId="166" fontId="27" fillId="66" borderId="17" applyNumberFormat="0" applyProtection="0">
      <alignment horizontal="left" vertical="center" indent="1"/>
    </xf>
    <xf numFmtId="166" fontId="27" fillId="66" borderId="17" applyNumberFormat="0" applyProtection="0">
      <alignment horizontal="left" vertical="center" indent="1"/>
    </xf>
    <xf numFmtId="166" fontId="27" fillId="66" borderId="17" applyNumberFormat="0" applyProtection="0">
      <alignment horizontal="left" vertical="center" indent="1"/>
    </xf>
    <xf numFmtId="166" fontId="27" fillId="67" borderId="17" applyNumberFormat="0" applyProtection="0">
      <alignment horizontal="left" vertical="center" indent="1"/>
    </xf>
    <xf numFmtId="166" fontId="27" fillId="67" borderId="17" applyNumberFormat="0" applyProtection="0">
      <alignment horizontal="left" vertical="center" indent="1"/>
    </xf>
    <xf numFmtId="166" fontId="27" fillId="67" borderId="17" applyNumberFormat="0" applyProtection="0">
      <alignment horizontal="left" vertical="center" indent="1"/>
    </xf>
    <xf numFmtId="166" fontId="27" fillId="67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0" fontId="28" fillId="68" borderId="19" applyNumberFormat="0">
      <protection locked="0"/>
    </xf>
    <xf numFmtId="0" fontId="29" fillId="69" borderId="20" applyBorder="0"/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27" fillId="52" borderId="17" applyNumberFormat="0" applyProtection="0">
      <alignment horizontal="left" vertical="center" indent="1"/>
    </xf>
    <xf numFmtId="166" fontId="9" fillId="0" borderId="0"/>
    <xf numFmtId="0" fontId="30" fillId="71" borderId="3"/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6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4" borderId="0" applyNumberFormat="0" applyBorder="0" applyAlignment="0" applyProtection="0"/>
    <xf numFmtId="166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6" borderId="0" applyNumberFormat="0" applyBorder="0" applyAlignment="0" applyProtection="0"/>
    <xf numFmtId="166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8" borderId="0" applyNumberFormat="0" applyBorder="0" applyAlignment="0" applyProtection="0"/>
    <xf numFmtId="166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9" borderId="0" applyNumberFormat="0" applyBorder="0" applyAlignment="0" applyProtection="0"/>
    <xf numFmtId="166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1" borderId="0" applyNumberFormat="0" applyBorder="0" applyAlignment="0" applyProtection="0"/>
    <xf numFmtId="166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80" borderId="0" applyNumberFormat="0" applyBorder="0" applyAlignment="0" applyProtection="0"/>
    <xf numFmtId="166" fontId="15" fillId="79" borderId="0" applyNumberFormat="0" applyBorder="0" applyAlignment="0" applyProtection="0"/>
    <xf numFmtId="0" fontId="15" fillId="79" borderId="0" applyNumberFormat="0" applyBorder="0" applyAlignment="0" applyProtection="0"/>
    <xf numFmtId="168" fontId="33" fillId="0" borderId="21">
      <protection locked="0"/>
    </xf>
    <xf numFmtId="0" fontId="34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6" borderId="22" applyNumberFormat="0" applyAlignment="0" applyProtection="0"/>
    <xf numFmtId="166" fontId="9" fillId="17" borderId="22" applyNumberFormat="0" applyAlignment="0" applyProtection="0"/>
    <xf numFmtId="166" fontId="34" fillId="16" borderId="22" applyNumberFormat="0" applyAlignment="0" applyProtection="0"/>
    <xf numFmtId="0" fontId="34" fillId="16" borderId="22" applyNumberFormat="0" applyAlignment="0" applyProtection="0"/>
    <xf numFmtId="0" fontId="35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1" borderId="17" applyNumberFormat="0" applyAlignment="0" applyProtection="0"/>
    <xf numFmtId="166" fontId="9" fillId="82" borderId="17" applyNumberFormat="0" applyAlignment="0" applyProtection="0"/>
    <xf numFmtId="166" fontId="35" fillId="81" borderId="17" applyNumberFormat="0" applyAlignment="0" applyProtection="0"/>
    <xf numFmtId="0" fontId="35" fillId="81" borderId="17" applyNumberFormat="0" applyAlignment="0" applyProtection="0"/>
    <xf numFmtId="0" fontId="36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1" borderId="22" applyNumberFormat="0" applyAlignment="0" applyProtection="0"/>
    <xf numFmtId="166" fontId="9" fillId="82" borderId="22" applyNumberFormat="0" applyAlignment="0" applyProtection="0"/>
    <xf numFmtId="166" fontId="36" fillId="81" borderId="22" applyNumberFormat="0" applyAlignment="0" applyProtection="0"/>
    <xf numFmtId="0" fontId="36" fillId="81" borderId="22" applyNumberFormat="0" applyAlignment="0" applyProtection="0"/>
    <xf numFmtId="166" fontId="37" fillId="0" borderId="0" applyBorder="0">
      <alignment horizontal="center" vertical="center" wrapText="1"/>
    </xf>
    <xf numFmtId="0" fontId="38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166" fontId="9" fillId="0" borderId="24" applyNumberFormat="0" applyFill="0" applyAlignment="0" applyProtection="0"/>
    <xf numFmtId="166" fontId="9" fillId="0" borderId="24" applyNumberFormat="0" applyFill="0" applyAlignment="0" applyProtection="0"/>
    <xf numFmtId="166" fontId="9" fillId="0" borderId="24" applyNumberFormat="0" applyFill="0" applyAlignment="0" applyProtection="0"/>
    <xf numFmtId="166" fontId="9" fillId="0" borderId="24" applyNumberFormat="0" applyFill="0" applyAlignment="0" applyProtection="0"/>
    <xf numFmtId="166" fontId="40" fillId="0" borderId="24" applyNumberFormat="0" applyFill="0" applyAlignment="0" applyProtection="0"/>
    <xf numFmtId="166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1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2" fillId="0" borderId="26" applyBorder="0">
      <alignment horizontal="center" vertical="center" wrapText="1"/>
    </xf>
    <xf numFmtId="166" fontId="42" fillId="0" borderId="26" applyBorder="0">
      <alignment horizontal="center" vertical="center" wrapText="1"/>
    </xf>
    <xf numFmtId="168" fontId="43" fillId="83" borderId="21"/>
    <xf numFmtId="4" fontId="44" fillId="4" borderId="3" applyBorder="0">
      <alignment horizontal="right"/>
    </xf>
    <xf numFmtId="4" fontId="44" fillId="4" borderId="3" applyBorder="0">
      <alignment horizontal="right"/>
    </xf>
    <xf numFmtId="49" fontId="45" fillId="0" borderId="0" applyBorder="0">
      <alignment vertical="center"/>
    </xf>
    <xf numFmtId="0" fontId="46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9" fillId="0" borderId="27" applyNumberFormat="0" applyFill="0" applyAlignment="0" applyProtection="0"/>
    <xf numFmtId="166" fontId="46" fillId="0" borderId="27" applyNumberFormat="0" applyFill="0" applyAlignment="0" applyProtection="0"/>
    <xf numFmtId="0" fontId="46" fillId="0" borderId="27" applyNumberFormat="0" applyFill="0" applyAlignment="0" applyProtection="0"/>
    <xf numFmtId="3" fontId="43" fillId="0" borderId="3" applyBorder="0">
      <alignment vertical="center"/>
    </xf>
    <xf numFmtId="3" fontId="43" fillId="0" borderId="3" applyBorder="0">
      <alignment vertical="center"/>
    </xf>
    <xf numFmtId="0" fontId="47" fillId="84" borderId="28" applyNumberFormat="0" applyAlignment="0" applyProtection="0"/>
    <xf numFmtId="166" fontId="9" fillId="84" borderId="28" applyNumberFormat="0" applyAlignment="0" applyProtection="0"/>
    <xf numFmtId="166" fontId="9" fillId="84" borderId="28" applyNumberFormat="0" applyAlignment="0" applyProtection="0"/>
    <xf numFmtId="166" fontId="9" fillId="84" borderId="28" applyNumberFormat="0" applyAlignment="0" applyProtection="0"/>
    <xf numFmtId="166" fontId="9" fillId="84" borderId="28" applyNumberFormat="0" applyAlignment="0" applyProtection="0"/>
    <xf numFmtId="166" fontId="9" fillId="85" borderId="28" applyNumberFormat="0" applyAlignment="0" applyProtection="0"/>
    <xf numFmtId="166" fontId="47" fillId="84" borderId="28" applyNumberFormat="0" applyAlignment="0" applyProtection="0"/>
    <xf numFmtId="0" fontId="47" fillId="84" borderId="28" applyNumberFormat="0" applyAlignment="0" applyProtection="0"/>
    <xf numFmtId="166" fontId="48" fillId="0" borderId="0">
      <alignment horizontal="center" vertical="top" wrapText="1"/>
    </xf>
    <xf numFmtId="166" fontId="49" fillId="0" borderId="0">
      <alignment horizontal="center" vertical="center" wrapText="1"/>
    </xf>
    <xf numFmtId="166" fontId="50" fillId="3" borderId="0" applyFill="0">
      <alignment wrapText="1"/>
    </xf>
    <xf numFmtId="0" fontId="51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53" fillId="87" borderId="0" applyNumberFormat="0" applyBorder="0" applyAlignment="0" applyProtection="0"/>
    <xf numFmtId="166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54" fillId="0" borderId="0"/>
    <xf numFmtId="166" fontId="54" fillId="0" borderId="0"/>
    <xf numFmtId="0" fontId="2" fillId="0" borderId="0"/>
    <xf numFmtId="0" fontId="54" fillId="0" borderId="0"/>
    <xf numFmtId="166" fontId="54" fillId="0" borderId="0"/>
    <xf numFmtId="166" fontId="54" fillId="0" borderId="0"/>
    <xf numFmtId="0" fontId="54" fillId="0" borderId="0"/>
    <xf numFmtId="0" fontId="10" fillId="0" borderId="0"/>
    <xf numFmtId="166" fontId="54" fillId="0" borderId="0"/>
    <xf numFmtId="0" fontId="9" fillId="0" borderId="0"/>
    <xf numFmtId="166" fontId="54" fillId="0" borderId="0"/>
    <xf numFmtId="0" fontId="54" fillId="0" borderId="0"/>
    <xf numFmtId="166" fontId="54" fillId="0" borderId="0"/>
    <xf numFmtId="166" fontId="54" fillId="0" borderId="0"/>
    <xf numFmtId="0" fontId="10" fillId="0" borderId="0"/>
    <xf numFmtId="0" fontId="10" fillId="0" borderId="0"/>
    <xf numFmtId="0" fontId="10" fillId="0" borderId="0"/>
    <xf numFmtId="166" fontId="27" fillId="0" borderId="0"/>
    <xf numFmtId="0" fontId="54" fillId="0" borderId="0"/>
    <xf numFmtId="166" fontId="54" fillId="0" borderId="0"/>
    <xf numFmtId="166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27" fillId="0" borderId="0"/>
    <xf numFmtId="0" fontId="4" fillId="0" borderId="0"/>
    <xf numFmtId="0" fontId="9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9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27" fillId="0" borderId="0"/>
    <xf numFmtId="166" fontId="33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6" fontId="33" fillId="0" borderId="0"/>
    <xf numFmtId="0" fontId="10" fillId="0" borderId="0"/>
    <xf numFmtId="0" fontId="10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4" fillId="0" borderId="0"/>
    <xf numFmtId="16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/>
    <xf numFmtId="16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" fillId="0" borderId="0"/>
    <xf numFmtId="0" fontId="2" fillId="0" borderId="0"/>
    <xf numFmtId="166" fontId="33" fillId="0" borderId="0"/>
    <xf numFmtId="0" fontId="10" fillId="0" borderId="0"/>
    <xf numFmtId="166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6" fontId="4" fillId="0" borderId="0"/>
    <xf numFmtId="0" fontId="2" fillId="0" borderId="0"/>
    <xf numFmtId="0" fontId="54" fillId="0" borderId="0"/>
    <xf numFmtId="166" fontId="33" fillId="0" borderId="0"/>
    <xf numFmtId="0" fontId="2" fillId="0" borderId="0"/>
    <xf numFmtId="166" fontId="33" fillId="0" borderId="0"/>
    <xf numFmtId="166" fontId="33" fillId="0" borderId="0"/>
    <xf numFmtId="166" fontId="33" fillId="0" borderId="0"/>
    <xf numFmtId="0" fontId="54" fillId="0" borderId="0"/>
    <xf numFmtId="0" fontId="5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56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2" fillId="0" borderId="0"/>
    <xf numFmtId="166" fontId="55" fillId="0" borderId="0"/>
    <xf numFmtId="0" fontId="54" fillId="0" borderId="0"/>
    <xf numFmtId="166" fontId="54" fillId="0" borderId="0"/>
    <xf numFmtId="166" fontId="54" fillId="0" borderId="0"/>
    <xf numFmtId="0" fontId="56" fillId="0" borderId="0"/>
    <xf numFmtId="0" fontId="5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0" fontId="1" fillId="0" borderId="0"/>
    <xf numFmtId="0" fontId="1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7" fillId="0" borderId="0"/>
    <xf numFmtId="166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166" fontId="54" fillId="0" borderId="0"/>
    <xf numFmtId="0" fontId="4" fillId="0" borderId="0"/>
    <xf numFmtId="0" fontId="54" fillId="0" borderId="0"/>
    <xf numFmtId="0" fontId="2" fillId="0" borderId="0"/>
    <xf numFmtId="166" fontId="54" fillId="0" borderId="0"/>
    <xf numFmtId="166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8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9" borderId="0" applyNumberFormat="0" applyBorder="0" applyAlignment="0" applyProtection="0"/>
    <xf numFmtId="166" fontId="58" fillId="8" borderId="0" applyNumberFormat="0" applyBorder="0" applyAlignment="0" applyProtection="0"/>
    <xf numFmtId="0" fontId="58" fillId="8" borderId="0" applyNumberFormat="0" applyBorder="0" applyAlignment="0" applyProtection="0"/>
    <xf numFmtId="169" fontId="59" fillId="4" borderId="29" applyNumberFormat="0" applyBorder="0" applyAlignment="0">
      <alignment vertical="center"/>
      <protection locked="0"/>
    </xf>
    <xf numFmtId="0" fontId="60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27" fillId="51" borderId="16" applyNumberFormat="0" applyFont="0" applyAlignment="0" applyProtection="0"/>
    <xf numFmtId="166" fontId="9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0" fontId="13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166" fontId="9" fillId="51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30" applyNumberFormat="0" applyFill="0" applyAlignment="0" applyProtection="0"/>
    <xf numFmtId="166" fontId="9" fillId="0" borderId="30" applyNumberFormat="0" applyFill="0" applyAlignment="0" applyProtection="0"/>
    <xf numFmtId="166" fontId="9" fillId="0" borderId="30" applyNumberFormat="0" applyFill="0" applyAlignment="0" applyProtection="0"/>
    <xf numFmtId="166" fontId="9" fillId="0" borderId="30" applyNumberFormat="0" applyFill="0" applyAlignment="0" applyProtection="0"/>
    <xf numFmtId="166" fontId="9" fillId="0" borderId="30" applyNumberFormat="0" applyFill="0" applyAlignment="0" applyProtection="0"/>
    <xf numFmtId="166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2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62" fillId="0" borderId="0"/>
    <xf numFmtId="0" fontId="10" fillId="0" borderId="0"/>
    <xf numFmtId="166" fontId="27" fillId="0" borderId="0"/>
    <xf numFmtId="166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6" fontId="10" fillId="0" borderId="0"/>
    <xf numFmtId="166" fontId="10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0" fontId="63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4" fillId="0" borderId="0">
      <alignment horizontal="center"/>
    </xf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171" fontId="27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3" applyBorder="0">
      <alignment vertical="center"/>
    </xf>
    <xf numFmtId="4" fontId="44" fillId="3" borderId="0" applyBorder="0">
      <alignment horizontal="right"/>
    </xf>
    <xf numFmtId="3" fontId="57" fillId="0" borderId="3" applyBorder="0">
      <alignment vertical="center"/>
    </xf>
    <xf numFmtId="3" fontId="57" fillId="0" borderId="3" applyBorder="0">
      <alignment vertical="center"/>
    </xf>
    <xf numFmtId="3" fontId="57" fillId="0" borderId="3" applyBorder="0">
      <alignment vertical="center"/>
    </xf>
    <xf numFmtId="4" fontId="44" fillId="3" borderId="0" applyBorder="0">
      <alignment horizontal="right"/>
    </xf>
    <xf numFmtId="4" fontId="44" fillId="3" borderId="31" applyBorder="0">
      <alignment horizontal="right"/>
    </xf>
    <xf numFmtId="4" fontId="44" fillId="3" borderId="31" applyBorder="0">
      <alignment horizontal="right"/>
    </xf>
    <xf numFmtId="4" fontId="44" fillId="89" borderId="32" applyBorder="0">
      <alignment horizontal="right"/>
    </xf>
    <xf numFmtId="4" fontId="44" fillId="89" borderId="32" applyBorder="0">
      <alignment horizontal="right"/>
    </xf>
    <xf numFmtId="0" fontId="67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1" borderId="0" applyNumberFormat="0" applyBorder="0" applyAlignment="0" applyProtection="0"/>
    <xf numFmtId="0" fontId="67" fillId="10" borderId="0" applyNumberFormat="0" applyBorder="0" applyAlignment="0" applyProtection="0"/>
    <xf numFmtId="44" fontId="11" fillId="0" borderId="0">
      <protection locked="0"/>
    </xf>
    <xf numFmtId="44" fontId="11" fillId="0" borderId="0">
      <protection locked="0"/>
    </xf>
    <xf numFmtId="166" fontId="33" fillId="0" borderId="3" applyBorder="0">
      <alignment horizontal="center" vertical="center" wrapText="1"/>
    </xf>
    <xf numFmtId="166" fontId="33" fillId="0" borderId="3" applyBorder="0">
      <alignment horizontal="center" vertical="center" wrapText="1"/>
    </xf>
    <xf numFmtId="166" fontId="33" fillId="0" borderId="3" applyBorder="0">
      <alignment horizontal="center" vertical="center" wrapText="1"/>
    </xf>
    <xf numFmtId="166" fontId="33" fillId="0" borderId="3" applyBorder="0">
      <alignment horizontal="center" vertical="center" wrapText="1"/>
    </xf>
  </cellStyleXfs>
  <cellXfs count="83">
    <xf numFmtId="0" fontId="0" fillId="0" borderId="0" xfId="0"/>
    <xf numFmtId="0" fontId="2" fillId="0" borderId="0" xfId="1" applyFont="1"/>
    <xf numFmtId="0" fontId="6" fillId="0" borderId="0" xfId="1" applyFont="1"/>
    <xf numFmtId="4" fontId="6" fillId="90" borderId="3" xfId="0" applyNumberFormat="1" applyFont="1" applyFill="1" applyBorder="1" applyAlignment="1">
      <alignment vertical="top"/>
    </xf>
    <xf numFmtId="0" fontId="2" fillId="90" borderId="0" xfId="1" applyFont="1" applyFill="1"/>
    <xf numFmtId="4" fontId="2" fillId="90" borderId="3" xfId="2" applyNumberFormat="1" applyFont="1" applyFill="1" applyBorder="1"/>
    <xf numFmtId="0" fontId="2" fillId="90" borderId="0" xfId="2" applyFont="1" applyFill="1"/>
    <xf numFmtId="0" fontId="6" fillId="90" borderId="0" xfId="1" applyFont="1" applyFill="1" applyAlignment="1">
      <alignment horizontal="center"/>
    </xf>
    <xf numFmtId="0" fontId="5" fillId="90" borderId="3" xfId="0" quotePrefix="1" applyFont="1" applyFill="1" applyBorder="1" applyAlignment="1">
      <alignment vertical="top"/>
    </xf>
    <xf numFmtId="0" fontId="68" fillId="90" borderId="3" xfId="0" quotePrefix="1" applyFont="1" applyFill="1" applyBorder="1" applyAlignment="1">
      <alignment vertical="top"/>
    </xf>
    <xf numFmtId="0" fontId="68" fillId="90" borderId="3" xfId="0" applyFont="1" applyFill="1" applyBorder="1" applyAlignment="1">
      <alignment vertical="top" wrapText="1"/>
    </xf>
    <xf numFmtId="0" fontId="2" fillId="90" borderId="0" xfId="1" applyFont="1" applyFill="1" applyAlignment="1">
      <alignment horizontal="center"/>
    </xf>
    <xf numFmtId="4" fontId="2" fillId="90" borderId="0" xfId="1" applyNumberFormat="1" applyFont="1" applyFill="1"/>
    <xf numFmtId="0" fontId="2" fillId="90" borderId="0" xfId="2" applyFont="1" applyFill="1" applyAlignment="1">
      <alignment horizontal="right" vertical="center" wrapText="1"/>
    </xf>
    <xf numFmtId="0" fontId="2" fillId="90" borderId="0" xfId="2" applyFont="1" applyFill="1" applyAlignment="1">
      <alignment horizontal="right" wrapText="1"/>
    </xf>
    <xf numFmtId="0" fontId="6" fillId="90" borderId="0" xfId="1" applyFont="1" applyFill="1" applyAlignment="1">
      <alignment horizontal="center" wrapText="1"/>
    </xf>
    <xf numFmtId="0" fontId="2" fillId="90" borderId="0" xfId="2" applyFont="1" applyFill="1" applyAlignment="1">
      <alignment horizontal="right"/>
    </xf>
    <xf numFmtId="0" fontId="2" fillId="90" borderId="0" xfId="1" applyFont="1" applyFill="1" applyAlignment="1">
      <alignment wrapText="1"/>
    </xf>
    <xf numFmtId="1" fontId="6" fillId="90" borderId="0" xfId="1" applyNumberFormat="1" applyFont="1" applyFill="1" applyBorder="1" applyAlignment="1">
      <alignment vertical="top" wrapText="1"/>
    </xf>
    <xf numFmtId="0" fontId="2" fillId="90" borderId="3" xfId="2" applyFont="1" applyFill="1" applyBorder="1" applyAlignment="1">
      <alignment horizontal="center" vertical="center" textRotation="90" wrapText="1"/>
    </xf>
    <xf numFmtId="49" fontId="2" fillId="90" borderId="3" xfId="1" applyNumberFormat="1" applyFont="1" applyFill="1" applyBorder="1" applyAlignment="1">
      <alignment horizontal="center" vertical="center" wrapText="1"/>
    </xf>
    <xf numFmtId="4" fontId="2" fillId="90" borderId="0" xfId="2" applyNumberFormat="1" applyFont="1" applyFill="1"/>
    <xf numFmtId="0" fontId="2" fillId="90" borderId="0" xfId="2" applyFont="1" applyFill="1" applyAlignment="1">
      <alignment wrapText="1"/>
    </xf>
    <xf numFmtId="0" fontId="68" fillId="90" borderId="3" xfId="0" applyFont="1" applyFill="1" applyBorder="1" applyAlignment="1">
      <alignment vertical="center" wrapText="1"/>
    </xf>
    <xf numFmtId="1" fontId="6" fillId="90" borderId="3" xfId="0" applyNumberFormat="1" applyFont="1" applyFill="1" applyBorder="1" applyAlignment="1">
      <alignment vertical="center" wrapText="1"/>
    </xf>
    <xf numFmtId="4" fontId="6" fillId="90" borderId="3" xfId="2" applyNumberFormat="1" applyFont="1" applyFill="1" applyBorder="1" applyAlignment="1">
      <alignment vertical="center" wrapText="1"/>
    </xf>
    <xf numFmtId="4" fontId="6" fillId="90" borderId="3" xfId="0" applyNumberFormat="1" applyFont="1" applyFill="1" applyBorder="1" applyAlignment="1">
      <alignment vertical="center" wrapText="1"/>
    </xf>
    <xf numFmtId="4" fontId="2" fillId="90" borderId="3" xfId="2" applyNumberFormat="1" applyFont="1" applyFill="1" applyBorder="1" applyAlignment="1">
      <alignment vertical="center" wrapText="1"/>
    </xf>
    <xf numFmtId="4" fontId="5" fillId="90" borderId="3" xfId="0" applyNumberFormat="1" applyFont="1" applyFill="1" applyBorder="1" applyAlignment="1">
      <alignment vertical="center" wrapText="1"/>
    </xf>
    <xf numFmtId="0" fontId="5" fillId="90" borderId="3" xfId="0" applyFont="1" applyFill="1" applyBorder="1" applyAlignment="1">
      <alignment vertical="center" wrapText="1"/>
    </xf>
    <xf numFmtId="1" fontId="5" fillId="90" borderId="3" xfId="0" applyNumberFormat="1" applyFont="1" applyFill="1" applyBorder="1" applyAlignment="1">
      <alignment vertical="center" wrapText="1"/>
    </xf>
    <xf numFmtId="0" fontId="5" fillId="90" borderId="4" xfId="0" applyFont="1" applyFill="1" applyBorder="1" applyAlignment="1">
      <alignment vertical="center" wrapText="1"/>
    </xf>
    <xf numFmtId="0" fontId="68" fillId="90" borderId="4" xfId="0" applyFont="1" applyFill="1" applyBorder="1" applyAlignment="1">
      <alignment vertical="center" wrapText="1"/>
    </xf>
    <xf numFmtId="4" fontId="68" fillId="90" borderId="3" xfId="0" applyNumberFormat="1" applyFont="1" applyFill="1" applyBorder="1" applyAlignment="1">
      <alignment vertical="center" wrapText="1"/>
    </xf>
    <xf numFmtId="4" fontId="0" fillId="90" borderId="3" xfId="0" applyNumberFormat="1" applyFill="1" applyBorder="1" applyAlignment="1">
      <alignment vertical="top"/>
    </xf>
    <xf numFmtId="4" fontId="0" fillId="90" borderId="3" xfId="0" applyNumberFormat="1" applyFill="1" applyBorder="1" applyAlignment="1">
      <alignment vertical="center" wrapText="1"/>
    </xf>
    <xf numFmtId="3" fontId="6" fillId="90" borderId="3" xfId="2" applyNumberFormat="1" applyFont="1" applyFill="1" applyBorder="1" applyAlignment="1">
      <alignment vertical="center" wrapText="1"/>
    </xf>
    <xf numFmtId="0" fontId="5" fillId="90" borderId="3" xfId="0" applyFont="1" applyFill="1" applyBorder="1" applyAlignment="1">
      <alignment vertical="top" wrapText="1"/>
    </xf>
    <xf numFmtId="3" fontId="2" fillId="90" borderId="3" xfId="2" applyNumberFormat="1" applyFont="1" applyFill="1" applyBorder="1" applyAlignment="1">
      <alignment vertical="center" wrapText="1"/>
    </xf>
    <xf numFmtId="0" fontId="2" fillId="90" borderId="3" xfId="0" applyFont="1" applyFill="1" applyBorder="1" applyAlignment="1">
      <alignment vertical="top" wrapText="1"/>
    </xf>
    <xf numFmtId="0" fontId="2" fillId="90" borderId="4" xfId="0" applyFont="1" applyFill="1" applyBorder="1" applyAlignment="1">
      <alignment vertical="top" wrapText="1"/>
    </xf>
    <xf numFmtId="0" fontId="5" fillId="90" borderId="3" xfId="0" applyFont="1" applyFill="1" applyBorder="1" applyAlignment="1">
      <alignment wrapText="1"/>
    </xf>
    <xf numFmtId="0" fontId="5" fillId="90" borderId="4" xfId="0" applyFont="1" applyFill="1" applyBorder="1" applyAlignment="1">
      <alignment wrapText="1"/>
    </xf>
    <xf numFmtId="0" fontId="68" fillId="90" borderId="4" xfId="0" applyFont="1" applyFill="1" applyBorder="1" applyAlignment="1">
      <alignment vertical="top" wrapText="1"/>
    </xf>
    <xf numFmtId="0" fontId="2" fillId="90" borderId="3" xfId="0" applyFont="1" applyFill="1" applyBorder="1" applyAlignment="1">
      <alignment horizontal="left" vertical="top" wrapText="1"/>
    </xf>
    <xf numFmtId="0" fontId="69" fillId="90" borderId="3" xfId="0" applyFont="1" applyFill="1" applyBorder="1" applyAlignment="1">
      <alignment vertical="top"/>
    </xf>
    <xf numFmtId="0" fontId="2" fillId="0" borderId="0" xfId="1" applyFont="1" applyFill="1"/>
    <xf numFmtId="0" fontId="2" fillId="90" borderId="3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13" xfId="1" applyFont="1" applyFill="1" applyBorder="1" applyAlignment="1">
      <alignment horizontal="center" vertical="center" wrapText="1"/>
    </xf>
    <xf numFmtId="49" fontId="2" fillId="90" borderId="0" xfId="1" applyNumberFormat="1" applyFont="1" applyFill="1"/>
    <xf numFmtId="173" fontId="5" fillId="90" borderId="3" xfId="0" applyNumberFormat="1" applyFont="1" applyFill="1" applyBorder="1" applyAlignment="1">
      <alignment vertical="center" wrapText="1"/>
    </xf>
    <xf numFmtId="0" fontId="2" fillId="90" borderId="0" xfId="0" applyFont="1" applyFill="1" applyAlignment="1">
      <alignment vertical="top"/>
    </xf>
    <xf numFmtId="0" fontId="3" fillId="90" borderId="0" xfId="0" applyFont="1" applyFill="1" applyAlignment="1">
      <alignment vertical="center" wrapText="1"/>
    </xf>
    <xf numFmtId="0" fontId="5" fillId="90" borderId="0" xfId="1" applyFont="1" applyFill="1"/>
    <xf numFmtId="49" fontId="6" fillId="90" borderId="0" xfId="1" applyNumberFormat="1" applyFont="1" applyFill="1" applyAlignment="1">
      <alignment horizontal="center"/>
    </xf>
    <xf numFmtId="0" fontId="2" fillId="90" borderId="3" xfId="2" quotePrefix="1" applyFont="1" applyFill="1" applyBorder="1" applyAlignment="1">
      <alignment wrapText="1"/>
    </xf>
    <xf numFmtId="0" fontId="5" fillId="90" borderId="4" xfId="0" quotePrefix="1" applyFont="1" applyFill="1" applyBorder="1" applyAlignment="1">
      <alignment vertical="top"/>
    </xf>
    <xf numFmtId="0" fontId="5" fillId="90" borderId="3" xfId="0" quotePrefix="1" applyFont="1" applyFill="1" applyBorder="1"/>
    <xf numFmtId="0" fontId="5" fillId="90" borderId="4" xfId="0" quotePrefix="1" applyFont="1" applyFill="1" applyBorder="1"/>
    <xf numFmtId="0" fontId="68" fillId="90" borderId="4" xfId="0" quotePrefix="1" applyFont="1" applyFill="1" applyBorder="1" applyAlignment="1">
      <alignment vertical="top"/>
    </xf>
    <xf numFmtId="1" fontId="68" fillId="90" borderId="3" xfId="0" applyNumberFormat="1" applyFont="1" applyFill="1" applyBorder="1" applyAlignment="1">
      <alignment vertical="center" wrapText="1"/>
    </xf>
    <xf numFmtId="0" fontId="2" fillId="90" borderId="0" xfId="1" applyFont="1" applyFill="1" applyAlignment="1">
      <alignment horizontal="center"/>
    </xf>
    <xf numFmtId="0" fontId="6" fillId="90" borderId="0" xfId="1" applyFont="1" applyFill="1" applyAlignment="1">
      <alignment horizontal="center"/>
    </xf>
    <xf numFmtId="0" fontId="5" fillId="90" borderId="0" xfId="3" applyFont="1" applyFill="1" applyAlignment="1">
      <alignment horizontal="center" vertical="center"/>
    </xf>
    <xf numFmtId="0" fontId="5" fillId="90" borderId="0" xfId="3" applyFont="1" applyFill="1" applyAlignment="1">
      <alignment horizontal="center" vertical="top"/>
    </xf>
    <xf numFmtId="0" fontId="3" fillId="90" borderId="0" xfId="0" applyFont="1" applyFill="1" applyAlignment="1">
      <alignment horizontal="center" vertical="center" wrapText="1"/>
    </xf>
    <xf numFmtId="1" fontId="6" fillId="90" borderId="2" xfId="1" applyNumberFormat="1" applyFont="1" applyFill="1" applyBorder="1" applyAlignment="1">
      <alignment horizontal="center" vertical="top"/>
    </xf>
    <xf numFmtId="49" fontId="2" fillId="90" borderId="3" xfId="1" applyNumberFormat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4" xfId="1" applyFont="1" applyFill="1" applyBorder="1" applyAlignment="1">
      <alignment horizontal="center" vertical="center" wrapText="1"/>
    </xf>
    <xf numFmtId="0" fontId="2" fillId="90" borderId="10" xfId="1" applyFont="1" applyFill="1" applyBorder="1" applyAlignment="1">
      <alignment horizontal="center" vertical="center" wrapText="1"/>
    </xf>
    <xf numFmtId="0" fontId="2" fillId="90" borderId="13" xfId="1" applyFont="1" applyFill="1" applyBorder="1" applyAlignment="1">
      <alignment horizontal="center" vertical="center" wrapText="1"/>
    </xf>
    <xf numFmtId="0" fontId="2" fillId="90" borderId="5" xfId="1" applyFont="1" applyFill="1" applyBorder="1" applyAlignment="1">
      <alignment horizontal="center" vertical="center" wrapText="1"/>
    </xf>
    <xf numFmtId="0" fontId="2" fillId="90" borderId="6" xfId="1" applyFont="1" applyFill="1" applyBorder="1" applyAlignment="1">
      <alignment horizontal="center" vertical="center" wrapText="1"/>
    </xf>
    <xf numFmtId="0" fontId="2" fillId="90" borderId="7" xfId="1" applyFont="1" applyFill="1" applyBorder="1" applyAlignment="1">
      <alignment horizontal="center" vertical="center" wrapText="1"/>
    </xf>
    <xf numFmtId="0" fontId="2" fillId="90" borderId="8" xfId="1" applyFont="1" applyFill="1" applyBorder="1" applyAlignment="1">
      <alignment horizontal="center" vertical="center" wrapText="1"/>
    </xf>
    <xf numFmtId="0" fontId="2" fillId="90" borderId="9" xfId="1" applyFont="1" applyFill="1" applyBorder="1" applyAlignment="1">
      <alignment horizontal="center" vertical="center" wrapText="1"/>
    </xf>
    <xf numFmtId="0" fontId="2" fillId="90" borderId="11" xfId="1" applyFont="1" applyFill="1" applyBorder="1" applyAlignment="1">
      <alignment horizontal="center" vertical="center" wrapText="1"/>
    </xf>
    <xf numFmtId="0" fontId="2" fillId="90" borderId="12" xfId="1" applyFont="1" applyFill="1" applyBorder="1" applyAlignment="1">
      <alignment horizontal="center" vertical="center" wrapText="1"/>
    </xf>
    <xf numFmtId="0" fontId="2" fillId="90" borderId="3" xfId="1" applyFont="1" applyFill="1" applyBorder="1" applyAlignment="1">
      <alignment horizontal="center" vertical="center"/>
    </xf>
  </cellXfs>
  <cellStyles count="57761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3">
    <tabColor rgb="FF92D050"/>
    <pageSetUpPr fitToPage="1"/>
  </sheetPr>
  <dimension ref="A1:AU779"/>
  <sheetViews>
    <sheetView tabSelected="1" topLeftCell="A13" zoomScale="70" zoomScaleNormal="70" zoomScaleSheetLayoutView="70" workbookViewId="0">
      <selection activeCell="C19" sqref="C19"/>
    </sheetView>
  </sheetViews>
  <sheetFormatPr defaultRowHeight="15.75" x14ac:dyDescent="0.25"/>
  <cols>
    <col min="1" max="1" width="12.42578125" style="6" customWidth="1"/>
    <col min="2" max="2" width="68.140625" style="22" customWidth="1"/>
    <col min="3" max="3" width="18" style="6" customWidth="1"/>
    <col min="4" max="4" width="8.7109375" style="6" customWidth="1"/>
    <col min="5" max="5" width="8.28515625" style="6" customWidth="1"/>
    <col min="6" max="9" width="12.140625" style="6" customWidth="1"/>
    <col min="10" max="10" width="14.42578125" style="6" customWidth="1"/>
    <col min="11" max="11" width="11.5703125" style="6" customWidth="1"/>
    <col min="12" max="12" width="7.85546875" style="6" customWidth="1"/>
    <col min="13" max="13" width="11.7109375" style="6" customWidth="1"/>
    <col min="14" max="15" width="7.85546875" style="6" customWidth="1"/>
    <col min="16" max="16" width="12.28515625" style="6" customWidth="1"/>
    <col min="17" max="17" width="7.85546875" style="6" customWidth="1"/>
    <col min="18" max="18" width="10.28515625" style="6" customWidth="1"/>
    <col min="19" max="20" width="7.85546875" style="6" customWidth="1"/>
    <col min="21" max="21" width="12" style="6" customWidth="1"/>
    <col min="22" max="22" width="11.5703125" style="6" customWidth="1"/>
    <col min="23" max="23" width="11.140625" style="6" customWidth="1"/>
    <col min="24" max="24" width="10.5703125" style="6" customWidth="1"/>
    <col min="25" max="25" width="10.85546875" style="6" customWidth="1"/>
    <col min="26" max="26" width="9.28515625" style="6" customWidth="1"/>
    <col min="27" max="31" width="12.140625" style="6" customWidth="1"/>
    <col min="32" max="32" width="13.140625" style="6" customWidth="1"/>
    <col min="33" max="33" width="12.140625" style="6" customWidth="1"/>
    <col min="34" max="34" width="14" style="6" customWidth="1"/>
    <col min="35" max="38" width="12.140625" style="6" customWidth="1"/>
    <col min="39" max="39" width="12.7109375" style="6" customWidth="1"/>
    <col min="40" max="40" width="12.140625" style="6" customWidth="1"/>
    <col min="41" max="41" width="65.140625" style="22" customWidth="1"/>
    <col min="42" max="16384" width="9.140625" style="1"/>
  </cols>
  <sheetData>
    <row r="1" spans="1:47" ht="39.75" customHeight="1" x14ac:dyDescent="0.25">
      <c r="A1" s="55"/>
      <c r="B1" s="17"/>
      <c r="C1" s="4"/>
      <c r="D1" s="4"/>
      <c r="E1" s="4"/>
      <c r="F1" s="4"/>
      <c r="G1" s="4"/>
      <c r="H1" s="4"/>
      <c r="I1" s="4"/>
      <c r="J1" s="11"/>
      <c r="K1" s="12"/>
      <c r="L1" s="4"/>
      <c r="M1" s="4"/>
      <c r="N1" s="4"/>
      <c r="O1" s="4"/>
      <c r="P1" s="4"/>
      <c r="Q1" s="4"/>
      <c r="R1" s="4"/>
      <c r="S1" s="4"/>
      <c r="T1" s="4"/>
      <c r="U1" s="4"/>
      <c r="V1" s="12"/>
      <c r="W1" s="4"/>
      <c r="X1" s="12"/>
      <c r="Y1" s="12"/>
      <c r="Z1" s="4"/>
      <c r="AA1" s="4"/>
      <c r="AB1" s="4"/>
      <c r="AC1" s="4"/>
      <c r="AD1" s="4"/>
      <c r="AE1" s="4"/>
      <c r="AF1" s="12"/>
      <c r="AG1" s="4"/>
      <c r="AH1" s="4"/>
      <c r="AI1" s="4"/>
      <c r="AJ1" s="4"/>
      <c r="AK1" s="4"/>
      <c r="AL1" s="4"/>
      <c r="AM1" s="12"/>
      <c r="AN1" s="12"/>
      <c r="AO1" s="13" t="s">
        <v>0</v>
      </c>
    </row>
    <row r="2" spans="1:47" x14ac:dyDescent="0.25">
      <c r="A2" s="51"/>
      <c r="B2" s="17"/>
      <c r="C2" s="4"/>
      <c r="D2" s="4"/>
      <c r="E2" s="4"/>
      <c r="F2" s="4"/>
      <c r="G2" s="4"/>
      <c r="H2" s="4"/>
      <c r="I2" s="4"/>
      <c r="J2" s="11"/>
      <c r="K2" s="12"/>
      <c r="L2" s="4"/>
      <c r="M2" s="4"/>
      <c r="N2" s="4"/>
      <c r="O2" s="4"/>
      <c r="P2" s="12"/>
      <c r="Q2" s="4"/>
      <c r="R2" s="4"/>
      <c r="S2" s="4"/>
      <c r="T2" s="4"/>
      <c r="U2" s="4"/>
      <c r="V2" s="12"/>
      <c r="W2" s="5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12"/>
      <c r="AN2" s="12"/>
      <c r="AO2" s="14" t="s">
        <v>1</v>
      </c>
    </row>
    <row r="3" spans="1:47" x14ac:dyDescent="0.25">
      <c r="A3" s="51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4" t="s">
        <v>2</v>
      </c>
    </row>
    <row r="4" spans="1:47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47" x14ac:dyDescent="0.25">
      <c r="A5" s="56"/>
      <c r="B5" s="15"/>
      <c r="C5" s="7"/>
      <c r="D5" s="7"/>
      <c r="E5" s="7"/>
      <c r="F5" s="7"/>
      <c r="G5" s="7"/>
      <c r="H5" s="11"/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1"/>
      <c r="V5" s="7"/>
      <c r="W5" s="11"/>
      <c r="X5" s="7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5"/>
    </row>
    <row r="6" spans="1:47" x14ac:dyDescent="0.25">
      <c r="A6" s="65" t="s">
        <v>138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</row>
    <row r="7" spans="1:47" x14ac:dyDescent="0.25">
      <c r="A7" s="66" t="s">
        <v>136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7" x14ac:dyDescent="0.25">
      <c r="A8" s="51"/>
      <c r="B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16"/>
      <c r="AO8" s="17"/>
    </row>
    <row r="9" spans="1:47" x14ac:dyDescent="0.25">
      <c r="A9" s="63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</row>
    <row r="10" spans="1:47" x14ac:dyDescent="0.25">
      <c r="A10" s="56"/>
      <c r="B10" s="15"/>
      <c r="C10" s="7"/>
      <c r="D10" s="7"/>
      <c r="E10" s="7"/>
      <c r="F10" s="7"/>
      <c r="G10" s="7"/>
      <c r="H10" s="11"/>
      <c r="I10" s="1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1"/>
      <c r="V10" s="7"/>
      <c r="W10" s="11"/>
      <c r="X10" s="7"/>
      <c r="Y10" s="11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5"/>
    </row>
    <row r="11" spans="1:47" ht="18.75" customHeight="1" x14ac:dyDescent="0.25">
      <c r="A11" s="67" t="s">
        <v>1493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54"/>
      <c r="AQ11" s="54"/>
      <c r="AR11" s="54"/>
      <c r="AS11" s="54"/>
      <c r="AT11" s="54"/>
      <c r="AU11" s="54"/>
    </row>
    <row r="12" spans="1:47" s="46" customFormat="1" ht="26.25" customHeight="1" x14ac:dyDescent="0.25">
      <c r="A12" s="63" t="s">
        <v>137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1:47" ht="18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18"/>
    </row>
    <row r="14" spans="1:47" ht="34.5" customHeight="1" x14ac:dyDescent="0.25">
      <c r="A14" s="69" t="s">
        <v>5</v>
      </c>
      <c r="B14" s="70" t="s">
        <v>6</v>
      </c>
      <c r="C14" s="70" t="s">
        <v>7</v>
      </c>
      <c r="D14" s="71" t="s">
        <v>8</v>
      </c>
      <c r="E14" s="71" t="s">
        <v>9</v>
      </c>
      <c r="F14" s="70" t="s">
        <v>10</v>
      </c>
      <c r="G14" s="70"/>
      <c r="H14" s="70" t="s">
        <v>11</v>
      </c>
      <c r="I14" s="70"/>
      <c r="J14" s="72" t="s">
        <v>12</v>
      </c>
      <c r="K14" s="75" t="s">
        <v>13</v>
      </c>
      <c r="L14" s="76"/>
      <c r="M14" s="76"/>
      <c r="N14" s="76"/>
      <c r="O14" s="76"/>
      <c r="P14" s="76"/>
      <c r="Q14" s="76"/>
      <c r="R14" s="76"/>
      <c r="S14" s="76"/>
      <c r="T14" s="77"/>
      <c r="U14" s="75" t="s">
        <v>14</v>
      </c>
      <c r="V14" s="76"/>
      <c r="W14" s="76"/>
      <c r="X14" s="76"/>
      <c r="Y14" s="76"/>
      <c r="Z14" s="77"/>
      <c r="AA14" s="78" t="s">
        <v>1572</v>
      </c>
      <c r="AB14" s="79"/>
      <c r="AC14" s="47"/>
      <c r="AD14" s="47"/>
      <c r="AE14" s="75" t="s">
        <v>15</v>
      </c>
      <c r="AF14" s="76"/>
      <c r="AG14" s="76"/>
      <c r="AH14" s="76"/>
      <c r="AI14" s="76"/>
      <c r="AJ14" s="76"/>
      <c r="AK14" s="76"/>
      <c r="AL14" s="76"/>
      <c r="AM14" s="76"/>
      <c r="AN14" s="76"/>
      <c r="AO14" s="70" t="s">
        <v>16</v>
      </c>
    </row>
    <row r="15" spans="1:47" ht="141" customHeight="1" x14ac:dyDescent="0.25">
      <c r="A15" s="69"/>
      <c r="B15" s="70"/>
      <c r="C15" s="70"/>
      <c r="D15" s="71"/>
      <c r="E15" s="71"/>
      <c r="F15" s="70"/>
      <c r="G15" s="70"/>
      <c r="H15" s="70"/>
      <c r="I15" s="70"/>
      <c r="J15" s="73"/>
      <c r="K15" s="75" t="s">
        <v>17</v>
      </c>
      <c r="L15" s="76"/>
      <c r="M15" s="76"/>
      <c r="N15" s="76"/>
      <c r="O15" s="77"/>
      <c r="P15" s="75" t="s">
        <v>18</v>
      </c>
      <c r="Q15" s="76"/>
      <c r="R15" s="76"/>
      <c r="S15" s="76"/>
      <c r="T15" s="77"/>
      <c r="U15" s="70" t="s">
        <v>1571</v>
      </c>
      <c r="V15" s="70"/>
      <c r="W15" s="75" t="s">
        <v>19</v>
      </c>
      <c r="X15" s="77"/>
      <c r="Y15" s="70" t="s">
        <v>20</v>
      </c>
      <c r="Z15" s="70"/>
      <c r="AA15" s="80"/>
      <c r="AB15" s="81"/>
      <c r="AC15" s="82" t="s">
        <v>1568</v>
      </c>
      <c r="AD15" s="82"/>
      <c r="AE15" s="82" t="s">
        <v>21</v>
      </c>
      <c r="AF15" s="82"/>
      <c r="AG15" s="82" t="s">
        <v>22</v>
      </c>
      <c r="AH15" s="82"/>
      <c r="AI15" s="82" t="s">
        <v>23</v>
      </c>
      <c r="AJ15" s="82"/>
      <c r="AK15" s="82" t="s">
        <v>24</v>
      </c>
      <c r="AL15" s="82"/>
      <c r="AM15" s="70" t="s">
        <v>25</v>
      </c>
      <c r="AN15" s="70" t="s">
        <v>26</v>
      </c>
      <c r="AO15" s="70"/>
    </row>
    <row r="16" spans="1:47" ht="131.25" customHeight="1" x14ac:dyDescent="0.25">
      <c r="A16" s="69"/>
      <c r="B16" s="70"/>
      <c r="C16" s="70"/>
      <c r="D16" s="71"/>
      <c r="E16" s="71"/>
      <c r="F16" s="50" t="s">
        <v>17</v>
      </c>
      <c r="G16" s="50" t="s">
        <v>27</v>
      </c>
      <c r="H16" s="50" t="s">
        <v>28</v>
      </c>
      <c r="I16" s="50" t="s">
        <v>27</v>
      </c>
      <c r="J16" s="74"/>
      <c r="K16" s="49" t="s">
        <v>29</v>
      </c>
      <c r="L16" s="49" t="s">
        <v>30</v>
      </c>
      <c r="M16" s="49" t="s">
        <v>31</v>
      </c>
      <c r="N16" s="19" t="s">
        <v>32</v>
      </c>
      <c r="O16" s="19" t="s">
        <v>33</v>
      </c>
      <c r="P16" s="49" t="s">
        <v>29</v>
      </c>
      <c r="Q16" s="49" t="s">
        <v>30</v>
      </c>
      <c r="R16" s="49" t="s">
        <v>31</v>
      </c>
      <c r="S16" s="19" t="s">
        <v>32</v>
      </c>
      <c r="T16" s="19" t="s">
        <v>33</v>
      </c>
      <c r="U16" s="49" t="s">
        <v>34</v>
      </c>
      <c r="V16" s="49" t="s">
        <v>35</v>
      </c>
      <c r="W16" s="49" t="s">
        <v>34</v>
      </c>
      <c r="X16" s="49" t="s">
        <v>35</v>
      </c>
      <c r="Y16" s="49" t="s">
        <v>34</v>
      </c>
      <c r="Z16" s="49" t="s">
        <v>35</v>
      </c>
      <c r="AA16" s="48" t="s">
        <v>36</v>
      </c>
      <c r="AB16" s="48" t="s">
        <v>37</v>
      </c>
      <c r="AC16" s="48" t="s">
        <v>36</v>
      </c>
      <c r="AD16" s="48" t="s">
        <v>37</v>
      </c>
      <c r="AE16" s="48" t="s">
        <v>36</v>
      </c>
      <c r="AF16" s="48" t="s">
        <v>37</v>
      </c>
      <c r="AG16" s="48" t="s">
        <v>36</v>
      </c>
      <c r="AH16" s="48" t="s">
        <v>27</v>
      </c>
      <c r="AI16" s="48" t="s">
        <v>36</v>
      </c>
      <c r="AJ16" s="48" t="s">
        <v>27</v>
      </c>
      <c r="AK16" s="48" t="s">
        <v>36</v>
      </c>
      <c r="AL16" s="48" t="s">
        <v>27</v>
      </c>
      <c r="AM16" s="70"/>
      <c r="AN16" s="70"/>
      <c r="AO16" s="70"/>
    </row>
    <row r="17" spans="1:41" x14ac:dyDescent="0.25">
      <c r="A17" s="20">
        <v>1</v>
      </c>
      <c r="B17" s="48">
        <v>2</v>
      </c>
      <c r="C17" s="48">
        <v>3</v>
      </c>
      <c r="D17" s="48">
        <v>4</v>
      </c>
      <c r="E17" s="48">
        <v>5</v>
      </c>
      <c r="F17" s="48">
        <v>6</v>
      </c>
      <c r="G17" s="48">
        <v>7</v>
      </c>
      <c r="H17" s="48">
        <v>8</v>
      </c>
      <c r="I17" s="48">
        <v>9</v>
      </c>
      <c r="J17" s="48">
        <v>10</v>
      </c>
      <c r="K17" s="48">
        <v>11</v>
      </c>
      <c r="L17" s="48">
        <v>12</v>
      </c>
      <c r="M17" s="48">
        <v>13</v>
      </c>
      <c r="N17" s="48">
        <v>14</v>
      </c>
      <c r="O17" s="48">
        <v>15</v>
      </c>
      <c r="P17" s="48">
        <v>16</v>
      </c>
      <c r="Q17" s="48">
        <v>17</v>
      </c>
      <c r="R17" s="48">
        <v>18</v>
      </c>
      <c r="S17" s="48">
        <v>19</v>
      </c>
      <c r="T17" s="48">
        <v>20</v>
      </c>
      <c r="U17" s="48">
        <v>21</v>
      </c>
      <c r="V17" s="48">
        <v>22</v>
      </c>
      <c r="W17" s="48">
        <v>23</v>
      </c>
      <c r="X17" s="48">
        <v>24</v>
      </c>
      <c r="Y17" s="48">
        <v>25</v>
      </c>
      <c r="Z17" s="48">
        <v>26</v>
      </c>
      <c r="AA17" s="48">
        <v>27</v>
      </c>
      <c r="AB17" s="48">
        <v>28</v>
      </c>
      <c r="AC17" s="20" t="s">
        <v>38</v>
      </c>
      <c r="AD17" s="20" t="s">
        <v>39</v>
      </c>
      <c r="AE17" s="20" t="s">
        <v>40</v>
      </c>
      <c r="AF17" s="20" t="s">
        <v>41</v>
      </c>
      <c r="AG17" s="20" t="s">
        <v>42</v>
      </c>
      <c r="AH17" s="20" t="s">
        <v>43</v>
      </c>
      <c r="AI17" s="20" t="s">
        <v>44</v>
      </c>
      <c r="AJ17" s="20" t="s">
        <v>45</v>
      </c>
      <c r="AK17" s="20" t="s">
        <v>1569</v>
      </c>
      <c r="AL17" s="20" t="s">
        <v>1570</v>
      </c>
      <c r="AM17" s="48">
        <v>30</v>
      </c>
      <c r="AN17" s="48">
        <v>31</v>
      </c>
      <c r="AO17" s="48">
        <v>32</v>
      </c>
    </row>
    <row r="18" spans="1:41" s="2" customFormat="1" ht="31.5" customHeight="1" x14ac:dyDescent="0.25">
      <c r="A18" s="9" t="s">
        <v>46</v>
      </c>
      <c r="B18" s="10" t="s">
        <v>47</v>
      </c>
      <c r="C18" s="23" t="s">
        <v>48</v>
      </c>
      <c r="D18" s="36" t="s">
        <v>1435</v>
      </c>
      <c r="E18" s="24" t="s">
        <v>1435</v>
      </c>
      <c r="F18" s="24" t="s">
        <v>1435</v>
      </c>
      <c r="G18" s="24" t="s">
        <v>1435</v>
      </c>
      <c r="H18" s="25">
        <f>H19+H20+H22+H24</f>
        <v>178.93571312351304</v>
      </c>
      <c r="I18" s="25">
        <f>I19+I20+I22+I24</f>
        <v>120.07555598220814</v>
      </c>
      <c r="J18" s="25">
        <v>0</v>
      </c>
      <c r="K18" s="25">
        <v>1970.2407083624164</v>
      </c>
      <c r="L18" s="25">
        <v>54.580012532310974</v>
      </c>
      <c r="M18" s="25">
        <v>1095.6377193352985</v>
      </c>
      <c r="N18" s="25">
        <v>820.01902313423841</v>
      </c>
      <c r="O18" s="25">
        <v>0</v>
      </c>
      <c r="P18" s="25">
        <v>855.58385833525426</v>
      </c>
      <c r="Q18" s="25">
        <v>21.069690151142542</v>
      </c>
      <c r="R18" s="25">
        <v>365.63259979622245</v>
      </c>
      <c r="S18" s="25">
        <v>441.52415880797838</v>
      </c>
      <c r="T18" s="25">
        <v>0</v>
      </c>
      <c r="U18" s="25">
        <f>U19+U20+U22+U24</f>
        <v>178.93571312351304</v>
      </c>
      <c r="V18" s="25">
        <v>1970.2407083624164</v>
      </c>
      <c r="W18" s="25">
        <f>W19+W20+W22+W24</f>
        <v>97.702319902772658</v>
      </c>
      <c r="X18" s="25">
        <f t="shared" ref="X18:X24" si="0">AG18+AI18+AK18</f>
        <v>1114.0993518171622</v>
      </c>
      <c r="Y18" s="25">
        <f>Y19+Y20+Y22+Y24</f>
        <v>27.598132240947074</v>
      </c>
      <c r="Z18" s="25">
        <f>AH18</f>
        <v>281.65458949000003</v>
      </c>
      <c r="AA18" s="25">
        <f t="shared" ref="AA18:AI18" si="1">AA19+AA20+AA22+AA24</f>
        <v>0</v>
      </c>
      <c r="AB18" s="26">
        <v>0</v>
      </c>
      <c r="AC18" s="25">
        <f>AC19+AC20+AC22+AC24</f>
        <v>300.75294805084746</v>
      </c>
      <c r="AD18" s="26">
        <f>AD19+AD20+AD22+AD24</f>
        <v>309.60749425442367</v>
      </c>
      <c r="AE18" s="25">
        <f t="shared" si="1"/>
        <v>273.73381900440683</v>
      </c>
      <c r="AF18" s="26">
        <f t="shared" si="1"/>
        <v>264.32177459083056</v>
      </c>
      <c r="AG18" s="25">
        <f t="shared" si="1"/>
        <v>284.43061999999998</v>
      </c>
      <c r="AH18" s="26">
        <f t="shared" si="1"/>
        <v>281.65458949000003</v>
      </c>
      <c r="AI18" s="25">
        <f t="shared" si="1"/>
        <v>405.30789978354056</v>
      </c>
      <c r="AJ18" s="25">
        <v>0</v>
      </c>
      <c r="AK18" s="25">
        <f>AK19+AK20+AK22+AK24</f>
        <v>424.36083203362165</v>
      </c>
      <c r="AL18" s="25">
        <v>0</v>
      </c>
      <c r="AM18" s="25">
        <f>AM19+AM20+AM22+AM24</f>
        <v>1688.0286206624162</v>
      </c>
      <c r="AN18" s="25">
        <f>AD18+AF18+AH18</f>
        <v>855.58385833525426</v>
      </c>
      <c r="AO18" s="3" t="s">
        <v>1435</v>
      </c>
    </row>
    <row r="19" spans="1:41" s="2" customFormat="1" ht="31.5" customHeight="1" x14ac:dyDescent="0.25">
      <c r="A19" s="9" t="s">
        <v>49</v>
      </c>
      <c r="B19" s="10" t="s">
        <v>50</v>
      </c>
      <c r="C19" s="23" t="s">
        <v>48</v>
      </c>
      <c r="D19" s="36" t="s">
        <v>1435</v>
      </c>
      <c r="E19" s="24" t="s">
        <v>1435</v>
      </c>
      <c r="F19" s="24" t="s">
        <v>1435</v>
      </c>
      <c r="G19" s="24" t="s">
        <v>1435</v>
      </c>
      <c r="H19" s="25">
        <f>H26</f>
        <v>2.0165944767291442</v>
      </c>
      <c r="I19" s="25">
        <f>I26</f>
        <v>44.690016014763231</v>
      </c>
      <c r="J19" s="25">
        <v>0</v>
      </c>
      <c r="K19" s="25">
        <v>699.96143647850852</v>
      </c>
      <c r="L19" s="25">
        <v>22.474937316430129</v>
      </c>
      <c r="M19" s="25">
        <v>523.25124390191354</v>
      </c>
      <c r="N19" s="25">
        <v>154.23121064598729</v>
      </c>
      <c r="O19" s="25">
        <v>0</v>
      </c>
      <c r="P19" s="25">
        <v>314.18668136899998</v>
      </c>
      <c r="Q19" s="25">
        <v>8.7059029819900005</v>
      </c>
      <c r="R19" s="25">
        <v>139.188797389</v>
      </c>
      <c r="S19" s="25">
        <v>138.93797298797838</v>
      </c>
      <c r="T19" s="25">
        <v>0</v>
      </c>
      <c r="U19" s="25">
        <f>U26</f>
        <v>2.0165944767291442</v>
      </c>
      <c r="V19" s="25">
        <v>699.96143647850852</v>
      </c>
      <c r="W19" s="25">
        <f>W26</f>
        <v>8.5286736629526461E-2</v>
      </c>
      <c r="X19" s="25">
        <f t="shared" si="0"/>
        <v>413.20905368425429</v>
      </c>
      <c r="Y19" s="25">
        <f>Y26</f>
        <v>1.0757233062674096</v>
      </c>
      <c r="Z19" s="25">
        <f t="shared" ref="Z19:Z82" si="2">AH19</f>
        <v>91.223693339000008</v>
      </c>
      <c r="AA19" s="25">
        <f t="shared" ref="AA19:AI19" si="3">AA26</f>
        <v>0</v>
      </c>
      <c r="AB19" s="26">
        <v>0</v>
      </c>
      <c r="AC19" s="25">
        <f>AC26</f>
        <v>110.94516705084746</v>
      </c>
      <c r="AD19" s="26">
        <f>AD26</f>
        <v>110.52608565999998</v>
      </c>
      <c r="AE19" s="25">
        <f t="shared" si="3"/>
        <v>84.583522404406779</v>
      </c>
      <c r="AF19" s="26">
        <f>AF26</f>
        <v>112.43690237</v>
      </c>
      <c r="AG19" s="25">
        <f t="shared" si="3"/>
        <v>84.107358769000001</v>
      </c>
      <c r="AH19" s="26">
        <f t="shared" si="3"/>
        <v>91.223693339000008</v>
      </c>
      <c r="AI19" s="25">
        <f t="shared" si="3"/>
        <v>160.77118644067798</v>
      </c>
      <c r="AJ19" s="25">
        <v>0</v>
      </c>
      <c r="AK19" s="25">
        <f>AK26</f>
        <v>168.33050847457628</v>
      </c>
      <c r="AL19" s="25">
        <v>0</v>
      </c>
      <c r="AM19" s="25">
        <f>AM26</f>
        <v>636.17204171425419</v>
      </c>
      <c r="AN19" s="25">
        <f t="shared" ref="AN19:AN82" si="4">AD19+AF19+AH19</f>
        <v>314.18668136899998</v>
      </c>
      <c r="AO19" s="3" t="s">
        <v>1435</v>
      </c>
    </row>
    <row r="20" spans="1:41" s="2" customFormat="1" ht="31.5" customHeight="1" x14ac:dyDescent="0.25">
      <c r="A20" s="9" t="s">
        <v>51</v>
      </c>
      <c r="B20" s="10" t="s">
        <v>52</v>
      </c>
      <c r="C20" s="23" t="s">
        <v>48</v>
      </c>
      <c r="D20" s="36" t="s">
        <v>1435</v>
      </c>
      <c r="E20" s="24" t="s">
        <v>1435</v>
      </c>
      <c r="F20" s="24" t="s">
        <v>1435</v>
      </c>
      <c r="G20" s="24" t="s">
        <v>1435</v>
      </c>
      <c r="H20" s="25">
        <f>H266</f>
        <v>63.49915036778669</v>
      </c>
      <c r="I20" s="25">
        <f>I266</f>
        <v>29.837759786138811</v>
      </c>
      <c r="J20" s="25">
        <v>0</v>
      </c>
      <c r="K20" s="25">
        <v>455.92389964070833</v>
      </c>
      <c r="L20" s="25">
        <v>14.372218192869367</v>
      </c>
      <c r="M20" s="25">
        <v>228.70183813411131</v>
      </c>
      <c r="N20" s="25">
        <v>212.84779258276444</v>
      </c>
      <c r="O20" s="25">
        <v>0</v>
      </c>
      <c r="P20" s="25">
        <v>214.36411526447671</v>
      </c>
      <c r="Q20" s="25">
        <v>5.8403005799999992</v>
      </c>
      <c r="R20" s="25">
        <v>94.157022658222445</v>
      </c>
      <c r="S20" s="25">
        <v>114.36339067</v>
      </c>
      <c r="T20" s="25">
        <v>0</v>
      </c>
      <c r="U20" s="25">
        <f>U266</f>
        <v>63.49915036778669</v>
      </c>
      <c r="V20" s="25">
        <v>455.92389964070833</v>
      </c>
      <c r="W20" s="25">
        <f>W266</f>
        <v>34.717400760791897</v>
      </c>
      <c r="X20" s="25">
        <f t="shared" si="0"/>
        <v>249.27093746248585</v>
      </c>
      <c r="Y20" s="25">
        <f>Y266</f>
        <v>8.1517755679975537</v>
      </c>
      <c r="Z20" s="25">
        <f t="shared" si="2"/>
        <v>58.529748578222453</v>
      </c>
      <c r="AA20" s="25">
        <f t="shared" ref="AA20:AI20" si="5">AA266</f>
        <v>0</v>
      </c>
      <c r="AB20" s="26">
        <v>0</v>
      </c>
      <c r="AC20" s="25">
        <f>AC266</f>
        <v>86.69998200000002</v>
      </c>
      <c r="AD20" s="26">
        <f>AD266</f>
        <v>84.138077385423728</v>
      </c>
      <c r="AE20" s="25">
        <f t="shared" si="5"/>
        <v>61.423231599999994</v>
      </c>
      <c r="AF20" s="26">
        <f>AF266</f>
        <v>71.696289300830529</v>
      </c>
      <c r="AG20" s="25">
        <f t="shared" si="5"/>
        <v>59.318536129052582</v>
      </c>
      <c r="AH20" s="26">
        <f t="shared" si="5"/>
        <v>58.529748578222453</v>
      </c>
      <c r="AI20" s="25">
        <f t="shared" si="5"/>
        <v>106.56577853099814</v>
      </c>
      <c r="AJ20" s="25">
        <v>0</v>
      </c>
      <c r="AK20" s="25">
        <f>AK266</f>
        <v>83.386622802435113</v>
      </c>
      <c r="AL20" s="25">
        <v>0</v>
      </c>
      <c r="AM20" s="25">
        <f>AM266</f>
        <v>405.10530414874012</v>
      </c>
      <c r="AN20" s="25">
        <f t="shared" si="4"/>
        <v>214.36411526447671</v>
      </c>
      <c r="AO20" s="3" t="s">
        <v>1435</v>
      </c>
    </row>
    <row r="21" spans="1:41" s="2" customFormat="1" ht="31.5" customHeight="1" x14ac:dyDescent="0.25">
      <c r="A21" s="9" t="s">
        <v>53</v>
      </c>
      <c r="B21" s="10" t="s">
        <v>54</v>
      </c>
      <c r="C21" s="23" t="s">
        <v>48</v>
      </c>
      <c r="D21" s="36" t="s">
        <v>1435</v>
      </c>
      <c r="E21" s="24" t="s">
        <v>1435</v>
      </c>
      <c r="F21" s="24" t="s">
        <v>1435</v>
      </c>
      <c r="G21" s="24" t="s">
        <v>1435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f t="shared" si="0"/>
        <v>0</v>
      </c>
      <c r="Y21" s="25">
        <v>0</v>
      </c>
      <c r="Z21" s="25">
        <f t="shared" si="2"/>
        <v>0</v>
      </c>
      <c r="AA21" s="25">
        <v>0</v>
      </c>
      <c r="AB21" s="26">
        <v>0</v>
      </c>
      <c r="AC21" s="25">
        <v>0</v>
      </c>
      <c r="AD21" s="26">
        <v>0</v>
      </c>
      <c r="AE21" s="25">
        <v>0</v>
      </c>
      <c r="AF21" s="26">
        <v>0</v>
      </c>
      <c r="AG21" s="25">
        <v>0</v>
      </c>
      <c r="AH21" s="26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f t="shared" si="4"/>
        <v>0</v>
      </c>
      <c r="AO21" s="3" t="s">
        <v>1435</v>
      </c>
    </row>
    <row r="22" spans="1:41" s="2" customFormat="1" ht="31.5" customHeight="1" x14ac:dyDescent="0.25">
      <c r="A22" s="9" t="s">
        <v>55</v>
      </c>
      <c r="B22" s="10" t="s">
        <v>56</v>
      </c>
      <c r="C22" s="23" t="s">
        <v>48</v>
      </c>
      <c r="D22" s="36" t="s">
        <v>1435</v>
      </c>
      <c r="E22" s="24" t="s">
        <v>1435</v>
      </c>
      <c r="F22" s="24" t="s">
        <v>1435</v>
      </c>
      <c r="G22" s="24" t="s">
        <v>1435</v>
      </c>
      <c r="H22" s="25">
        <f>H652</f>
        <v>97.291066536869849</v>
      </c>
      <c r="I22" s="25">
        <f>I652</f>
        <v>36.595227061528924</v>
      </c>
      <c r="J22" s="25">
        <v>0</v>
      </c>
      <c r="K22" s="25">
        <v>698.54985773472515</v>
      </c>
      <c r="L22" s="25">
        <v>17.732857023011473</v>
      </c>
      <c r="M22" s="25">
        <v>343.68463729927356</v>
      </c>
      <c r="N22" s="25">
        <v>337.13450539701216</v>
      </c>
      <c r="O22" s="25">
        <v>0</v>
      </c>
      <c r="P22" s="25">
        <v>262.75373030177752</v>
      </c>
      <c r="Q22" s="25">
        <v>6.523486589152542</v>
      </c>
      <c r="R22" s="25">
        <v>132.286779749</v>
      </c>
      <c r="S22" s="25">
        <v>123.94346375000001</v>
      </c>
      <c r="T22" s="25">
        <v>0</v>
      </c>
      <c r="U22" s="25">
        <f>U652</f>
        <v>97.291066536869849</v>
      </c>
      <c r="V22" s="25">
        <v>698.54985773472515</v>
      </c>
      <c r="W22" s="25">
        <f>W652</f>
        <v>54.786981916705749</v>
      </c>
      <c r="X22" s="25">
        <f t="shared" si="0"/>
        <v>393.3705301619475</v>
      </c>
      <c r="Y22" s="25">
        <f>Y652</f>
        <v>15.74820996835342</v>
      </c>
      <c r="Z22" s="25">
        <f t="shared" si="2"/>
        <v>113.07214757277755</v>
      </c>
      <c r="AA22" s="25">
        <f t="shared" ref="AA22:AI22" si="6">AA652</f>
        <v>0</v>
      </c>
      <c r="AB22" s="26">
        <v>0</v>
      </c>
      <c r="AC22" s="25">
        <f>AC652</f>
        <v>85.883987000000019</v>
      </c>
      <c r="AD22" s="26">
        <f>AD652</f>
        <v>90.862884568999974</v>
      </c>
      <c r="AE22" s="25">
        <f t="shared" si="6"/>
        <v>106.22319300000002</v>
      </c>
      <c r="AF22" s="26">
        <f>AF652</f>
        <v>58.818698160000018</v>
      </c>
      <c r="AG22" s="25">
        <f t="shared" si="6"/>
        <v>121.04572510194741</v>
      </c>
      <c r="AH22" s="26">
        <f t="shared" si="6"/>
        <v>113.07214757277755</v>
      </c>
      <c r="AI22" s="25">
        <f t="shared" si="6"/>
        <v>117.17517210000001</v>
      </c>
      <c r="AJ22" s="25">
        <v>0</v>
      </c>
      <c r="AK22" s="25">
        <f>AK652</f>
        <v>155.14963296000008</v>
      </c>
      <c r="AL22" s="25">
        <v>0</v>
      </c>
      <c r="AM22" s="25">
        <f>AM652</f>
        <v>543.05211289094746</v>
      </c>
      <c r="AN22" s="25">
        <f t="shared" si="4"/>
        <v>262.75373030177752</v>
      </c>
      <c r="AO22" s="3" t="s">
        <v>1435</v>
      </c>
    </row>
    <row r="23" spans="1:41" s="2" customFormat="1" ht="31.5" customHeight="1" x14ac:dyDescent="0.25">
      <c r="A23" s="9" t="s">
        <v>57</v>
      </c>
      <c r="B23" s="10" t="s">
        <v>58</v>
      </c>
      <c r="C23" s="23" t="s">
        <v>48</v>
      </c>
      <c r="D23" s="36" t="s">
        <v>1435</v>
      </c>
      <c r="E23" s="24" t="s">
        <v>1435</v>
      </c>
      <c r="F23" s="24" t="s">
        <v>1435</v>
      </c>
      <c r="G23" s="24" t="s">
        <v>1435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f t="shared" si="0"/>
        <v>0</v>
      </c>
      <c r="Y23" s="25">
        <v>0</v>
      </c>
      <c r="Z23" s="25">
        <f t="shared" si="2"/>
        <v>0</v>
      </c>
      <c r="AA23" s="25">
        <v>0</v>
      </c>
      <c r="AB23" s="26">
        <v>0</v>
      </c>
      <c r="AC23" s="25">
        <v>0</v>
      </c>
      <c r="AD23" s="26">
        <v>0</v>
      </c>
      <c r="AE23" s="25">
        <v>0</v>
      </c>
      <c r="AF23" s="26">
        <v>0</v>
      </c>
      <c r="AG23" s="25">
        <v>0</v>
      </c>
      <c r="AH23" s="26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f t="shared" si="4"/>
        <v>0</v>
      </c>
      <c r="AO23" s="3" t="s">
        <v>1435</v>
      </c>
    </row>
    <row r="24" spans="1:41" s="2" customFormat="1" ht="31.5" customHeight="1" x14ac:dyDescent="0.25">
      <c r="A24" s="9" t="s">
        <v>59</v>
      </c>
      <c r="B24" s="10" t="s">
        <v>60</v>
      </c>
      <c r="C24" s="23" t="s">
        <v>48</v>
      </c>
      <c r="D24" s="36" t="s">
        <v>1435</v>
      </c>
      <c r="E24" s="24" t="s">
        <v>1435</v>
      </c>
      <c r="F24" s="24" t="s">
        <v>1435</v>
      </c>
      <c r="G24" s="24" t="s">
        <v>1435</v>
      </c>
      <c r="H24" s="25">
        <f>H767</f>
        <v>16.128901742127383</v>
      </c>
      <c r="I24" s="25">
        <f>I767</f>
        <v>8.9525531197771606</v>
      </c>
      <c r="J24" s="25">
        <v>0</v>
      </c>
      <c r="K24" s="25">
        <v>115.80551450847456</v>
      </c>
      <c r="L24" s="25">
        <v>0</v>
      </c>
      <c r="M24" s="25">
        <v>0</v>
      </c>
      <c r="N24" s="25">
        <v>115.80551450847456</v>
      </c>
      <c r="O24" s="25">
        <v>0</v>
      </c>
      <c r="P24" s="25">
        <v>64.279331400000004</v>
      </c>
      <c r="Q24" s="25">
        <v>0</v>
      </c>
      <c r="R24" s="25">
        <v>0</v>
      </c>
      <c r="S24" s="25">
        <v>64.279331400000004</v>
      </c>
      <c r="T24" s="25">
        <v>0</v>
      </c>
      <c r="U24" s="25">
        <f>U767</f>
        <v>16.128901742127383</v>
      </c>
      <c r="V24" s="25">
        <v>115.80551450847456</v>
      </c>
      <c r="W24" s="25">
        <f>W767</f>
        <v>8.1126504886454853</v>
      </c>
      <c r="X24" s="25">
        <f t="shared" si="0"/>
        <v>58.248830508474583</v>
      </c>
      <c r="Y24" s="25">
        <f>Y767</f>
        <v>2.6224233983286904</v>
      </c>
      <c r="Z24" s="25">
        <f t="shared" si="2"/>
        <v>18.828999999999997</v>
      </c>
      <c r="AA24" s="25">
        <f t="shared" ref="AA24:AI24" si="7">AA767</f>
        <v>0</v>
      </c>
      <c r="AB24" s="26">
        <v>0</v>
      </c>
      <c r="AC24" s="25">
        <f>AC767</f>
        <v>17.223811999999999</v>
      </c>
      <c r="AD24" s="26">
        <f>AD767</f>
        <v>24.080446640000002</v>
      </c>
      <c r="AE24" s="25">
        <f t="shared" si="7"/>
        <v>21.503872000000001</v>
      </c>
      <c r="AF24" s="26">
        <f>AF767</f>
        <v>21.369884760000005</v>
      </c>
      <c r="AG24" s="25">
        <f t="shared" si="7"/>
        <v>19.959000000000003</v>
      </c>
      <c r="AH24" s="26">
        <f t="shared" si="7"/>
        <v>18.828999999999997</v>
      </c>
      <c r="AI24" s="25">
        <f t="shared" si="7"/>
        <v>20.795762711864406</v>
      </c>
      <c r="AJ24" s="25">
        <v>0</v>
      </c>
      <c r="AK24" s="25">
        <f>AK767</f>
        <v>17.494067796610171</v>
      </c>
      <c r="AL24" s="25">
        <v>0</v>
      </c>
      <c r="AM24" s="25">
        <f>AM767</f>
        <v>103.69916190847458</v>
      </c>
      <c r="AN24" s="25">
        <f t="shared" si="4"/>
        <v>64.279331400000004</v>
      </c>
      <c r="AO24" s="3" t="s">
        <v>1435</v>
      </c>
    </row>
    <row r="25" spans="1:41" s="2" customFormat="1" ht="31.5" customHeight="1" x14ac:dyDescent="0.25">
      <c r="A25" s="9" t="s">
        <v>61</v>
      </c>
      <c r="B25" s="10" t="s">
        <v>139</v>
      </c>
      <c r="C25" s="23" t="s">
        <v>48</v>
      </c>
      <c r="D25" s="36"/>
      <c r="E25" s="24"/>
      <c r="F25" s="24"/>
      <c r="G25" s="24"/>
      <c r="H25" s="27"/>
      <c r="I25" s="27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7"/>
      <c r="V25" s="27"/>
      <c r="W25" s="27"/>
      <c r="X25" s="27"/>
      <c r="Y25" s="27"/>
      <c r="Z25" s="27"/>
      <c r="AA25" s="25"/>
      <c r="AB25" s="28"/>
      <c r="AC25" s="25"/>
      <c r="AD25" s="28"/>
      <c r="AE25" s="25"/>
      <c r="AF25" s="28"/>
      <c r="AG25" s="25"/>
      <c r="AH25" s="26"/>
      <c r="AI25" s="25"/>
      <c r="AJ25" s="27"/>
      <c r="AK25" s="25"/>
      <c r="AL25" s="27"/>
      <c r="AM25" s="27"/>
      <c r="AN25" s="25"/>
      <c r="AO25" s="3"/>
    </row>
    <row r="26" spans="1:41" s="2" customFormat="1" ht="31.5" customHeight="1" x14ac:dyDescent="0.25">
      <c r="A26" s="9" t="s">
        <v>62</v>
      </c>
      <c r="B26" s="10" t="s">
        <v>63</v>
      </c>
      <c r="C26" s="23" t="s">
        <v>48</v>
      </c>
      <c r="D26" s="36" t="s">
        <v>1435</v>
      </c>
      <c r="E26" s="24" t="s">
        <v>1435</v>
      </c>
      <c r="F26" s="24" t="s">
        <v>1435</v>
      </c>
      <c r="G26" s="24" t="s">
        <v>1435</v>
      </c>
      <c r="H26" s="25">
        <f>H27+H189+H192+H201</f>
        <v>2.0165944767291442</v>
      </c>
      <c r="I26" s="25">
        <f>I27+I189+I192+I201</f>
        <v>44.690016014763231</v>
      </c>
      <c r="J26" s="25">
        <v>0</v>
      </c>
      <c r="K26" s="25">
        <v>699.96143647850852</v>
      </c>
      <c r="L26" s="25">
        <v>22.474937316430129</v>
      </c>
      <c r="M26" s="25">
        <v>523.25124390191354</v>
      </c>
      <c r="N26" s="25">
        <v>154.23121064598729</v>
      </c>
      <c r="O26" s="25">
        <v>0</v>
      </c>
      <c r="P26" s="25">
        <v>314.18668136899998</v>
      </c>
      <c r="Q26" s="25">
        <v>8.7059029819900005</v>
      </c>
      <c r="R26" s="25">
        <v>139.188797389</v>
      </c>
      <c r="S26" s="25">
        <v>138.93797298797838</v>
      </c>
      <c r="T26" s="25">
        <v>0</v>
      </c>
      <c r="U26" s="25">
        <f>U27+U189+U192+U201</f>
        <v>2.0165944767291442</v>
      </c>
      <c r="V26" s="25">
        <v>699.96143647850852</v>
      </c>
      <c r="W26" s="25">
        <f>W27+W189+W192+W201</f>
        <v>8.5286736629526461E-2</v>
      </c>
      <c r="X26" s="25">
        <f t="shared" ref="X26:X57" si="8">AG26+AI26+AK26</f>
        <v>413.20905368425429</v>
      </c>
      <c r="Y26" s="25">
        <f>Y27+Y189+Y192+Y201</f>
        <v>1.0757233062674096</v>
      </c>
      <c r="Z26" s="25">
        <f t="shared" si="2"/>
        <v>91.223693339000008</v>
      </c>
      <c r="AA26" s="25">
        <f>AA201</f>
        <v>0</v>
      </c>
      <c r="AB26" s="26">
        <v>0</v>
      </c>
      <c r="AC26" s="25">
        <f>AC201+129.905/1.18</f>
        <v>110.94516705084746</v>
      </c>
      <c r="AD26" s="26">
        <f t="shared" ref="AD26:AI26" si="9">AD27+AD189+AD192+AD201</f>
        <v>110.52608565999998</v>
      </c>
      <c r="AE26" s="25">
        <f t="shared" si="9"/>
        <v>84.583522404406779</v>
      </c>
      <c r="AF26" s="26">
        <f t="shared" si="9"/>
        <v>112.43690237</v>
      </c>
      <c r="AG26" s="25">
        <f t="shared" si="9"/>
        <v>84.107358769000001</v>
      </c>
      <c r="AH26" s="25">
        <f t="shared" si="9"/>
        <v>91.223693339000008</v>
      </c>
      <c r="AI26" s="25">
        <f t="shared" si="9"/>
        <v>160.77118644067798</v>
      </c>
      <c r="AJ26" s="25">
        <f>AJ27</f>
        <v>0</v>
      </c>
      <c r="AK26" s="25">
        <f>AK27+AK189+AK192+AK201</f>
        <v>168.33050847457628</v>
      </c>
      <c r="AL26" s="25">
        <f>AL27</f>
        <v>0</v>
      </c>
      <c r="AM26" s="25">
        <f>AD26+AF26+AG26+AI26+AK26</f>
        <v>636.17204171425419</v>
      </c>
      <c r="AN26" s="25">
        <f t="shared" si="4"/>
        <v>314.18668136899998</v>
      </c>
      <c r="AO26" s="3" t="s">
        <v>1435</v>
      </c>
    </row>
    <row r="27" spans="1:41" s="2" customFormat="1" ht="31.5" customHeight="1" x14ac:dyDescent="0.25">
      <c r="A27" s="9" t="s">
        <v>64</v>
      </c>
      <c r="B27" s="10" t="s">
        <v>65</v>
      </c>
      <c r="C27" s="23" t="s">
        <v>48</v>
      </c>
      <c r="D27" s="36" t="s">
        <v>1435</v>
      </c>
      <c r="E27" s="24" t="s">
        <v>1435</v>
      </c>
      <c r="F27" s="24" t="s">
        <v>1435</v>
      </c>
      <c r="G27" s="24" t="s">
        <v>1435</v>
      </c>
      <c r="H27" s="25">
        <f>H28+H33+H41</f>
        <v>0</v>
      </c>
      <c r="I27" s="25">
        <f>I28+I33+I41</f>
        <v>42.456837585933144</v>
      </c>
      <c r="J27" s="25">
        <v>0</v>
      </c>
      <c r="K27" s="25">
        <v>575.39330508474586</v>
      </c>
      <c r="L27" s="25">
        <v>18.457020716430129</v>
      </c>
      <c r="M27" s="25">
        <v>439.57039278391358</v>
      </c>
      <c r="N27" s="25">
        <v>117.36226374598731</v>
      </c>
      <c r="O27" s="25">
        <v>0</v>
      </c>
      <c r="P27" s="25">
        <v>298.15246024999999</v>
      </c>
      <c r="Q27" s="25">
        <v>8.0410382319900009</v>
      </c>
      <c r="R27" s="25">
        <v>132.45267124999998</v>
      </c>
      <c r="S27" s="25">
        <v>130.3060538079784</v>
      </c>
      <c r="T27" s="25">
        <v>0</v>
      </c>
      <c r="U27" s="25">
        <f>U28+U33+U41</f>
        <v>0</v>
      </c>
      <c r="V27" s="25">
        <v>575.39330508474586</v>
      </c>
      <c r="W27" s="25">
        <f>W28+W33+W41</f>
        <v>0</v>
      </c>
      <c r="X27" s="25">
        <f t="shared" si="8"/>
        <v>412.59669491525426</v>
      </c>
      <c r="Y27" s="25">
        <f>Y28+Y33+Y41</f>
        <v>0</v>
      </c>
      <c r="Z27" s="25">
        <f t="shared" si="2"/>
        <v>83.5</v>
      </c>
      <c r="AA27" s="25">
        <v>0</v>
      </c>
      <c r="AB27" s="26">
        <v>0</v>
      </c>
      <c r="AC27" s="25">
        <v>0</v>
      </c>
      <c r="AD27" s="26">
        <f>AD28+AD33+AD41</f>
        <v>107.65110176999998</v>
      </c>
      <c r="AE27" s="25">
        <f>93.57/1.18</f>
        <v>79.29661016949153</v>
      </c>
      <c r="AF27" s="26">
        <f>AF28+AF33+AF41</f>
        <v>107.00135847999999</v>
      </c>
      <c r="AG27" s="25">
        <v>83.495000000000005</v>
      </c>
      <c r="AH27" s="26">
        <f>98.53/1.18</f>
        <v>83.5</v>
      </c>
      <c r="AI27" s="25">
        <f>189.71/1.18+AI202</f>
        <v>160.77118644067798</v>
      </c>
      <c r="AJ27" s="25">
        <v>0</v>
      </c>
      <c r="AK27" s="25">
        <f>198.63/1.18+AK202</f>
        <v>168.33050847457628</v>
      </c>
      <c r="AL27" s="25">
        <v>0</v>
      </c>
      <c r="AM27" s="25">
        <f t="shared" ref="AM27:AM90" si="10">AD27+AF27+AG27+AI27+AK27</f>
        <v>627.24915516525425</v>
      </c>
      <c r="AN27" s="25">
        <f t="shared" si="4"/>
        <v>298.15246024999999</v>
      </c>
      <c r="AO27" s="3" t="s">
        <v>1435</v>
      </c>
    </row>
    <row r="28" spans="1:41" s="2" customFormat="1" ht="54.75" customHeight="1" x14ac:dyDescent="0.25">
      <c r="A28" s="9" t="s">
        <v>66</v>
      </c>
      <c r="B28" s="10" t="s">
        <v>67</v>
      </c>
      <c r="C28" s="23" t="s">
        <v>48</v>
      </c>
      <c r="D28" s="36" t="s">
        <v>1435</v>
      </c>
      <c r="E28" s="24" t="s">
        <v>1435</v>
      </c>
      <c r="F28" s="24" t="s">
        <v>1435</v>
      </c>
      <c r="G28" s="24" t="s">
        <v>1435</v>
      </c>
      <c r="H28" s="25">
        <f>SUM(H29:H32)</f>
        <v>0</v>
      </c>
      <c r="I28" s="25">
        <f>SUM(I29:I32)</f>
        <v>5.5733459846796656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40.01662417</v>
      </c>
      <c r="Q28" s="25">
        <v>1.5911435699999998</v>
      </c>
      <c r="R28" s="25">
        <v>22.296389649999998</v>
      </c>
      <c r="S28" s="25">
        <v>16.129090949999998</v>
      </c>
      <c r="T28" s="25">
        <v>0</v>
      </c>
      <c r="U28" s="25">
        <f>SUM(U29:U32)</f>
        <v>0</v>
      </c>
      <c r="V28" s="25">
        <v>0</v>
      </c>
      <c r="W28" s="25">
        <f>SUM(W29:W32)</f>
        <v>0</v>
      </c>
      <c r="X28" s="25">
        <f t="shared" si="8"/>
        <v>0</v>
      </c>
      <c r="Y28" s="25">
        <f>SUM(Y29:Y32)</f>
        <v>0</v>
      </c>
      <c r="Z28" s="25">
        <f t="shared" si="2"/>
        <v>0</v>
      </c>
      <c r="AA28" s="25">
        <f>SUM(AA29:AA32)</f>
        <v>0</v>
      </c>
      <c r="AB28" s="26">
        <v>0</v>
      </c>
      <c r="AC28" s="25">
        <f>SUM(AC29:AC32)</f>
        <v>0</v>
      </c>
      <c r="AD28" s="26">
        <f>SUM(AD29:AD32)</f>
        <v>23.728558209999999</v>
      </c>
      <c r="AE28" s="25">
        <f>SUM(AE29:AE32)</f>
        <v>0</v>
      </c>
      <c r="AF28" s="26">
        <f>SUM(AF29:AF32)</f>
        <v>16.288065960000001</v>
      </c>
      <c r="AG28" s="25">
        <v>0</v>
      </c>
      <c r="AH28" s="26">
        <f>SUM(AH29:AH32)</f>
        <v>0</v>
      </c>
      <c r="AI28" s="25">
        <f>SUM(AI29:AI32)</f>
        <v>0</v>
      </c>
      <c r="AJ28" s="25">
        <v>0</v>
      </c>
      <c r="AK28" s="25">
        <f>SUM(AK29:AK32)</f>
        <v>0</v>
      </c>
      <c r="AL28" s="25">
        <v>0</v>
      </c>
      <c r="AM28" s="25">
        <f t="shared" si="10"/>
        <v>40.01662417</v>
      </c>
      <c r="AN28" s="25">
        <f t="shared" si="4"/>
        <v>40.01662417</v>
      </c>
      <c r="AO28" s="3" t="s">
        <v>1435</v>
      </c>
    </row>
    <row r="29" spans="1:41" s="2" customFormat="1" ht="31.5" customHeight="1" x14ac:dyDescent="0.25">
      <c r="A29" s="8" t="s">
        <v>66</v>
      </c>
      <c r="B29" s="37" t="s">
        <v>140</v>
      </c>
      <c r="C29" s="29" t="s">
        <v>141</v>
      </c>
      <c r="D29" s="36" t="s">
        <v>1435</v>
      </c>
      <c r="E29" s="30">
        <v>2015</v>
      </c>
      <c r="F29" s="30">
        <v>2015</v>
      </c>
      <c r="G29" s="30" t="s">
        <v>1435</v>
      </c>
      <c r="H29" s="27">
        <v>0</v>
      </c>
      <c r="I29" s="27">
        <v>2.620668799442897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18.816401979999998</v>
      </c>
      <c r="Q29" s="27">
        <v>0.15289174</v>
      </c>
      <c r="R29" s="27">
        <v>10.683386759999999</v>
      </c>
      <c r="S29" s="27">
        <v>7.9801234800000005</v>
      </c>
      <c r="T29" s="27">
        <v>0</v>
      </c>
      <c r="U29" s="27">
        <v>0</v>
      </c>
      <c r="V29" s="27">
        <v>0</v>
      </c>
      <c r="W29" s="27">
        <v>0</v>
      </c>
      <c r="X29" s="27">
        <f t="shared" si="8"/>
        <v>0</v>
      </c>
      <c r="Y29" s="27">
        <v>0</v>
      </c>
      <c r="Z29" s="27">
        <f t="shared" si="2"/>
        <v>0</v>
      </c>
      <c r="AA29" s="27">
        <v>0</v>
      </c>
      <c r="AB29" s="28">
        <v>0</v>
      </c>
      <c r="AC29" s="27">
        <v>0</v>
      </c>
      <c r="AD29" s="28">
        <f>18816.40198/1000</f>
        <v>18.816401979999998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f t="shared" si="10"/>
        <v>18.816401979999998</v>
      </c>
      <c r="AN29" s="27">
        <f t="shared" si="4"/>
        <v>18.816401979999998</v>
      </c>
      <c r="AO29" s="34" t="s">
        <v>1485</v>
      </c>
    </row>
    <row r="30" spans="1:41" s="2" customFormat="1" ht="31.5" customHeight="1" x14ac:dyDescent="0.25">
      <c r="A30" s="8" t="s">
        <v>66</v>
      </c>
      <c r="B30" s="37" t="s">
        <v>142</v>
      </c>
      <c r="C30" s="29" t="s">
        <v>143</v>
      </c>
      <c r="D30" s="36" t="s">
        <v>1435</v>
      </c>
      <c r="E30" s="30">
        <v>2015</v>
      </c>
      <c r="F30" s="30">
        <v>2015</v>
      </c>
      <c r="G30" s="30" t="s">
        <v>1435</v>
      </c>
      <c r="H30" s="27">
        <v>0</v>
      </c>
      <c r="I30" s="27">
        <v>0.68414432172701956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4.9121562299999999</v>
      </c>
      <c r="Q30" s="27">
        <v>0.65731434</v>
      </c>
      <c r="R30" s="27">
        <v>3.1699094799999998</v>
      </c>
      <c r="S30" s="27">
        <v>1.08493241</v>
      </c>
      <c r="T30" s="27">
        <v>0</v>
      </c>
      <c r="U30" s="27">
        <v>0</v>
      </c>
      <c r="V30" s="27">
        <v>0</v>
      </c>
      <c r="W30" s="27">
        <v>0</v>
      </c>
      <c r="X30" s="27">
        <f t="shared" si="8"/>
        <v>0</v>
      </c>
      <c r="Y30" s="27">
        <v>0</v>
      </c>
      <c r="Z30" s="27">
        <f t="shared" si="2"/>
        <v>0</v>
      </c>
      <c r="AA30" s="27">
        <v>0</v>
      </c>
      <c r="AB30" s="28">
        <v>0</v>
      </c>
      <c r="AC30" s="27">
        <v>0</v>
      </c>
      <c r="AD30" s="28">
        <f>4912.15623/1000</f>
        <v>4.9121562299999999</v>
      </c>
      <c r="AE30" s="27">
        <v>0</v>
      </c>
      <c r="AF30" s="28">
        <v>0</v>
      </c>
      <c r="AG30" s="27">
        <v>0</v>
      </c>
      <c r="AH30" s="28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f t="shared" si="10"/>
        <v>4.9121562299999999</v>
      </c>
      <c r="AN30" s="27">
        <f t="shared" si="4"/>
        <v>4.9121562299999999</v>
      </c>
      <c r="AO30" s="34" t="s">
        <v>1485</v>
      </c>
    </row>
    <row r="31" spans="1:41" s="2" customFormat="1" ht="31.5" customHeight="1" x14ac:dyDescent="0.25">
      <c r="A31" s="8" t="s">
        <v>66</v>
      </c>
      <c r="B31" s="37" t="s">
        <v>144</v>
      </c>
      <c r="C31" s="29" t="s">
        <v>145</v>
      </c>
      <c r="D31" s="36" t="s">
        <v>1435</v>
      </c>
      <c r="E31" s="30">
        <v>2016</v>
      </c>
      <c r="F31" s="30">
        <v>2016</v>
      </c>
      <c r="G31" s="30" t="s">
        <v>1435</v>
      </c>
      <c r="H31" s="27">
        <v>0</v>
      </c>
      <c r="I31" s="27">
        <v>1.8283384651810586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13.12747018</v>
      </c>
      <c r="Q31" s="27">
        <v>0.55452062999999996</v>
      </c>
      <c r="R31" s="27">
        <v>6.4177279</v>
      </c>
      <c r="S31" s="27">
        <v>6.1552216500000005</v>
      </c>
      <c r="T31" s="27">
        <v>0</v>
      </c>
      <c r="U31" s="27">
        <v>0</v>
      </c>
      <c r="V31" s="27">
        <v>0</v>
      </c>
      <c r="W31" s="27">
        <v>0</v>
      </c>
      <c r="X31" s="27">
        <f t="shared" si="8"/>
        <v>0</v>
      </c>
      <c r="Y31" s="27">
        <v>0</v>
      </c>
      <c r="Z31" s="27">
        <f t="shared" si="2"/>
        <v>0</v>
      </c>
      <c r="AA31" s="27">
        <v>0</v>
      </c>
      <c r="AB31" s="28">
        <v>0</v>
      </c>
      <c r="AC31" s="27">
        <v>0</v>
      </c>
      <c r="AD31" s="28">
        <v>0</v>
      </c>
      <c r="AE31" s="27">
        <v>0</v>
      </c>
      <c r="AF31" s="28">
        <f>13127.47018/1000</f>
        <v>13.12747018</v>
      </c>
      <c r="AG31" s="27">
        <v>0</v>
      </c>
      <c r="AH31" s="28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f t="shared" si="10"/>
        <v>13.12747018</v>
      </c>
      <c r="AN31" s="27">
        <f t="shared" si="4"/>
        <v>13.12747018</v>
      </c>
      <c r="AO31" s="34" t="s">
        <v>1485</v>
      </c>
    </row>
    <row r="32" spans="1:41" s="2" customFormat="1" ht="31.5" customHeight="1" x14ac:dyDescent="0.25">
      <c r="A32" s="8" t="s">
        <v>66</v>
      </c>
      <c r="B32" s="37" t="s">
        <v>146</v>
      </c>
      <c r="C32" s="29" t="s">
        <v>147</v>
      </c>
      <c r="D32" s="36" t="s">
        <v>1435</v>
      </c>
      <c r="E32" s="30">
        <v>2016</v>
      </c>
      <c r="F32" s="30">
        <v>2016</v>
      </c>
      <c r="G32" s="30" t="s">
        <v>1435</v>
      </c>
      <c r="H32" s="27">
        <v>0</v>
      </c>
      <c r="I32" s="27">
        <v>0.44019439832869084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3.16059578</v>
      </c>
      <c r="Q32" s="27">
        <v>0.22641686</v>
      </c>
      <c r="R32" s="27">
        <v>2.0253655099999999</v>
      </c>
      <c r="S32" s="27">
        <v>0.90881341000000004</v>
      </c>
      <c r="T32" s="27">
        <v>0</v>
      </c>
      <c r="U32" s="27">
        <v>0</v>
      </c>
      <c r="V32" s="27">
        <v>0</v>
      </c>
      <c r="W32" s="27">
        <v>0</v>
      </c>
      <c r="X32" s="27">
        <f t="shared" si="8"/>
        <v>0</v>
      </c>
      <c r="Y32" s="27">
        <v>0</v>
      </c>
      <c r="Z32" s="27">
        <f t="shared" si="2"/>
        <v>0</v>
      </c>
      <c r="AA32" s="27">
        <v>0</v>
      </c>
      <c r="AB32" s="28">
        <v>0</v>
      </c>
      <c r="AC32" s="27">
        <v>0</v>
      </c>
      <c r="AD32" s="28">
        <v>0</v>
      </c>
      <c r="AE32" s="27">
        <v>0</v>
      </c>
      <c r="AF32" s="28">
        <f>3160.59578/1000</f>
        <v>3.16059578</v>
      </c>
      <c r="AG32" s="27">
        <v>0</v>
      </c>
      <c r="AH32" s="28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f t="shared" si="10"/>
        <v>3.16059578</v>
      </c>
      <c r="AN32" s="27">
        <f t="shared" si="4"/>
        <v>3.16059578</v>
      </c>
      <c r="AO32" s="34" t="s">
        <v>1485</v>
      </c>
    </row>
    <row r="33" spans="1:41" s="2" customFormat="1" ht="56.25" customHeight="1" x14ac:dyDescent="0.25">
      <c r="A33" s="9" t="s">
        <v>68</v>
      </c>
      <c r="B33" s="10" t="s">
        <v>69</v>
      </c>
      <c r="C33" s="23" t="s">
        <v>48</v>
      </c>
      <c r="D33" s="36" t="s">
        <v>1435</v>
      </c>
      <c r="E33" s="24" t="s">
        <v>1435</v>
      </c>
      <c r="F33" s="24" t="s">
        <v>1435</v>
      </c>
      <c r="G33" s="24" t="s">
        <v>1435</v>
      </c>
      <c r="H33" s="25">
        <f>SUM(H34:H40)</f>
        <v>0</v>
      </c>
      <c r="I33" s="25">
        <v>17.579581149999999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36.03375904</v>
      </c>
      <c r="Q33" s="25">
        <v>2.44277919</v>
      </c>
      <c r="R33" s="25">
        <v>23.17392384</v>
      </c>
      <c r="S33" s="25">
        <v>10.41705602</v>
      </c>
      <c r="T33" s="25">
        <v>0</v>
      </c>
      <c r="U33" s="25">
        <f>SUM(U34:U40)</f>
        <v>0</v>
      </c>
      <c r="V33" s="25">
        <v>0</v>
      </c>
      <c r="W33" s="25">
        <f>SUM(W34:W40)</f>
        <v>0</v>
      </c>
      <c r="X33" s="25">
        <f t="shared" si="8"/>
        <v>0</v>
      </c>
      <c r="Y33" s="25">
        <f>SUM(Y34:Y40)</f>
        <v>0</v>
      </c>
      <c r="Z33" s="25">
        <f t="shared" si="2"/>
        <v>0</v>
      </c>
      <c r="AA33" s="25">
        <f>SUM(AA34:AA40)</f>
        <v>0</v>
      </c>
      <c r="AB33" s="26">
        <v>0</v>
      </c>
      <c r="AC33" s="25">
        <f>SUM(AC34:AC40)</f>
        <v>0</v>
      </c>
      <c r="AD33" s="26">
        <f>SUM(AD34:AD40)</f>
        <v>18.45417789</v>
      </c>
      <c r="AE33" s="25">
        <f>SUM(AE34:AE40)</f>
        <v>0</v>
      </c>
      <c r="AF33" s="26">
        <f>SUM(AF34:AF40)</f>
        <v>17.579581149999999</v>
      </c>
      <c r="AG33" s="25">
        <v>0</v>
      </c>
      <c r="AH33" s="26">
        <f>SUM(AH34:AH40)</f>
        <v>0</v>
      </c>
      <c r="AI33" s="25">
        <f>SUM(AI34:AI40)</f>
        <v>0</v>
      </c>
      <c r="AJ33" s="25">
        <v>0</v>
      </c>
      <c r="AK33" s="25">
        <f>SUM(AK34:AK40)</f>
        <v>0</v>
      </c>
      <c r="AL33" s="25">
        <v>0</v>
      </c>
      <c r="AM33" s="25">
        <f t="shared" si="10"/>
        <v>36.03375904</v>
      </c>
      <c r="AN33" s="25">
        <f t="shared" si="4"/>
        <v>36.03375904</v>
      </c>
      <c r="AO33" s="3" t="s">
        <v>1435</v>
      </c>
    </row>
    <row r="34" spans="1:41" s="2" customFormat="1" ht="51.75" customHeight="1" x14ac:dyDescent="0.25">
      <c r="A34" s="8" t="s">
        <v>68</v>
      </c>
      <c r="B34" s="37" t="s">
        <v>148</v>
      </c>
      <c r="C34" s="29" t="s">
        <v>149</v>
      </c>
      <c r="D34" s="36" t="s">
        <v>1435</v>
      </c>
      <c r="E34" s="30">
        <v>2015</v>
      </c>
      <c r="F34" s="30">
        <v>2015</v>
      </c>
      <c r="G34" s="30" t="s">
        <v>1435</v>
      </c>
      <c r="H34" s="27">
        <v>0</v>
      </c>
      <c r="I34" s="27">
        <v>0.43998910167130917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3.1591217499999997</v>
      </c>
      <c r="Q34" s="27">
        <v>0.10498875000000001</v>
      </c>
      <c r="R34" s="27">
        <v>2.1604958700000001</v>
      </c>
      <c r="S34" s="27">
        <v>0.89363713</v>
      </c>
      <c r="T34" s="27">
        <v>0</v>
      </c>
      <c r="U34" s="27">
        <v>0</v>
      </c>
      <c r="V34" s="27">
        <v>0</v>
      </c>
      <c r="W34" s="27">
        <v>0</v>
      </c>
      <c r="X34" s="27">
        <f t="shared" si="8"/>
        <v>0</v>
      </c>
      <c r="Y34" s="27">
        <v>0</v>
      </c>
      <c r="Z34" s="27">
        <f t="shared" si="2"/>
        <v>0</v>
      </c>
      <c r="AA34" s="27">
        <v>0</v>
      </c>
      <c r="AB34" s="28">
        <v>0</v>
      </c>
      <c r="AC34" s="27">
        <v>0</v>
      </c>
      <c r="AD34" s="28">
        <f>3159.12175/1000</f>
        <v>3.1591217499999997</v>
      </c>
      <c r="AE34" s="27">
        <v>0</v>
      </c>
      <c r="AF34" s="28">
        <v>0</v>
      </c>
      <c r="AG34" s="27">
        <v>0</v>
      </c>
      <c r="AH34" s="28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f t="shared" si="10"/>
        <v>3.1591217499999997</v>
      </c>
      <c r="AN34" s="27">
        <f t="shared" si="4"/>
        <v>3.1591217499999997</v>
      </c>
      <c r="AO34" s="34" t="s">
        <v>1485</v>
      </c>
    </row>
    <row r="35" spans="1:41" ht="39" customHeight="1" x14ac:dyDescent="0.25">
      <c r="A35" s="8" t="s">
        <v>68</v>
      </c>
      <c r="B35" s="37" t="s">
        <v>150</v>
      </c>
      <c r="C35" s="29" t="s">
        <v>151</v>
      </c>
      <c r="D35" s="38" t="s">
        <v>1435</v>
      </c>
      <c r="E35" s="30">
        <v>2015</v>
      </c>
      <c r="F35" s="30">
        <v>2015</v>
      </c>
      <c r="G35" s="30" t="s">
        <v>1435</v>
      </c>
      <c r="H35" s="27">
        <v>0</v>
      </c>
      <c r="I35" s="27">
        <v>2.6723412256267408E-3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1.9187409999999998E-2</v>
      </c>
      <c r="Q35" s="27">
        <v>0</v>
      </c>
      <c r="R35" s="27">
        <v>1.21867E-2</v>
      </c>
      <c r="S35" s="27">
        <v>7.0007100000000003E-3</v>
      </c>
      <c r="T35" s="27">
        <v>0</v>
      </c>
      <c r="U35" s="27">
        <v>0</v>
      </c>
      <c r="V35" s="27">
        <v>0</v>
      </c>
      <c r="W35" s="27">
        <v>0</v>
      </c>
      <c r="X35" s="27">
        <f t="shared" si="8"/>
        <v>0</v>
      </c>
      <c r="Y35" s="27">
        <v>0</v>
      </c>
      <c r="Z35" s="27">
        <f t="shared" si="2"/>
        <v>0</v>
      </c>
      <c r="AA35" s="27">
        <v>0</v>
      </c>
      <c r="AB35" s="28">
        <v>0</v>
      </c>
      <c r="AC35" s="27">
        <v>0</v>
      </c>
      <c r="AD35" s="28">
        <f>19.18741/1000</f>
        <v>1.9187409999999998E-2</v>
      </c>
      <c r="AE35" s="27">
        <v>0</v>
      </c>
      <c r="AF35" s="28">
        <v>0</v>
      </c>
      <c r="AG35" s="27">
        <v>0</v>
      </c>
      <c r="AH35" s="28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f t="shared" si="10"/>
        <v>1.9187409999999998E-2</v>
      </c>
      <c r="AN35" s="27">
        <f t="shared" si="4"/>
        <v>1.9187409999999998E-2</v>
      </c>
      <c r="AO35" s="34" t="s">
        <v>1485</v>
      </c>
    </row>
    <row r="36" spans="1:41" ht="39" customHeight="1" x14ac:dyDescent="0.25">
      <c r="A36" s="8" t="s">
        <v>68</v>
      </c>
      <c r="B36" s="37" t="s">
        <v>152</v>
      </c>
      <c r="C36" s="29" t="s">
        <v>153</v>
      </c>
      <c r="D36" s="38" t="s">
        <v>1435</v>
      </c>
      <c r="E36" s="30">
        <v>2015</v>
      </c>
      <c r="F36" s="30">
        <v>2015</v>
      </c>
      <c r="G36" s="30" t="s">
        <v>1435</v>
      </c>
      <c r="H36" s="27">
        <v>0</v>
      </c>
      <c r="I36" s="27">
        <v>2.0508630877437328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14.725196970000001</v>
      </c>
      <c r="Q36" s="27">
        <v>1.15814847</v>
      </c>
      <c r="R36" s="27">
        <v>9.6367021800000003</v>
      </c>
      <c r="S36" s="27">
        <v>3.9303463299999999</v>
      </c>
      <c r="T36" s="27">
        <v>0</v>
      </c>
      <c r="U36" s="27">
        <v>0</v>
      </c>
      <c r="V36" s="27">
        <v>0</v>
      </c>
      <c r="W36" s="27">
        <v>0</v>
      </c>
      <c r="X36" s="27">
        <f t="shared" si="8"/>
        <v>0</v>
      </c>
      <c r="Y36" s="27">
        <v>0</v>
      </c>
      <c r="Z36" s="27">
        <f t="shared" si="2"/>
        <v>0</v>
      </c>
      <c r="AA36" s="27">
        <v>0</v>
      </c>
      <c r="AB36" s="28">
        <v>0</v>
      </c>
      <c r="AC36" s="27">
        <v>0</v>
      </c>
      <c r="AD36" s="28">
        <f>14725.19697/1000</f>
        <v>14.725196970000001</v>
      </c>
      <c r="AE36" s="27">
        <v>0</v>
      </c>
      <c r="AF36" s="28">
        <v>0</v>
      </c>
      <c r="AG36" s="27">
        <v>0</v>
      </c>
      <c r="AH36" s="28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f t="shared" si="10"/>
        <v>14.725196970000001</v>
      </c>
      <c r="AN36" s="27">
        <f t="shared" si="4"/>
        <v>14.725196970000001</v>
      </c>
      <c r="AO36" s="34" t="s">
        <v>1485</v>
      </c>
    </row>
    <row r="37" spans="1:41" ht="39" customHeight="1" x14ac:dyDescent="0.25">
      <c r="A37" s="8" t="s">
        <v>68</v>
      </c>
      <c r="B37" s="37" t="s">
        <v>154</v>
      </c>
      <c r="C37" s="29" t="s">
        <v>155</v>
      </c>
      <c r="D37" s="38" t="s">
        <v>1435</v>
      </c>
      <c r="E37" s="30">
        <v>2015</v>
      </c>
      <c r="F37" s="30">
        <v>2015</v>
      </c>
      <c r="G37" s="30" t="s">
        <v>1435</v>
      </c>
      <c r="H37" s="27">
        <v>0</v>
      </c>
      <c r="I37" s="27">
        <v>7.6695231197771579E-2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0.55067175999999995</v>
      </c>
      <c r="Q37" s="27">
        <v>0.12110119</v>
      </c>
      <c r="R37" s="27">
        <v>0.26299872999999996</v>
      </c>
      <c r="S37" s="27">
        <v>0.16657182999999998</v>
      </c>
      <c r="T37" s="27">
        <v>0</v>
      </c>
      <c r="U37" s="27">
        <v>0</v>
      </c>
      <c r="V37" s="27">
        <v>0</v>
      </c>
      <c r="W37" s="27">
        <v>0</v>
      </c>
      <c r="X37" s="27">
        <f t="shared" si="8"/>
        <v>0</v>
      </c>
      <c r="Y37" s="27">
        <v>0</v>
      </c>
      <c r="Z37" s="27">
        <f t="shared" si="2"/>
        <v>0</v>
      </c>
      <c r="AA37" s="27">
        <v>0</v>
      </c>
      <c r="AB37" s="28">
        <v>0</v>
      </c>
      <c r="AC37" s="27">
        <v>0</v>
      </c>
      <c r="AD37" s="28">
        <f>550.67176/1000</f>
        <v>0.55067175999999995</v>
      </c>
      <c r="AE37" s="27">
        <v>0</v>
      </c>
      <c r="AF37" s="28">
        <v>0</v>
      </c>
      <c r="AG37" s="27">
        <v>0</v>
      </c>
      <c r="AH37" s="28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f t="shared" si="10"/>
        <v>0.55067175999999995</v>
      </c>
      <c r="AN37" s="27">
        <f t="shared" si="4"/>
        <v>0.55067175999999995</v>
      </c>
      <c r="AO37" s="34" t="s">
        <v>1485</v>
      </c>
    </row>
    <row r="38" spans="1:41" ht="36" customHeight="1" x14ac:dyDescent="0.25">
      <c r="A38" s="8" t="s">
        <v>68</v>
      </c>
      <c r="B38" s="37" t="s">
        <v>156</v>
      </c>
      <c r="C38" s="29" t="s">
        <v>157</v>
      </c>
      <c r="D38" s="38" t="s">
        <v>1435</v>
      </c>
      <c r="E38" s="30">
        <v>2016</v>
      </c>
      <c r="F38" s="30">
        <v>2016</v>
      </c>
      <c r="G38" s="30" t="s">
        <v>1435</v>
      </c>
      <c r="H38" s="27">
        <v>0</v>
      </c>
      <c r="I38" s="27">
        <v>1.389806213091922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9.9788086099999997</v>
      </c>
      <c r="Q38" s="27">
        <v>0.59964640000000002</v>
      </c>
      <c r="R38" s="27">
        <v>5.7733421900000002</v>
      </c>
      <c r="S38" s="27">
        <v>3.6058200299999998</v>
      </c>
      <c r="T38" s="27">
        <v>0</v>
      </c>
      <c r="U38" s="27">
        <v>0</v>
      </c>
      <c r="V38" s="27">
        <v>0</v>
      </c>
      <c r="W38" s="27">
        <v>0</v>
      </c>
      <c r="X38" s="27">
        <f t="shared" si="8"/>
        <v>0</v>
      </c>
      <c r="Y38" s="27">
        <v>0</v>
      </c>
      <c r="Z38" s="27">
        <f t="shared" si="2"/>
        <v>0</v>
      </c>
      <c r="AA38" s="27">
        <v>0</v>
      </c>
      <c r="AB38" s="28">
        <v>0</v>
      </c>
      <c r="AC38" s="27">
        <v>0</v>
      </c>
      <c r="AD38" s="28">
        <v>0</v>
      </c>
      <c r="AE38" s="27">
        <v>0</v>
      </c>
      <c r="AF38" s="28">
        <f>9978808.61/1000000</f>
        <v>9.9788086099999997</v>
      </c>
      <c r="AG38" s="27">
        <v>0</v>
      </c>
      <c r="AH38" s="28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f t="shared" si="10"/>
        <v>9.9788086099999997</v>
      </c>
      <c r="AN38" s="27">
        <f t="shared" si="4"/>
        <v>9.9788086099999997</v>
      </c>
      <c r="AO38" s="34" t="s">
        <v>1485</v>
      </c>
    </row>
    <row r="39" spans="1:41" ht="37.5" customHeight="1" x14ac:dyDescent="0.25">
      <c r="A39" s="8" t="s">
        <v>68</v>
      </c>
      <c r="B39" s="37" t="s">
        <v>158</v>
      </c>
      <c r="C39" s="29" t="s">
        <v>159</v>
      </c>
      <c r="D39" s="38" t="s">
        <v>1435</v>
      </c>
      <c r="E39" s="30">
        <v>2016</v>
      </c>
      <c r="F39" s="30">
        <v>2016</v>
      </c>
      <c r="G39" s="30" t="s">
        <v>1435</v>
      </c>
      <c r="H39" s="27">
        <v>0</v>
      </c>
      <c r="I39" s="27">
        <v>0.87487665041782736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6.2816143499999999</v>
      </c>
      <c r="Q39" s="27">
        <v>0.31212456</v>
      </c>
      <c r="R39" s="27">
        <v>4.7300118700000002</v>
      </c>
      <c r="S39" s="27">
        <v>1.2394779199999999</v>
      </c>
      <c r="T39" s="27">
        <v>0</v>
      </c>
      <c r="U39" s="27">
        <v>0</v>
      </c>
      <c r="V39" s="27">
        <v>0</v>
      </c>
      <c r="W39" s="27">
        <v>0</v>
      </c>
      <c r="X39" s="27">
        <f t="shared" si="8"/>
        <v>0</v>
      </c>
      <c r="Y39" s="27">
        <v>0</v>
      </c>
      <c r="Z39" s="27">
        <f t="shared" si="2"/>
        <v>0</v>
      </c>
      <c r="AA39" s="27">
        <v>0</v>
      </c>
      <c r="AB39" s="28">
        <v>0</v>
      </c>
      <c r="AC39" s="27">
        <v>0</v>
      </c>
      <c r="AD39" s="28">
        <v>0</v>
      </c>
      <c r="AE39" s="27">
        <v>0</v>
      </c>
      <c r="AF39" s="28">
        <f>6281614.35/1000000</f>
        <v>6.2816143499999999</v>
      </c>
      <c r="AG39" s="27">
        <v>0</v>
      </c>
      <c r="AH39" s="28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f t="shared" si="10"/>
        <v>6.2816143499999999</v>
      </c>
      <c r="AN39" s="27">
        <f t="shared" si="4"/>
        <v>6.2816143499999999</v>
      </c>
      <c r="AO39" s="34" t="s">
        <v>1485</v>
      </c>
    </row>
    <row r="40" spans="1:41" ht="40.5" customHeight="1" x14ac:dyDescent="0.25">
      <c r="A40" s="8" t="s">
        <v>68</v>
      </c>
      <c r="B40" s="37" t="s">
        <v>160</v>
      </c>
      <c r="C40" s="29" t="s">
        <v>161</v>
      </c>
      <c r="D40" s="38" t="s">
        <v>1435</v>
      </c>
      <c r="E40" s="30">
        <v>2016</v>
      </c>
      <c r="F40" s="30">
        <v>2016</v>
      </c>
      <c r="G40" s="30" t="s">
        <v>1435</v>
      </c>
      <c r="H40" s="27">
        <v>0</v>
      </c>
      <c r="I40" s="27">
        <v>0.18372676740947075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1.31915819</v>
      </c>
      <c r="Q40" s="27">
        <v>0.14676982</v>
      </c>
      <c r="R40" s="27">
        <v>0.59818630000000006</v>
      </c>
      <c r="S40" s="27">
        <v>0.5742020699999999</v>
      </c>
      <c r="T40" s="27">
        <v>0</v>
      </c>
      <c r="U40" s="27">
        <v>0</v>
      </c>
      <c r="V40" s="27">
        <v>0</v>
      </c>
      <c r="W40" s="27">
        <v>0</v>
      </c>
      <c r="X40" s="27">
        <f t="shared" si="8"/>
        <v>0</v>
      </c>
      <c r="Y40" s="27">
        <v>0</v>
      </c>
      <c r="Z40" s="27">
        <f t="shared" si="2"/>
        <v>0</v>
      </c>
      <c r="AA40" s="27">
        <v>0</v>
      </c>
      <c r="AB40" s="28">
        <v>0</v>
      </c>
      <c r="AC40" s="27">
        <v>0</v>
      </c>
      <c r="AD40" s="28">
        <v>0</v>
      </c>
      <c r="AE40" s="27">
        <v>0</v>
      </c>
      <c r="AF40" s="28">
        <f>1319158.19/1000000</f>
        <v>1.31915819</v>
      </c>
      <c r="AG40" s="27">
        <v>0</v>
      </c>
      <c r="AH40" s="28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f t="shared" si="10"/>
        <v>1.31915819</v>
      </c>
      <c r="AN40" s="27">
        <f t="shared" si="4"/>
        <v>1.31915819</v>
      </c>
      <c r="AO40" s="34" t="s">
        <v>1485</v>
      </c>
    </row>
    <row r="41" spans="1:41" ht="38.25" customHeight="1" x14ac:dyDescent="0.25">
      <c r="A41" s="9" t="s">
        <v>70</v>
      </c>
      <c r="B41" s="10" t="s">
        <v>71</v>
      </c>
      <c r="C41" s="23" t="s">
        <v>48</v>
      </c>
      <c r="D41" s="36" t="s">
        <v>1435</v>
      </c>
      <c r="E41" s="24" t="s">
        <v>1435</v>
      </c>
      <c r="F41" s="24" t="s">
        <v>1435</v>
      </c>
      <c r="G41" s="24" t="s">
        <v>1435</v>
      </c>
      <c r="H41" s="25">
        <f>SUM(H42:H188)</f>
        <v>0</v>
      </c>
      <c r="I41" s="25">
        <f>SUM(I42:I188)</f>
        <v>19.303910451253479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138.60207703999998</v>
      </c>
      <c r="Q41" s="25">
        <v>1.55452447199</v>
      </c>
      <c r="R41" s="25">
        <v>21.248506460000002</v>
      </c>
      <c r="S41" s="25">
        <v>88.447024739999989</v>
      </c>
      <c r="T41" s="25">
        <v>0</v>
      </c>
      <c r="U41" s="25">
        <f>SUM(U42:U188)</f>
        <v>0</v>
      </c>
      <c r="V41" s="25">
        <v>0</v>
      </c>
      <c r="W41" s="25">
        <f>SUM(W42:W188)</f>
        <v>0</v>
      </c>
      <c r="X41" s="25">
        <f t="shared" si="8"/>
        <v>0</v>
      </c>
      <c r="Y41" s="25">
        <f>SUM(Y42:Y188)</f>
        <v>0</v>
      </c>
      <c r="Z41" s="25">
        <f t="shared" si="2"/>
        <v>0</v>
      </c>
      <c r="AA41" s="25">
        <f>SUM(AA42:AA101)</f>
        <v>0</v>
      </c>
      <c r="AB41" s="26">
        <v>0</v>
      </c>
      <c r="AC41" s="25">
        <f>SUM(AC42:AC101)</f>
        <v>0</v>
      </c>
      <c r="AD41" s="26">
        <f>SUM(AD42:AD86)</f>
        <v>65.468365669999983</v>
      </c>
      <c r="AE41" s="25">
        <f>SUM(AE42:AE86)</f>
        <v>0</v>
      </c>
      <c r="AF41" s="26">
        <f>SUM(AF42:AF114)</f>
        <v>73.133711369999986</v>
      </c>
      <c r="AG41" s="25">
        <v>0</v>
      </c>
      <c r="AH41" s="26">
        <f>SUM(AH42:AH101)</f>
        <v>0</v>
      </c>
      <c r="AI41" s="25">
        <f>SUM(AI42:AI101)</f>
        <v>0</v>
      </c>
      <c r="AJ41" s="25">
        <v>0</v>
      </c>
      <c r="AK41" s="25">
        <f>SUM(AK42:AK101)</f>
        <v>0</v>
      </c>
      <c r="AL41" s="25">
        <v>0</v>
      </c>
      <c r="AM41" s="25">
        <f t="shared" si="10"/>
        <v>138.60207703999998</v>
      </c>
      <c r="AN41" s="25">
        <f t="shared" si="4"/>
        <v>138.60207703999998</v>
      </c>
      <c r="AO41" s="3" t="s">
        <v>1435</v>
      </c>
    </row>
    <row r="42" spans="1:41" ht="51.75" customHeight="1" x14ac:dyDescent="0.25">
      <c r="A42" s="8" t="s">
        <v>70</v>
      </c>
      <c r="B42" s="37" t="s">
        <v>162</v>
      </c>
      <c r="C42" s="29" t="s">
        <v>163</v>
      </c>
      <c r="D42" s="38" t="s">
        <v>1481</v>
      </c>
      <c r="E42" s="30">
        <v>2015</v>
      </c>
      <c r="F42" s="30">
        <v>2015</v>
      </c>
      <c r="G42" s="30" t="s">
        <v>1435</v>
      </c>
      <c r="H42" s="27">
        <v>0</v>
      </c>
      <c r="I42" s="27">
        <v>0.36299389554317552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2.6062961700000002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f t="shared" si="8"/>
        <v>0</v>
      </c>
      <c r="Y42" s="27">
        <v>0</v>
      </c>
      <c r="Z42" s="27">
        <f t="shared" si="2"/>
        <v>0</v>
      </c>
      <c r="AA42" s="27">
        <v>0</v>
      </c>
      <c r="AB42" s="28">
        <v>0</v>
      </c>
      <c r="AC42" s="27">
        <v>0</v>
      </c>
      <c r="AD42" s="28">
        <f>2606.29617/1000</f>
        <v>2.6062961700000002</v>
      </c>
      <c r="AE42" s="27">
        <v>0</v>
      </c>
      <c r="AF42" s="28">
        <v>0</v>
      </c>
      <c r="AG42" s="27">
        <v>0</v>
      </c>
      <c r="AH42" s="28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f t="shared" si="10"/>
        <v>2.6062961700000002</v>
      </c>
      <c r="AN42" s="27">
        <f t="shared" si="4"/>
        <v>2.6062961700000002</v>
      </c>
      <c r="AO42" s="34" t="s">
        <v>1485</v>
      </c>
    </row>
    <row r="43" spans="1:41" ht="63.75" customHeight="1" x14ac:dyDescent="0.25">
      <c r="A43" s="8" t="s">
        <v>70</v>
      </c>
      <c r="B43" s="37" t="s">
        <v>164</v>
      </c>
      <c r="C43" s="29" t="s">
        <v>165</v>
      </c>
      <c r="D43" s="38" t="s">
        <v>1481</v>
      </c>
      <c r="E43" s="30">
        <v>2015</v>
      </c>
      <c r="F43" s="30">
        <v>2015</v>
      </c>
      <c r="G43" s="30" t="s">
        <v>1435</v>
      </c>
      <c r="H43" s="27">
        <v>0</v>
      </c>
      <c r="I43" s="27">
        <v>0.36625781337047353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2.6297310999999999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f t="shared" si="8"/>
        <v>0</v>
      </c>
      <c r="Y43" s="27">
        <v>0</v>
      </c>
      <c r="Z43" s="27">
        <f t="shared" si="2"/>
        <v>0</v>
      </c>
      <c r="AA43" s="27">
        <v>0</v>
      </c>
      <c r="AB43" s="28">
        <v>0</v>
      </c>
      <c r="AC43" s="27">
        <v>0</v>
      </c>
      <c r="AD43" s="28">
        <f>2629.7311/1000</f>
        <v>2.6297310999999999</v>
      </c>
      <c r="AE43" s="27">
        <v>0</v>
      </c>
      <c r="AF43" s="28">
        <v>0</v>
      </c>
      <c r="AG43" s="27">
        <v>0</v>
      </c>
      <c r="AH43" s="28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f t="shared" si="10"/>
        <v>2.6297310999999999</v>
      </c>
      <c r="AN43" s="27">
        <f t="shared" si="4"/>
        <v>2.6297310999999999</v>
      </c>
      <c r="AO43" s="34" t="s">
        <v>1485</v>
      </c>
    </row>
    <row r="44" spans="1:41" ht="63.75" customHeight="1" x14ac:dyDescent="0.25">
      <c r="A44" s="8" t="s">
        <v>70</v>
      </c>
      <c r="B44" s="37" t="s">
        <v>166</v>
      </c>
      <c r="C44" s="29" t="s">
        <v>167</v>
      </c>
      <c r="D44" s="38" t="s">
        <v>1481</v>
      </c>
      <c r="E44" s="30">
        <v>2015</v>
      </c>
      <c r="F44" s="30">
        <v>2015</v>
      </c>
      <c r="G44" s="30" t="s">
        <v>1435</v>
      </c>
      <c r="H44" s="27">
        <v>0</v>
      </c>
      <c r="I44" s="27">
        <v>0.41688419220055717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2.9932285000000003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f t="shared" si="8"/>
        <v>0</v>
      </c>
      <c r="Y44" s="27">
        <v>0</v>
      </c>
      <c r="Z44" s="27">
        <f t="shared" si="2"/>
        <v>0</v>
      </c>
      <c r="AA44" s="27">
        <v>0</v>
      </c>
      <c r="AB44" s="28">
        <v>0</v>
      </c>
      <c r="AC44" s="27">
        <v>0</v>
      </c>
      <c r="AD44" s="28">
        <f>2993.2285/1000</f>
        <v>2.9932285000000003</v>
      </c>
      <c r="AE44" s="27">
        <v>0</v>
      </c>
      <c r="AF44" s="28">
        <v>0</v>
      </c>
      <c r="AG44" s="27">
        <v>0</v>
      </c>
      <c r="AH44" s="28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f t="shared" si="10"/>
        <v>2.9932285000000003</v>
      </c>
      <c r="AN44" s="27">
        <f t="shared" si="4"/>
        <v>2.9932285000000003</v>
      </c>
      <c r="AO44" s="34" t="s">
        <v>1485</v>
      </c>
    </row>
    <row r="45" spans="1:41" ht="53.25" customHeight="1" x14ac:dyDescent="0.25">
      <c r="A45" s="8" t="s">
        <v>70</v>
      </c>
      <c r="B45" s="37" t="s">
        <v>168</v>
      </c>
      <c r="C45" s="29" t="s">
        <v>169</v>
      </c>
      <c r="D45" s="38" t="s">
        <v>1481</v>
      </c>
      <c r="E45" s="30">
        <v>2015</v>
      </c>
      <c r="F45" s="30">
        <v>2015</v>
      </c>
      <c r="G45" s="30" t="s">
        <v>1435</v>
      </c>
      <c r="H45" s="27">
        <v>0</v>
      </c>
      <c r="I45" s="27">
        <v>0.40130305431754881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2.8813559300000002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f t="shared" si="8"/>
        <v>0</v>
      </c>
      <c r="Y45" s="27">
        <v>0</v>
      </c>
      <c r="Z45" s="27">
        <f t="shared" si="2"/>
        <v>0</v>
      </c>
      <c r="AA45" s="27">
        <v>0</v>
      </c>
      <c r="AB45" s="28">
        <v>0</v>
      </c>
      <c r="AC45" s="27">
        <v>0</v>
      </c>
      <c r="AD45" s="28">
        <f>2881.35593/1000</f>
        <v>2.8813559300000002</v>
      </c>
      <c r="AE45" s="27">
        <v>0</v>
      </c>
      <c r="AF45" s="28">
        <v>0</v>
      </c>
      <c r="AG45" s="27">
        <v>0</v>
      </c>
      <c r="AH45" s="28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f t="shared" si="10"/>
        <v>2.8813559300000002</v>
      </c>
      <c r="AN45" s="27">
        <f t="shared" si="4"/>
        <v>2.8813559300000002</v>
      </c>
      <c r="AO45" s="34" t="s">
        <v>1485</v>
      </c>
    </row>
    <row r="46" spans="1:41" ht="48" customHeight="1" x14ac:dyDescent="0.25">
      <c r="A46" s="8" t="s">
        <v>70</v>
      </c>
      <c r="B46" s="37" t="s">
        <v>170</v>
      </c>
      <c r="C46" s="29" t="s">
        <v>171</v>
      </c>
      <c r="D46" s="38" t="s">
        <v>1481</v>
      </c>
      <c r="E46" s="30">
        <v>2015</v>
      </c>
      <c r="F46" s="30">
        <v>2015</v>
      </c>
      <c r="G46" s="30" t="s">
        <v>1435</v>
      </c>
      <c r="H46" s="27">
        <v>0</v>
      </c>
      <c r="I46" s="27">
        <v>0.99877248467966584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7.1711864400000005</v>
      </c>
      <c r="Q46" s="27">
        <v>0</v>
      </c>
      <c r="R46" s="27">
        <v>0</v>
      </c>
      <c r="S46" s="27">
        <v>7.1711864400000005</v>
      </c>
      <c r="T46" s="27">
        <v>0</v>
      </c>
      <c r="U46" s="27">
        <v>0</v>
      </c>
      <c r="V46" s="27">
        <v>0</v>
      </c>
      <c r="W46" s="27">
        <v>0</v>
      </c>
      <c r="X46" s="27">
        <f t="shared" si="8"/>
        <v>0</v>
      </c>
      <c r="Y46" s="27">
        <v>0</v>
      </c>
      <c r="Z46" s="27">
        <f t="shared" si="2"/>
        <v>0</v>
      </c>
      <c r="AA46" s="27">
        <v>0</v>
      </c>
      <c r="AB46" s="28">
        <v>0</v>
      </c>
      <c r="AC46" s="27">
        <v>0</v>
      </c>
      <c r="AD46" s="28">
        <f>7171.18644/1000</f>
        <v>7.1711864400000005</v>
      </c>
      <c r="AE46" s="27">
        <v>0</v>
      </c>
      <c r="AF46" s="28">
        <v>0</v>
      </c>
      <c r="AG46" s="27">
        <v>0</v>
      </c>
      <c r="AH46" s="28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f t="shared" si="10"/>
        <v>7.1711864400000005</v>
      </c>
      <c r="AN46" s="27">
        <f t="shared" si="4"/>
        <v>7.1711864400000005</v>
      </c>
      <c r="AO46" s="34" t="s">
        <v>1485</v>
      </c>
    </row>
    <row r="47" spans="1:41" ht="63.75" customHeight="1" x14ac:dyDescent="0.25">
      <c r="A47" s="8" t="s">
        <v>70</v>
      </c>
      <c r="B47" s="37" t="s">
        <v>172</v>
      </c>
      <c r="C47" s="29" t="s">
        <v>173</v>
      </c>
      <c r="D47" s="38" t="s">
        <v>1481</v>
      </c>
      <c r="E47" s="30">
        <v>2015</v>
      </c>
      <c r="F47" s="30">
        <v>2015</v>
      </c>
      <c r="G47" s="30" t="s">
        <v>1435</v>
      </c>
      <c r="H47" s="27">
        <v>0</v>
      </c>
      <c r="I47" s="27">
        <v>0.49938624233983292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3.5855932200000002</v>
      </c>
      <c r="Q47" s="27">
        <v>0</v>
      </c>
      <c r="R47" s="27">
        <v>0</v>
      </c>
      <c r="S47" s="27">
        <v>3.5855932200000002</v>
      </c>
      <c r="T47" s="27">
        <v>0</v>
      </c>
      <c r="U47" s="27">
        <v>0</v>
      </c>
      <c r="V47" s="27">
        <v>0</v>
      </c>
      <c r="W47" s="27">
        <v>0</v>
      </c>
      <c r="X47" s="27">
        <f t="shared" si="8"/>
        <v>0</v>
      </c>
      <c r="Y47" s="27">
        <v>0</v>
      </c>
      <c r="Z47" s="27">
        <f t="shared" si="2"/>
        <v>0</v>
      </c>
      <c r="AA47" s="27">
        <v>0</v>
      </c>
      <c r="AB47" s="28">
        <v>0</v>
      </c>
      <c r="AC47" s="27">
        <v>0</v>
      </c>
      <c r="AD47" s="28">
        <f>3585.59322/1000</f>
        <v>3.5855932200000002</v>
      </c>
      <c r="AE47" s="27">
        <v>0</v>
      </c>
      <c r="AF47" s="28">
        <v>0</v>
      </c>
      <c r="AG47" s="27">
        <v>0</v>
      </c>
      <c r="AH47" s="28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f t="shared" si="10"/>
        <v>3.5855932200000002</v>
      </c>
      <c r="AN47" s="27">
        <f t="shared" si="4"/>
        <v>3.5855932200000002</v>
      </c>
      <c r="AO47" s="34" t="s">
        <v>1485</v>
      </c>
    </row>
    <row r="48" spans="1:41" ht="63.75" customHeight="1" x14ac:dyDescent="0.25">
      <c r="A48" s="8" t="s">
        <v>70</v>
      </c>
      <c r="B48" s="37" t="s">
        <v>174</v>
      </c>
      <c r="C48" s="29" t="s">
        <v>175</v>
      </c>
      <c r="D48" s="38" t="s">
        <v>1481</v>
      </c>
      <c r="E48" s="30">
        <v>2015</v>
      </c>
      <c r="F48" s="30">
        <v>2015</v>
      </c>
      <c r="G48" s="30" t="s">
        <v>1435</v>
      </c>
      <c r="H48" s="27">
        <v>0</v>
      </c>
      <c r="I48" s="27">
        <v>0.49938624233983292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3.5855932200000002</v>
      </c>
      <c r="Q48" s="27">
        <v>0</v>
      </c>
      <c r="R48" s="27">
        <v>0</v>
      </c>
      <c r="S48" s="27">
        <v>3.5855932200000002</v>
      </c>
      <c r="T48" s="27">
        <v>0</v>
      </c>
      <c r="U48" s="27">
        <v>0</v>
      </c>
      <c r="V48" s="27">
        <v>0</v>
      </c>
      <c r="W48" s="27">
        <v>0</v>
      </c>
      <c r="X48" s="27">
        <f t="shared" si="8"/>
        <v>0</v>
      </c>
      <c r="Y48" s="27">
        <v>0</v>
      </c>
      <c r="Z48" s="27">
        <f t="shared" si="2"/>
        <v>0</v>
      </c>
      <c r="AA48" s="27">
        <v>0</v>
      </c>
      <c r="AB48" s="28">
        <v>0</v>
      </c>
      <c r="AC48" s="27">
        <v>0</v>
      </c>
      <c r="AD48" s="28">
        <f>3585.59322/1000</f>
        <v>3.5855932200000002</v>
      </c>
      <c r="AE48" s="27">
        <v>0</v>
      </c>
      <c r="AF48" s="28">
        <v>0</v>
      </c>
      <c r="AG48" s="27">
        <v>0</v>
      </c>
      <c r="AH48" s="28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f t="shared" si="10"/>
        <v>3.5855932200000002</v>
      </c>
      <c r="AN48" s="27">
        <f t="shared" si="4"/>
        <v>3.5855932200000002</v>
      </c>
      <c r="AO48" s="34" t="s">
        <v>1485</v>
      </c>
    </row>
    <row r="49" spans="1:41" ht="63.75" customHeight="1" x14ac:dyDescent="0.25">
      <c r="A49" s="8" t="s">
        <v>70</v>
      </c>
      <c r="B49" s="37" t="s">
        <v>176</v>
      </c>
      <c r="C49" s="29" t="s">
        <v>177</v>
      </c>
      <c r="D49" s="38" t="s">
        <v>1481</v>
      </c>
      <c r="E49" s="30">
        <v>2015</v>
      </c>
      <c r="F49" s="30">
        <v>2015</v>
      </c>
      <c r="G49" s="30" t="s">
        <v>1435</v>
      </c>
      <c r="H49" s="27">
        <v>0</v>
      </c>
      <c r="I49" s="27">
        <v>0.92996081197771452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6.6771186299999901</v>
      </c>
      <c r="Q49" s="27">
        <v>0</v>
      </c>
      <c r="R49" s="27">
        <v>0</v>
      </c>
      <c r="S49" s="27">
        <v>6.6771186299999901</v>
      </c>
      <c r="T49" s="27">
        <v>0</v>
      </c>
      <c r="U49" s="27">
        <v>0</v>
      </c>
      <c r="V49" s="27">
        <v>0</v>
      </c>
      <c r="W49" s="27">
        <v>0</v>
      </c>
      <c r="X49" s="27">
        <f t="shared" si="8"/>
        <v>0</v>
      </c>
      <c r="Y49" s="27">
        <v>0</v>
      </c>
      <c r="Z49" s="27">
        <f t="shared" si="2"/>
        <v>0</v>
      </c>
      <c r="AA49" s="27">
        <v>0</v>
      </c>
      <c r="AB49" s="28">
        <v>0</v>
      </c>
      <c r="AC49" s="27">
        <v>0</v>
      </c>
      <c r="AD49" s="28">
        <f>(194.91525+194.91525+5643.22033999999+266.94915+377.11864)/1000</f>
        <v>6.6771186299999901</v>
      </c>
      <c r="AE49" s="27">
        <v>0</v>
      </c>
      <c r="AF49" s="28">
        <v>0</v>
      </c>
      <c r="AG49" s="27">
        <v>0</v>
      </c>
      <c r="AH49" s="28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f t="shared" si="10"/>
        <v>6.6771186299999901</v>
      </c>
      <c r="AN49" s="27">
        <f t="shared" si="4"/>
        <v>6.6771186299999901</v>
      </c>
      <c r="AO49" s="34" t="s">
        <v>1485</v>
      </c>
    </row>
    <row r="50" spans="1:41" ht="63.75" customHeight="1" x14ac:dyDescent="0.25">
      <c r="A50" s="8" t="s">
        <v>70</v>
      </c>
      <c r="B50" s="37" t="s">
        <v>178</v>
      </c>
      <c r="C50" s="29" t="s">
        <v>179</v>
      </c>
      <c r="D50" s="38" t="s">
        <v>1481</v>
      </c>
      <c r="E50" s="30">
        <v>2015</v>
      </c>
      <c r="F50" s="30">
        <v>2015</v>
      </c>
      <c r="G50" s="30" t="s">
        <v>1435</v>
      </c>
      <c r="H50" s="27">
        <v>0</v>
      </c>
      <c r="I50" s="27">
        <v>0.14001709470752088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1.00532274</v>
      </c>
      <c r="Q50" s="27">
        <v>6.1445349999999996E-2</v>
      </c>
      <c r="R50" s="27">
        <v>0.57760918999999999</v>
      </c>
      <c r="S50" s="27">
        <v>0.36626819999999999</v>
      </c>
      <c r="T50" s="27">
        <v>0</v>
      </c>
      <c r="U50" s="27">
        <v>0</v>
      </c>
      <c r="V50" s="27">
        <v>0</v>
      </c>
      <c r="W50" s="27">
        <v>0</v>
      </c>
      <c r="X50" s="27">
        <f t="shared" si="8"/>
        <v>0</v>
      </c>
      <c r="Y50" s="27">
        <v>0</v>
      </c>
      <c r="Z50" s="27">
        <f t="shared" si="2"/>
        <v>0</v>
      </c>
      <c r="AA50" s="27">
        <v>0</v>
      </c>
      <c r="AB50" s="28">
        <v>0</v>
      </c>
      <c r="AC50" s="27">
        <v>0</v>
      </c>
      <c r="AD50" s="28">
        <f>1005.32274/1000</f>
        <v>1.00532274</v>
      </c>
      <c r="AE50" s="27">
        <v>0</v>
      </c>
      <c r="AF50" s="28">
        <v>0</v>
      </c>
      <c r="AG50" s="27">
        <v>0</v>
      </c>
      <c r="AH50" s="28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f t="shared" si="10"/>
        <v>1.00532274</v>
      </c>
      <c r="AN50" s="27">
        <f t="shared" si="4"/>
        <v>1.00532274</v>
      </c>
      <c r="AO50" s="34" t="s">
        <v>1485</v>
      </c>
    </row>
    <row r="51" spans="1:41" ht="63.75" customHeight="1" x14ac:dyDescent="0.25">
      <c r="A51" s="8" t="s">
        <v>70</v>
      </c>
      <c r="B51" s="37" t="s">
        <v>180</v>
      </c>
      <c r="C51" s="29" t="s">
        <v>181</v>
      </c>
      <c r="D51" s="38" t="s">
        <v>1481</v>
      </c>
      <c r="E51" s="30">
        <v>2015</v>
      </c>
      <c r="F51" s="30">
        <v>2015</v>
      </c>
      <c r="G51" s="30" t="s">
        <v>1435</v>
      </c>
      <c r="H51" s="27">
        <v>0</v>
      </c>
      <c r="I51" s="27">
        <v>6.6850828690807801E-2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0.47998894999999997</v>
      </c>
      <c r="Q51" s="27">
        <v>4.2404589999999999E-2</v>
      </c>
      <c r="R51" s="27">
        <v>0.32077886</v>
      </c>
      <c r="S51" s="27">
        <v>0.11680550000000001</v>
      </c>
      <c r="T51" s="27">
        <v>0</v>
      </c>
      <c r="U51" s="27">
        <v>0</v>
      </c>
      <c r="V51" s="27">
        <v>0</v>
      </c>
      <c r="W51" s="27">
        <v>0</v>
      </c>
      <c r="X51" s="27">
        <f t="shared" si="8"/>
        <v>0</v>
      </c>
      <c r="Y51" s="27">
        <v>0</v>
      </c>
      <c r="Z51" s="27">
        <f t="shared" si="2"/>
        <v>0</v>
      </c>
      <c r="AA51" s="27">
        <v>0</v>
      </c>
      <c r="AB51" s="28">
        <v>0</v>
      </c>
      <c r="AC51" s="27">
        <v>0</v>
      </c>
      <c r="AD51" s="28">
        <f>479.98895/1000</f>
        <v>0.47998894999999997</v>
      </c>
      <c r="AE51" s="27">
        <v>0</v>
      </c>
      <c r="AF51" s="28">
        <v>0</v>
      </c>
      <c r="AG51" s="27">
        <v>0</v>
      </c>
      <c r="AH51" s="28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f t="shared" si="10"/>
        <v>0.47998894999999997</v>
      </c>
      <c r="AN51" s="27">
        <f t="shared" si="4"/>
        <v>0.47998894999999997</v>
      </c>
      <c r="AO51" s="34" t="s">
        <v>1485</v>
      </c>
    </row>
    <row r="52" spans="1:41" ht="63.75" customHeight="1" x14ac:dyDescent="0.25">
      <c r="A52" s="8" t="s">
        <v>70</v>
      </c>
      <c r="B52" s="37" t="s">
        <v>182</v>
      </c>
      <c r="C52" s="29" t="s">
        <v>183</v>
      </c>
      <c r="D52" s="38" t="s">
        <v>1481</v>
      </c>
      <c r="E52" s="30">
        <v>2015</v>
      </c>
      <c r="F52" s="30">
        <v>2015</v>
      </c>
      <c r="G52" s="30" t="s">
        <v>1435</v>
      </c>
      <c r="H52" s="27">
        <v>0</v>
      </c>
      <c r="I52" s="27">
        <v>0.21225985793871865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1.5240257799999999</v>
      </c>
      <c r="Q52" s="27">
        <v>9.4115279999999996E-2</v>
      </c>
      <c r="R52" s="27">
        <v>0.75876082</v>
      </c>
      <c r="S52" s="27">
        <v>0.67114968000000008</v>
      </c>
      <c r="T52" s="27">
        <v>0</v>
      </c>
      <c r="U52" s="27">
        <v>0</v>
      </c>
      <c r="V52" s="27">
        <v>0</v>
      </c>
      <c r="W52" s="27">
        <v>0</v>
      </c>
      <c r="X52" s="27">
        <f t="shared" si="8"/>
        <v>0</v>
      </c>
      <c r="Y52" s="27">
        <v>0</v>
      </c>
      <c r="Z52" s="27">
        <f t="shared" si="2"/>
        <v>0</v>
      </c>
      <c r="AA52" s="27">
        <v>0</v>
      </c>
      <c r="AB52" s="28">
        <v>0</v>
      </c>
      <c r="AC52" s="27">
        <v>0</v>
      </c>
      <c r="AD52" s="28">
        <f>1524.02578/1000</f>
        <v>1.5240257799999999</v>
      </c>
      <c r="AE52" s="27">
        <v>0</v>
      </c>
      <c r="AF52" s="28">
        <v>0</v>
      </c>
      <c r="AG52" s="27">
        <v>0</v>
      </c>
      <c r="AH52" s="28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f t="shared" si="10"/>
        <v>1.5240257799999999</v>
      </c>
      <c r="AN52" s="27">
        <f t="shared" si="4"/>
        <v>1.5240257799999999</v>
      </c>
      <c r="AO52" s="34" t="s">
        <v>1485</v>
      </c>
    </row>
    <row r="53" spans="1:41" ht="63.75" customHeight="1" x14ac:dyDescent="0.25">
      <c r="A53" s="8" t="s">
        <v>70</v>
      </c>
      <c r="B53" s="37" t="s">
        <v>184</v>
      </c>
      <c r="C53" s="29" t="s">
        <v>185</v>
      </c>
      <c r="D53" s="38" t="s">
        <v>1481</v>
      </c>
      <c r="E53" s="30">
        <v>2015</v>
      </c>
      <c r="F53" s="30">
        <v>2015</v>
      </c>
      <c r="G53" s="30" t="s">
        <v>1435</v>
      </c>
      <c r="H53" s="27">
        <v>0</v>
      </c>
      <c r="I53" s="27">
        <v>0.13683923119777158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0.98250567999999994</v>
      </c>
      <c r="Q53" s="27">
        <v>4.5804550000000006E-2</v>
      </c>
      <c r="R53" s="27">
        <v>0.68087156000000004</v>
      </c>
      <c r="S53" s="27">
        <v>0.25582957000000001</v>
      </c>
      <c r="T53" s="27">
        <v>0</v>
      </c>
      <c r="U53" s="27">
        <v>0</v>
      </c>
      <c r="V53" s="27">
        <v>0</v>
      </c>
      <c r="W53" s="27">
        <v>0</v>
      </c>
      <c r="X53" s="27">
        <f t="shared" si="8"/>
        <v>0</v>
      </c>
      <c r="Y53" s="27">
        <v>0</v>
      </c>
      <c r="Z53" s="27">
        <f t="shared" si="2"/>
        <v>0</v>
      </c>
      <c r="AA53" s="27">
        <v>0</v>
      </c>
      <c r="AB53" s="28">
        <v>0</v>
      </c>
      <c r="AC53" s="27">
        <v>0</v>
      </c>
      <c r="AD53" s="28">
        <f>982.50568/1000</f>
        <v>0.98250567999999994</v>
      </c>
      <c r="AE53" s="27">
        <v>0</v>
      </c>
      <c r="AF53" s="28">
        <v>0</v>
      </c>
      <c r="AG53" s="27">
        <v>0</v>
      </c>
      <c r="AH53" s="28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f t="shared" si="10"/>
        <v>0.98250567999999994</v>
      </c>
      <c r="AN53" s="27">
        <f t="shared" si="4"/>
        <v>0.98250567999999994</v>
      </c>
      <c r="AO53" s="34" t="s">
        <v>1485</v>
      </c>
    </row>
    <row r="54" spans="1:41" ht="63.75" customHeight="1" x14ac:dyDescent="0.25">
      <c r="A54" s="8" t="s">
        <v>70</v>
      </c>
      <c r="B54" s="37" t="s">
        <v>186</v>
      </c>
      <c r="C54" s="29" t="s">
        <v>187</v>
      </c>
      <c r="D54" s="38" t="s">
        <v>1481</v>
      </c>
      <c r="E54" s="30">
        <v>2015</v>
      </c>
      <c r="F54" s="30">
        <v>2015</v>
      </c>
      <c r="G54" s="30" t="s">
        <v>1435</v>
      </c>
      <c r="H54" s="27">
        <v>0</v>
      </c>
      <c r="I54" s="27">
        <v>0.16648511002785518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1.1953630900000001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f t="shared" si="8"/>
        <v>0</v>
      </c>
      <c r="Y54" s="27">
        <v>0</v>
      </c>
      <c r="Z54" s="27">
        <f t="shared" si="2"/>
        <v>0</v>
      </c>
      <c r="AA54" s="27">
        <v>0</v>
      </c>
      <c r="AB54" s="28">
        <v>0</v>
      </c>
      <c r="AC54" s="27">
        <v>0</v>
      </c>
      <c r="AD54" s="28">
        <f>1195.36309/1000</f>
        <v>1.1953630900000001</v>
      </c>
      <c r="AE54" s="27">
        <v>0</v>
      </c>
      <c r="AF54" s="28">
        <v>0</v>
      </c>
      <c r="AG54" s="27">
        <v>0</v>
      </c>
      <c r="AH54" s="28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f t="shared" si="10"/>
        <v>1.1953630900000001</v>
      </c>
      <c r="AN54" s="27">
        <f t="shared" si="4"/>
        <v>1.1953630900000001</v>
      </c>
      <c r="AO54" s="34" t="s">
        <v>1485</v>
      </c>
    </row>
    <row r="55" spans="1:41" ht="48.75" customHeight="1" x14ac:dyDescent="0.25">
      <c r="A55" s="8" t="s">
        <v>70</v>
      </c>
      <c r="B55" s="37" t="s">
        <v>188</v>
      </c>
      <c r="C55" s="29" t="s">
        <v>189</v>
      </c>
      <c r="D55" s="38" t="s">
        <v>1481</v>
      </c>
      <c r="E55" s="30">
        <v>2015</v>
      </c>
      <c r="F55" s="30">
        <v>2015</v>
      </c>
      <c r="G55" s="30" t="s">
        <v>1435</v>
      </c>
      <c r="H55" s="27">
        <v>0</v>
      </c>
      <c r="I55" s="27">
        <v>8.426145682451254E-2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0.60499725999999998</v>
      </c>
      <c r="Q55" s="27">
        <v>2.5475999999999999E-2</v>
      </c>
      <c r="R55" s="27">
        <v>0.43564152</v>
      </c>
      <c r="S55" s="27">
        <v>0.14387973999999998</v>
      </c>
      <c r="T55" s="27">
        <v>0</v>
      </c>
      <c r="U55" s="27">
        <v>0</v>
      </c>
      <c r="V55" s="27">
        <v>0</v>
      </c>
      <c r="W55" s="27">
        <v>0</v>
      </c>
      <c r="X55" s="27">
        <f t="shared" si="8"/>
        <v>0</v>
      </c>
      <c r="Y55" s="27">
        <v>0</v>
      </c>
      <c r="Z55" s="27">
        <f t="shared" si="2"/>
        <v>0</v>
      </c>
      <c r="AA55" s="27">
        <v>0</v>
      </c>
      <c r="AB55" s="28">
        <v>0</v>
      </c>
      <c r="AC55" s="27">
        <v>0</v>
      </c>
      <c r="AD55" s="28">
        <f>604.99726/1000</f>
        <v>0.60499725999999998</v>
      </c>
      <c r="AE55" s="27">
        <v>0</v>
      </c>
      <c r="AF55" s="28">
        <v>0</v>
      </c>
      <c r="AG55" s="27">
        <v>0</v>
      </c>
      <c r="AH55" s="28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f t="shared" si="10"/>
        <v>0.60499725999999998</v>
      </c>
      <c r="AN55" s="27">
        <f t="shared" si="4"/>
        <v>0.60499725999999998</v>
      </c>
      <c r="AO55" s="34" t="s">
        <v>1485</v>
      </c>
    </row>
    <row r="56" spans="1:41" ht="51.75" customHeight="1" x14ac:dyDescent="0.25">
      <c r="A56" s="8" t="s">
        <v>70</v>
      </c>
      <c r="B56" s="37" t="s">
        <v>190</v>
      </c>
      <c r="C56" s="29" t="s">
        <v>191</v>
      </c>
      <c r="D56" s="38" t="s">
        <v>1481</v>
      </c>
      <c r="E56" s="30">
        <v>2015</v>
      </c>
      <c r="F56" s="30">
        <v>2015</v>
      </c>
      <c r="G56" s="30" t="s">
        <v>1435</v>
      </c>
      <c r="H56" s="27">
        <v>0</v>
      </c>
      <c r="I56" s="27">
        <v>5.9018883008356553E-2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0.42375558000000002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f t="shared" si="8"/>
        <v>0</v>
      </c>
      <c r="Y56" s="27">
        <v>0</v>
      </c>
      <c r="Z56" s="27">
        <f t="shared" si="2"/>
        <v>0</v>
      </c>
      <c r="AA56" s="27">
        <v>0</v>
      </c>
      <c r="AB56" s="28">
        <v>0</v>
      </c>
      <c r="AC56" s="27">
        <v>0</v>
      </c>
      <c r="AD56" s="28">
        <f>423.75558/1000</f>
        <v>0.42375558000000002</v>
      </c>
      <c r="AE56" s="27">
        <v>0</v>
      </c>
      <c r="AF56" s="28">
        <v>0</v>
      </c>
      <c r="AG56" s="27">
        <v>0</v>
      </c>
      <c r="AH56" s="28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f t="shared" si="10"/>
        <v>0.42375558000000002</v>
      </c>
      <c r="AN56" s="27">
        <f t="shared" si="4"/>
        <v>0.42375558000000002</v>
      </c>
      <c r="AO56" s="34" t="s">
        <v>1485</v>
      </c>
    </row>
    <row r="57" spans="1:41" ht="47.25" customHeight="1" x14ac:dyDescent="0.25">
      <c r="A57" s="8" t="s">
        <v>70</v>
      </c>
      <c r="B57" s="37" t="s">
        <v>192</v>
      </c>
      <c r="C57" s="29" t="s">
        <v>193</v>
      </c>
      <c r="D57" s="38" t="s">
        <v>1481</v>
      </c>
      <c r="E57" s="30">
        <v>2015</v>
      </c>
      <c r="F57" s="30">
        <v>2015</v>
      </c>
      <c r="G57" s="30" t="s">
        <v>1435</v>
      </c>
      <c r="H57" s="27">
        <v>0</v>
      </c>
      <c r="I57" s="27">
        <v>0.13792688997214483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0.99031506999999996</v>
      </c>
      <c r="Q57" s="27">
        <v>3.9173510000000002E-2</v>
      </c>
      <c r="R57" s="27">
        <v>0.63216638999999997</v>
      </c>
      <c r="S57" s="27">
        <v>0.31897516999999997</v>
      </c>
      <c r="T57" s="27">
        <v>0</v>
      </c>
      <c r="U57" s="27">
        <v>0</v>
      </c>
      <c r="V57" s="27">
        <v>0</v>
      </c>
      <c r="W57" s="27">
        <v>0</v>
      </c>
      <c r="X57" s="27">
        <f t="shared" si="8"/>
        <v>0</v>
      </c>
      <c r="Y57" s="27">
        <v>0</v>
      </c>
      <c r="Z57" s="27">
        <f t="shared" si="2"/>
        <v>0</v>
      </c>
      <c r="AA57" s="27">
        <v>0</v>
      </c>
      <c r="AB57" s="28">
        <v>0</v>
      </c>
      <c r="AC57" s="27">
        <v>0</v>
      </c>
      <c r="AD57" s="28">
        <f>990.31507/1000</f>
        <v>0.99031506999999996</v>
      </c>
      <c r="AE57" s="27">
        <v>0</v>
      </c>
      <c r="AF57" s="28">
        <v>0</v>
      </c>
      <c r="AG57" s="27">
        <v>0</v>
      </c>
      <c r="AH57" s="28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f t="shared" si="10"/>
        <v>0.99031506999999996</v>
      </c>
      <c r="AN57" s="27">
        <f t="shared" si="4"/>
        <v>0.99031506999999996</v>
      </c>
      <c r="AO57" s="34" t="s">
        <v>1485</v>
      </c>
    </row>
    <row r="58" spans="1:41" ht="63.75" customHeight="1" x14ac:dyDescent="0.25">
      <c r="A58" s="8" t="s">
        <v>70</v>
      </c>
      <c r="B58" s="37" t="s">
        <v>194</v>
      </c>
      <c r="C58" s="29" t="s">
        <v>195</v>
      </c>
      <c r="D58" s="38" t="s">
        <v>1481</v>
      </c>
      <c r="E58" s="30">
        <v>2015</v>
      </c>
      <c r="F58" s="30">
        <v>2015</v>
      </c>
      <c r="G58" s="30" t="s">
        <v>1435</v>
      </c>
      <c r="H58" s="27">
        <v>0</v>
      </c>
      <c r="I58" s="27">
        <v>0.17183997632311979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1.23381103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f t="shared" ref="X58:X90" si="11">AG58+AI58+AK58</f>
        <v>0</v>
      </c>
      <c r="Y58" s="27">
        <v>0</v>
      </c>
      <c r="Z58" s="27">
        <f t="shared" si="2"/>
        <v>0</v>
      </c>
      <c r="AA58" s="27">
        <v>0</v>
      </c>
      <c r="AB58" s="28">
        <v>0</v>
      </c>
      <c r="AC58" s="27">
        <v>0</v>
      </c>
      <c r="AD58" s="28">
        <f>1233.81103/1000</f>
        <v>1.23381103</v>
      </c>
      <c r="AE58" s="27">
        <v>0</v>
      </c>
      <c r="AF58" s="28">
        <v>0</v>
      </c>
      <c r="AG58" s="27">
        <v>0</v>
      </c>
      <c r="AH58" s="28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f t="shared" si="10"/>
        <v>1.23381103</v>
      </c>
      <c r="AN58" s="27">
        <f t="shared" si="4"/>
        <v>1.23381103</v>
      </c>
      <c r="AO58" s="34" t="s">
        <v>1485</v>
      </c>
    </row>
    <row r="59" spans="1:41" ht="63.75" customHeight="1" x14ac:dyDescent="0.25">
      <c r="A59" s="8" t="s">
        <v>70</v>
      </c>
      <c r="B59" s="37" t="s">
        <v>196</v>
      </c>
      <c r="C59" s="29" t="s">
        <v>197</v>
      </c>
      <c r="D59" s="38" t="s">
        <v>1481</v>
      </c>
      <c r="E59" s="30">
        <v>2015</v>
      </c>
      <c r="F59" s="30">
        <v>2015</v>
      </c>
      <c r="G59" s="30" t="s">
        <v>1435</v>
      </c>
      <c r="H59" s="27">
        <v>0</v>
      </c>
      <c r="I59" s="27">
        <v>0.95796389275766025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6.8781807500000003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f t="shared" si="11"/>
        <v>0</v>
      </c>
      <c r="Y59" s="27">
        <v>0</v>
      </c>
      <c r="Z59" s="27">
        <f t="shared" si="2"/>
        <v>0</v>
      </c>
      <c r="AA59" s="27">
        <v>0</v>
      </c>
      <c r="AB59" s="28">
        <v>0</v>
      </c>
      <c r="AC59" s="27">
        <v>0</v>
      </c>
      <c r="AD59" s="28">
        <f>6878.18075/1000</f>
        <v>6.8781807500000003</v>
      </c>
      <c r="AE59" s="27">
        <v>0</v>
      </c>
      <c r="AF59" s="28">
        <v>0</v>
      </c>
      <c r="AG59" s="27">
        <v>0</v>
      </c>
      <c r="AH59" s="28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f t="shared" si="10"/>
        <v>6.8781807500000003</v>
      </c>
      <c r="AN59" s="27">
        <f t="shared" si="4"/>
        <v>6.8781807500000003</v>
      </c>
      <c r="AO59" s="34" t="s">
        <v>1485</v>
      </c>
    </row>
    <row r="60" spans="1:41" ht="63.75" customHeight="1" x14ac:dyDescent="0.25">
      <c r="A60" s="8" t="s">
        <v>70</v>
      </c>
      <c r="B60" s="37" t="s">
        <v>198</v>
      </c>
      <c r="C60" s="29" t="s">
        <v>199</v>
      </c>
      <c r="D60" s="38" t="s">
        <v>1481</v>
      </c>
      <c r="E60" s="30">
        <v>2015</v>
      </c>
      <c r="F60" s="30">
        <v>2015</v>
      </c>
      <c r="G60" s="30" t="s">
        <v>1435</v>
      </c>
      <c r="H60" s="27">
        <v>0</v>
      </c>
      <c r="I60" s="27">
        <v>0.18345178272980503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1.3171838</v>
      </c>
      <c r="Q60" s="27">
        <v>6.4921800000000002E-2</v>
      </c>
      <c r="R60" s="27">
        <v>0.94044041</v>
      </c>
      <c r="S60" s="27">
        <v>0.31182159000000004</v>
      </c>
      <c r="T60" s="27">
        <v>0</v>
      </c>
      <c r="U60" s="27">
        <v>0</v>
      </c>
      <c r="V60" s="27">
        <v>0</v>
      </c>
      <c r="W60" s="27">
        <v>0</v>
      </c>
      <c r="X60" s="27">
        <f t="shared" si="11"/>
        <v>0</v>
      </c>
      <c r="Y60" s="27">
        <v>0</v>
      </c>
      <c r="Z60" s="27">
        <f t="shared" si="2"/>
        <v>0</v>
      </c>
      <c r="AA60" s="27">
        <v>0</v>
      </c>
      <c r="AB60" s="28">
        <v>0</v>
      </c>
      <c r="AC60" s="27">
        <v>0</v>
      </c>
      <c r="AD60" s="28">
        <f>1317.1838/1000</f>
        <v>1.3171838</v>
      </c>
      <c r="AE60" s="27">
        <v>0</v>
      </c>
      <c r="AF60" s="28">
        <v>0</v>
      </c>
      <c r="AG60" s="27">
        <v>0</v>
      </c>
      <c r="AH60" s="28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f t="shared" si="10"/>
        <v>1.3171838</v>
      </c>
      <c r="AN60" s="27">
        <f t="shared" si="4"/>
        <v>1.3171838</v>
      </c>
      <c r="AO60" s="34" t="s">
        <v>1485</v>
      </c>
    </row>
    <row r="61" spans="1:41" ht="63.75" customHeight="1" x14ac:dyDescent="0.25">
      <c r="A61" s="8" t="s">
        <v>70</v>
      </c>
      <c r="B61" s="37" t="s">
        <v>200</v>
      </c>
      <c r="C61" s="29" t="s">
        <v>201</v>
      </c>
      <c r="D61" s="38" t="s">
        <v>1481</v>
      </c>
      <c r="E61" s="30">
        <v>2015</v>
      </c>
      <c r="F61" s="30">
        <v>2015</v>
      </c>
      <c r="G61" s="30" t="s">
        <v>1435</v>
      </c>
      <c r="H61" s="27">
        <v>0</v>
      </c>
      <c r="I61" s="27">
        <v>8.2075795264623955E-2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0.58930420999999999</v>
      </c>
      <c r="Q61" s="27">
        <v>3.8730420000000002E-2</v>
      </c>
      <c r="R61" s="27">
        <v>0.37810315999999999</v>
      </c>
      <c r="S61" s="27">
        <v>0.17247063000000001</v>
      </c>
      <c r="T61" s="27">
        <v>0</v>
      </c>
      <c r="U61" s="27">
        <v>0</v>
      </c>
      <c r="V61" s="27">
        <v>0</v>
      </c>
      <c r="W61" s="27">
        <v>0</v>
      </c>
      <c r="X61" s="27">
        <f t="shared" si="11"/>
        <v>0</v>
      </c>
      <c r="Y61" s="27">
        <v>0</v>
      </c>
      <c r="Z61" s="27">
        <f t="shared" si="2"/>
        <v>0</v>
      </c>
      <c r="AA61" s="27">
        <v>0</v>
      </c>
      <c r="AB61" s="28">
        <v>0</v>
      </c>
      <c r="AC61" s="27">
        <v>0</v>
      </c>
      <c r="AD61" s="28">
        <f>589.30421/1000</f>
        <v>0.58930420999999999</v>
      </c>
      <c r="AE61" s="27">
        <v>0</v>
      </c>
      <c r="AF61" s="28">
        <v>0</v>
      </c>
      <c r="AG61" s="27">
        <v>0</v>
      </c>
      <c r="AH61" s="28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f t="shared" si="10"/>
        <v>0.58930420999999999</v>
      </c>
      <c r="AN61" s="27">
        <f t="shared" si="4"/>
        <v>0.58930420999999999</v>
      </c>
      <c r="AO61" s="34" t="s">
        <v>1485</v>
      </c>
    </row>
    <row r="62" spans="1:41" ht="48.75" customHeight="1" x14ac:dyDescent="0.25">
      <c r="A62" s="8" t="s">
        <v>70</v>
      </c>
      <c r="B62" s="37" t="s">
        <v>202</v>
      </c>
      <c r="C62" s="29" t="s">
        <v>203</v>
      </c>
      <c r="D62" s="38" t="s">
        <v>1481</v>
      </c>
      <c r="E62" s="30">
        <v>2015</v>
      </c>
      <c r="F62" s="30">
        <v>2015</v>
      </c>
      <c r="G62" s="30" t="s">
        <v>1435</v>
      </c>
      <c r="H62" s="27">
        <v>0</v>
      </c>
      <c r="I62" s="27">
        <v>4.1944895543175494E-2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0.30116435000000003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f t="shared" si="11"/>
        <v>0</v>
      </c>
      <c r="Y62" s="27">
        <v>0</v>
      </c>
      <c r="Z62" s="27">
        <f t="shared" si="2"/>
        <v>0</v>
      </c>
      <c r="AA62" s="27">
        <v>0</v>
      </c>
      <c r="AB62" s="28">
        <v>0</v>
      </c>
      <c r="AC62" s="27">
        <v>0</v>
      </c>
      <c r="AD62" s="28">
        <f>301.16435/1000</f>
        <v>0.30116435000000003</v>
      </c>
      <c r="AE62" s="27">
        <v>0</v>
      </c>
      <c r="AF62" s="28">
        <v>0</v>
      </c>
      <c r="AG62" s="27">
        <v>0</v>
      </c>
      <c r="AH62" s="28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f t="shared" si="10"/>
        <v>0.30116435000000003</v>
      </c>
      <c r="AN62" s="27">
        <f t="shared" si="4"/>
        <v>0.30116435000000003</v>
      </c>
      <c r="AO62" s="34" t="s">
        <v>1485</v>
      </c>
    </row>
    <row r="63" spans="1:41" ht="49.5" customHeight="1" x14ac:dyDescent="0.25">
      <c r="A63" s="8" t="s">
        <v>70</v>
      </c>
      <c r="B63" s="37" t="s">
        <v>204</v>
      </c>
      <c r="C63" s="29" t="s">
        <v>205</v>
      </c>
      <c r="D63" s="38" t="s">
        <v>1481</v>
      </c>
      <c r="E63" s="30">
        <v>2015</v>
      </c>
      <c r="F63" s="30">
        <v>2015</v>
      </c>
      <c r="G63" s="30" t="s">
        <v>1435</v>
      </c>
      <c r="H63" s="27">
        <v>0</v>
      </c>
      <c r="I63" s="27">
        <v>0.30073454178272985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2.1592740100000003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f t="shared" si="11"/>
        <v>0</v>
      </c>
      <c r="Y63" s="27">
        <v>0</v>
      </c>
      <c r="Z63" s="27">
        <f t="shared" si="2"/>
        <v>0</v>
      </c>
      <c r="AA63" s="27">
        <v>0</v>
      </c>
      <c r="AB63" s="28">
        <v>0</v>
      </c>
      <c r="AC63" s="27">
        <v>0</v>
      </c>
      <c r="AD63" s="28">
        <f>2159.27401/1000</f>
        <v>2.1592740100000003</v>
      </c>
      <c r="AE63" s="27">
        <v>0</v>
      </c>
      <c r="AF63" s="28">
        <v>0</v>
      </c>
      <c r="AG63" s="27">
        <v>0</v>
      </c>
      <c r="AH63" s="28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f t="shared" si="10"/>
        <v>2.1592740100000003</v>
      </c>
      <c r="AN63" s="27">
        <f t="shared" si="4"/>
        <v>2.1592740100000003</v>
      </c>
      <c r="AO63" s="34" t="s">
        <v>1485</v>
      </c>
    </row>
    <row r="64" spans="1:41" ht="46.5" customHeight="1" x14ac:dyDescent="0.25">
      <c r="A64" s="8" t="s">
        <v>70</v>
      </c>
      <c r="B64" s="37" t="s">
        <v>206</v>
      </c>
      <c r="C64" s="29" t="s">
        <v>207</v>
      </c>
      <c r="D64" s="38" t="s">
        <v>1481</v>
      </c>
      <c r="E64" s="30">
        <v>2015</v>
      </c>
      <c r="F64" s="30">
        <v>2015</v>
      </c>
      <c r="G64" s="30" t="s">
        <v>1435</v>
      </c>
      <c r="H64" s="27">
        <v>0</v>
      </c>
      <c r="I64" s="27">
        <v>0.29704291782729808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2.13276815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f t="shared" si="11"/>
        <v>0</v>
      </c>
      <c r="Y64" s="27">
        <v>0</v>
      </c>
      <c r="Z64" s="27">
        <f t="shared" si="2"/>
        <v>0</v>
      </c>
      <c r="AA64" s="27">
        <v>0</v>
      </c>
      <c r="AB64" s="28">
        <v>0</v>
      </c>
      <c r="AC64" s="27">
        <v>0</v>
      </c>
      <c r="AD64" s="28">
        <f>2132.76815/1000</f>
        <v>2.13276815</v>
      </c>
      <c r="AE64" s="27">
        <v>0</v>
      </c>
      <c r="AF64" s="28">
        <v>0</v>
      </c>
      <c r="AG64" s="27">
        <v>0</v>
      </c>
      <c r="AH64" s="28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f t="shared" si="10"/>
        <v>2.13276815</v>
      </c>
      <c r="AN64" s="27">
        <f t="shared" si="4"/>
        <v>2.13276815</v>
      </c>
      <c r="AO64" s="34" t="s">
        <v>1485</v>
      </c>
    </row>
    <row r="65" spans="1:41" ht="63.75" customHeight="1" x14ac:dyDescent="0.25">
      <c r="A65" s="8" t="s">
        <v>70</v>
      </c>
      <c r="B65" s="37" t="s">
        <v>208</v>
      </c>
      <c r="C65" s="29" t="s">
        <v>209</v>
      </c>
      <c r="D65" s="38" t="s">
        <v>1481</v>
      </c>
      <c r="E65" s="30">
        <v>2015</v>
      </c>
      <c r="F65" s="30">
        <v>2015</v>
      </c>
      <c r="G65" s="30" t="s">
        <v>1435</v>
      </c>
      <c r="H65" s="27">
        <v>0</v>
      </c>
      <c r="I65" s="27">
        <v>0.26753979665738165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1.92093574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f t="shared" si="11"/>
        <v>0</v>
      </c>
      <c r="Y65" s="27">
        <v>0</v>
      </c>
      <c r="Z65" s="27">
        <f t="shared" si="2"/>
        <v>0</v>
      </c>
      <c r="AA65" s="27">
        <v>0</v>
      </c>
      <c r="AB65" s="28">
        <v>0</v>
      </c>
      <c r="AC65" s="27">
        <v>0</v>
      </c>
      <c r="AD65" s="28">
        <f>1920.93574/1000</f>
        <v>1.92093574</v>
      </c>
      <c r="AE65" s="27">
        <v>0</v>
      </c>
      <c r="AF65" s="28">
        <v>0</v>
      </c>
      <c r="AG65" s="27">
        <v>0</v>
      </c>
      <c r="AH65" s="28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f t="shared" si="10"/>
        <v>1.92093574</v>
      </c>
      <c r="AN65" s="27">
        <f t="shared" si="4"/>
        <v>1.92093574</v>
      </c>
      <c r="AO65" s="34" t="s">
        <v>1485</v>
      </c>
    </row>
    <row r="66" spans="1:41" ht="53.25" customHeight="1" x14ac:dyDescent="0.25">
      <c r="A66" s="8" t="s">
        <v>70</v>
      </c>
      <c r="B66" s="37" t="s">
        <v>210</v>
      </c>
      <c r="C66" s="29" t="s">
        <v>211</v>
      </c>
      <c r="D66" s="38" t="s">
        <v>1481</v>
      </c>
      <c r="E66" s="30">
        <v>2015</v>
      </c>
      <c r="F66" s="30">
        <v>2015</v>
      </c>
      <c r="G66" s="30" t="s">
        <v>1435</v>
      </c>
      <c r="H66" s="27">
        <v>0</v>
      </c>
      <c r="I66" s="27">
        <v>0.22776028830083567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1.6353188700000001</v>
      </c>
      <c r="Q66" s="27">
        <v>4.5214739999999996E-2</v>
      </c>
      <c r="R66" s="27">
        <v>0.97499526000000003</v>
      </c>
      <c r="S66" s="27">
        <v>0.61510887000000003</v>
      </c>
      <c r="T66" s="27">
        <v>0</v>
      </c>
      <c r="U66" s="27">
        <v>0</v>
      </c>
      <c r="V66" s="27">
        <v>0</v>
      </c>
      <c r="W66" s="27">
        <v>0</v>
      </c>
      <c r="X66" s="27">
        <f t="shared" si="11"/>
        <v>0</v>
      </c>
      <c r="Y66" s="27">
        <v>0</v>
      </c>
      <c r="Z66" s="27">
        <f t="shared" si="2"/>
        <v>0</v>
      </c>
      <c r="AA66" s="27">
        <v>0</v>
      </c>
      <c r="AB66" s="28">
        <v>0</v>
      </c>
      <c r="AC66" s="27">
        <v>0</v>
      </c>
      <c r="AD66" s="28">
        <f>1635.31887/1000</f>
        <v>1.6353188700000001</v>
      </c>
      <c r="AE66" s="27">
        <v>0</v>
      </c>
      <c r="AF66" s="28">
        <v>0</v>
      </c>
      <c r="AG66" s="27">
        <v>0</v>
      </c>
      <c r="AH66" s="28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f t="shared" si="10"/>
        <v>1.6353188700000001</v>
      </c>
      <c r="AN66" s="27">
        <f t="shared" si="4"/>
        <v>1.6353188700000001</v>
      </c>
      <c r="AO66" s="34" t="s">
        <v>1485</v>
      </c>
    </row>
    <row r="67" spans="1:41" ht="51.75" customHeight="1" x14ac:dyDescent="0.25">
      <c r="A67" s="8" t="s">
        <v>70</v>
      </c>
      <c r="B67" s="37" t="s">
        <v>212</v>
      </c>
      <c r="C67" s="29" t="s">
        <v>213</v>
      </c>
      <c r="D67" s="38" t="s">
        <v>1481</v>
      </c>
      <c r="E67" s="30">
        <v>2015</v>
      </c>
      <c r="F67" s="30">
        <v>2015</v>
      </c>
      <c r="G67" s="30" t="s">
        <v>1435</v>
      </c>
      <c r="H67" s="27">
        <v>0</v>
      </c>
      <c r="I67" s="27">
        <v>4.5536835654596104E-2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0.32695447999999999</v>
      </c>
      <c r="Q67" s="27">
        <v>0</v>
      </c>
      <c r="R67" s="27">
        <v>0.17932938000000001</v>
      </c>
      <c r="S67" s="27">
        <v>0.14762509999999998</v>
      </c>
      <c r="T67" s="27">
        <v>0</v>
      </c>
      <c r="U67" s="27">
        <v>0</v>
      </c>
      <c r="V67" s="27">
        <v>0</v>
      </c>
      <c r="W67" s="27">
        <v>0</v>
      </c>
      <c r="X67" s="27">
        <f t="shared" si="11"/>
        <v>0</v>
      </c>
      <c r="Y67" s="27">
        <v>0</v>
      </c>
      <c r="Z67" s="27">
        <f t="shared" si="2"/>
        <v>0</v>
      </c>
      <c r="AA67" s="27">
        <v>0</v>
      </c>
      <c r="AB67" s="28">
        <v>0</v>
      </c>
      <c r="AC67" s="27">
        <v>0</v>
      </c>
      <c r="AD67" s="28">
        <f>326.95448/1000</f>
        <v>0.32695447999999999</v>
      </c>
      <c r="AE67" s="27">
        <v>0</v>
      </c>
      <c r="AF67" s="28">
        <v>0</v>
      </c>
      <c r="AG67" s="27">
        <v>0</v>
      </c>
      <c r="AH67" s="28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f t="shared" si="10"/>
        <v>0.32695447999999999</v>
      </c>
      <c r="AN67" s="27">
        <f t="shared" si="4"/>
        <v>0.32695447999999999</v>
      </c>
      <c r="AO67" s="34" t="s">
        <v>1485</v>
      </c>
    </row>
    <row r="68" spans="1:41" ht="51.75" customHeight="1" x14ac:dyDescent="0.25">
      <c r="A68" s="8" t="s">
        <v>70</v>
      </c>
      <c r="B68" s="37" t="s">
        <v>214</v>
      </c>
      <c r="C68" s="29" t="s">
        <v>215</v>
      </c>
      <c r="D68" s="38" t="s">
        <v>1481</v>
      </c>
      <c r="E68" s="30">
        <v>2015</v>
      </c>
      <c r="F68" s="30">
        <v>2015</v>
      </c>
      <c r="G68" s="30" t="s">
        <v>1435</v>
      </c>
      <c r="H68" s="27">
        <v>0</v>
      </c>
      <c r="I68" s="27">
        <v>0.12384298189415041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0.88919260999999994</v>
      </c>
      <c r="Q68" s="27">
        <v>3.8144879999999999E-2</v>
      </c>
      <c r="R68" s="27">
        <v>0.62882585000000002</v>
      </c>
      <c r="S68" s="27">
        <v>0.22222188000000001</v>
      </c>
      <c r="T68" s="27">
        <v>0</v>
      </c>
      <c r="U68" s="27">
        <v>0</v>
      </c>
      <c r="V68" s="27">
        <v>0</v>
      </c>
      <c r="W68" s="27">
        <v>0</v>
      </c>
      <c r="X68" s="27">
        <f t="shared" si="11"/>
        <v>0</v>
      </c>
      <c r="Y68" s="27">
        <v>0</v>
      </c>
      <c r="Z68" s="27">
        <f t="shared" si="2"/>
        <v>0</v>
      </c>
      <c r="AA68" s="27">
        <v>0</v>
      </c>
      <c r="AB68" s="28">
        <v>0</v>
      </c>
      <c r="AC68" s="27">
        <v>0</v>
      </c>
      <c r="AD68" s="28">
        <f>889.19261/1000</f>
        <v>0.88919260999999994</v>
      </c>
      <c r="AE68" s="27">
        <v>0</v>
      </c>
      <c r="AF68" s="28">
        <v>0</v>
      </c>
      <c r="AG68" s="27">
        <v>0</v>
      </c>
      <c r="AH68" s="28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f t="shared" si="10"/>
        <v>0.88919260999999994</v>
      </c>
      <c r="AN68" s="27">
        <f t="shared" si="4"/>
        <v>0.88919260999999994</v>
      </c>
      <c r="AO68" s="34" t="s">
        <v>1485</v>
      </c>
    </row>
    <row r="69" spans="1:41" ht="51" customHeight="1" x14ac:dyDescent="0.25">
      <c r="A69" s="8" t="s">
        <v>70</v>
      </c>
      <c r="B69" s="37" t="s">
        <v>216</v>
      </c>
      <c r="C69" s="29" t="s">
        <v>217</v>
      </c>
      <c r="D69" s="38" t="s">
        <v>1481</v>
      </c>
      <c r="E69" s="30">
        <v>2015</v>
      </c>
      <c r="F69" s="30">
        <v>2015</v>
      </c>
      <c r="G69" s="30" t="s">
        <v>1435</v>
      </c>
      <c r="H69" s="27">
        <v>0</v>
      </c>
      <c r="I69" s="27">
        <v>0.19350764066852366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1.3893848599999998</v>
      </c>
      <c r="Q69" s="27">
        <v>6.8778020000000009E-2</v>
      </c>
      <c r="R69" s="27">
        <v>0.98092643000000002</v>
      </c>
      <c r="S69" s="27">
        <v>0.33968040999999999</v>
      </c>
      <c r="T69" s="27">
        <v>0</v>
      </c>
      <c r="U69" s="27">
        <v>0</v>
      </c>
      <c r="V69" s="27">
        <v>0</v>
      </c>
      <c r="W69" s="27">
        <v>0</v>
      </c>
      <c r="X69" s="27">
        <f t="shared" si="11"/>
        <v>0</v>
      </c>
      <c r="Y69" s="27">
        <v>0</v>
      </c>
      <c r="Z69" s="27">
        <f t="shared" si="2"/>
        <v>0</v>
      </c>
      <c r="AA69" s="27">
        <v>0</v>
      </c>
      <c r="AB69" s="28">
        <v>0</v>
      </c>
      <c r="AC69" s="27">
        <v>0</v>
      </c>
      <c r="AD69" s="28">
        <f>1389.38486/1000</f>
        <v>1.3893848599999998</v>
      </c>
      <c r="AE69" s="27">
        <v>0</v>
      </c>
      <c r="AF69" s="28">
        <v>0</v>
      </c>
      <c r="AG69" s="27">
        <v>0</v>
      </c>
      <c r="AH69" s="28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f t="shared" si="10"/>
        <v>1.3893848599999998</v>
      </c>
      <c r="AN69" s="27">
        <f t="shared" si="4"/>
        <v>1.3893848599999998</v>
      </c>
      <c r="AO69" s="34" t="s">
        <v>1485</v>
      </c>
    </row>
    <row r="70" spans="1:41" ht="49.5" customHeight="1" x14ac:dyDescent="0.25">
      <c r="A70" s="8" t="s">
        <v>70</v>
      </c>
      <c r="B70" s="37" t="s">
        <v>218</v>
      </c>
      <c r="C70" s="29" t="s">
        <v>219</v>
      </c>
      <c r="D70" s="38" t="s">
        <v>1481</v>
      </c>
      <c r="E70" s="30">
        <v>2015</v>
      </c>
      <c r="F70" s="30">
        <v>2015</v>
      </c>
      <c r="G70" s="30" t="s">
        <v>1435</v>
      </c>
      <c r="H70" s="27">
        <v>0</v>
      </c>
      <c r="I70" s="27">
        <v>7.4360473537604457E-2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0.53390819999999994</v>
      </c>
      <c r="Q70" s="27">
        <v>2.9611571990000002E-2</v>
      </c>
      <c r="R70" s="27">
        <v>0.38569902</v>
      </c>
      <c r="S70" s="27">
        <v>0.11862719000000001</v>
      </c>
      <c r="T70" s="27">
        <v>0</v>
      </c>
      <c r="U70" s="27">
        <v>0</v>
      </c>
      <c r="V70" s="27">
        <v>0</v>
      </c>
      <c r="W70" s="27">
        <v>0</v>
      </c>
      <c r="X70" s="27">
        <f t="shared" si="11"/>
        <v>0</v>
      </c>
      <c r="Y70" s="27">
        <v>0</v>
      </c>
      <c r="Z70" s="27">
        <f t="shared" si="2"/>
        <v>0</v>
      </c>
      <c r="AA70" s="27">
        <v>0</v>
      </c>
      <c r="AB70" s="28">
        <v>0</v>
      </c>
      <c r="AC70" s="27">
        <v>0</v>
      </c>
      <c r="AD70" s="28">
        <f>533.9082/1000</f>
        <v>0.53390819999999994</v>
      </c>
      <c r="AE70" s="27">
        <v>0</v>
      </c>
      <c r="AF70" s="28">
        <v>0</v>
      </c>
      <c r="AG70" s="27">
        <v>0</v>
      </c>
      <c r="AH70" s="28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f t="shared" si="10"/>
        <v>0.53390819999999994</v>
      </c>
      <c r="AN70" s="27">
        <f t="shared" si="4"/>
        <v>0.53390819999999994</v>
      </c>
      <c r="AO70" s="34" t="s">
        <v>1485</v>
      </c>
    </row>
    <row r="71" spans="1:41" ht="51.75" customHeight="1" x14ac:dyDescent="0.25">
      <c r="A71" s="8" t="s">
        <v>70</v>
      </c>
      <c r="B71" s="37" t="s">
        <v>220</v>
      </c>
      <c r="C71" s="29" t="s">
        <v>221</v>
      </c>
      <c r="D71" s="38" t="s">
        <v>1481</v>
      </c>
      <c r="E71" s="30">
        <v>2015</v>
      </c>
      <c r="F71" s="30">
        <v>2015</v>
      </c>
      <c r="G71" s="30" t="s">
        <v>1435</v>
      </c>
      <c r="H71" s="27">
        <v>0</v>
      </c>
      <c r="I71" s="27">
        <v>0.16475117548746521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1.1829134400000001</v>
      </c>
      <c r="Q71" s="27">
        <v>4.6524739999999995E-2</v>
      </c>
      <c r="R71" s="27">
        <v>0.69725274999999998</v>
      </c>
      <c r="S71" s="27">
        <v>0.43913595</v>
      </c>
      <c r="T71" s="27">
        <v>0</v>
      </c>
      <c r="U71" s="27">
        <v>0</v>
      </c>
      <c r="V71" s="27">
        <v>0</v>
      </c>
      <c r="W71" s="27">
        <v>0</v>
      </c>
      <c r="X71" s="27">
        <f t="shared" si="11"/>
        <v>0</v>
      </c>
      <c r="Y71" s="27">
        <v>0</v>
      </c>
      <c r="Z71" s="27">
        <f t="shared" si="2"/>
        <v>0</v>
      </c>
      <c r="AA71" s="27">
        <v>0</v>
      </c>
      <c r="AB71" s="28">
        <v>0</v>
      </c>
      <c r="AC71" s="27">
        <v>0</v>
      </c>
      <c r="AD71" s="28">
        <f>1182.91344/1000</f>
        <v>1.1829134400000001</v>
      </c>
      <c r="AE71" s="27">
        <v>0</v>
      </c>
      <c r="AF71" s="28">
        <v>0</v>
      </c>
      <c r="AG71" s="27">
        <v>0</v>
      </c>
      <c r="AH71" s="28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f t="shared" si="10"/>
        <v>1.1829134400000001</v>
      </c>
      <c r="AN71" s="27">
        <f t="shared" si="4"/>
        <v>1.1829134400000001</v>
      </c>
      <c r="AO71" s="34" t="s">
        <v>1485</v>
      </c>
    </row>
    <row r="72" spans="1:41" ht="57" customHeight="1" x14ac:dyDescent="0.25">
      <c r="A72" s="8" t="s">
        <v>70</v>
      </c>
      <c r="B72" s="37" t="s">
        <v>222</v>
      </c>
      <c r="C72" s="29" t="s">
        <v>223</v>
      </c>
      <c r="D72" s="38" t="s">
        <v>1481</v>
      </c>
      <c r="E72" s="30">
        <v>2015</v>
      </c>
      <c r="F72" s="30">
        <v>2015</v>
      </c>
      <c r="G72" s="30" t="s">
        <v>1435</v>
      </c>
      <c r="H72" s="27">
        <v>0</v>
      </c>
      <c r="I72" s="27">
        <v>0.22279749582172703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1.59968602</v>
      </c>
      <c r="Q72" s="27">
        <v>3.032785E-2</v>
      </c>
      <c r="R72" s="27">
        <v>0.80657361999999999</v>
      </c>
      <c r="S72" s="27">
        <v>0.76278455000000001</v>
      </c>
      <c r="T72" s="27">
        <v>0</v>
      </c>
      <c r="U72" s="27">
        <v>0</v>
      </c>
      <c r="V72" s="27">
        <v>0</v>
      </c>
      <c r="W72" s="27">
        <v>0</v>
      </c>
      <c r="X72" s="27">
        <f t="shared" si="11"/>
        <v>0</v>
      </c>
      <c r="Y72" s="27">
        <v>0</v>
      </c>
      <c r="Z72" s="27">
        <f t="shared" si="2"/>
        <v>0</v>
      </c>
      <c r="AA72" s="27">
        <v>0</v>
      </c>
      <c r="AB72" s="28">
        <v>0</v>
      </c>
      <c r="AC72" s="27">
        <v>0</v>
      </c>
      <c r="AD72" s="28">
        <f>1599.68602/1000</f>
        <v>1.59968602</v>
      </c>
      <c r="AE72" s="27">
        <v>0</v>
      </c>
      <c r="AF72" s="28">
        <v>0</v>
      </c>
      <c r="AG72" s="27">
        <v>0</v>
      </c>
      <c r="AH72" s="28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f t="shared" si="10"/>
        <v>1.59968602</v>
      </c>
      <c r="AN72" s="27">
        <f t="shared" si="4"/>
        <v>1.59968602</v>
      </c>
      <c r="AO72" s="34" t="s">
        <v>1485</v>
      </c>
    </row>
    <row r="73" spans="1:41" ht="49.5" customHeight="1" x14ac:dyDescent="0.25">
      <c r="A73" s="8" t="s">
        <v>70</v>
      </c>
      <c r="B73" s="37" t="s">
        <v>224</v>
      </c>
      <c r="C73" s="29" t="s">
        <v>225</v>
      </c>
      <c r="D73" s="38" t="s">
        <v>1481</v>
      </c>
      <c r="E73" s="30">
        <v>2015</v>
      </c>
      <c r="F73" s="30">
        <v>2015</v>
      </c>
      <c r="G73" s="30" t="s">
        <v>1435</v>
      </c>
      <c r="H73" s="27">
        <v>0</v>
      </c>
      <c r="I73" s="27">
        <v>1.4989849582172704E-2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0.10762712000000001</v>
      </c>
      <c r="Q73" s="27">
        <v>0</v>
      </c>
      <c r="R73" s="27">
        <v>0</v>
      </c>
      <c r="S73" s="27">
        <v>0.10762712000000001</v>
      </c>
      <c r="T73" s="27">
        <v>0</v>
      </c>
      <c r="U73" s="27">
        <v>0</v>
      </c>
      <c r="V73" s="27">
        <v>0</v>
      </c>
      <c r="W73" s="27">
        <v>0</v>
      </c>
      <c r="X73" s="27">
        <f t="shared" si="11"/>
        <v>0</v>
      </c>
      <c r="Y73" s="27">
        <v>0</v>
      </c>
      <c r="Z73" s="27">
        <f t="shared" si="2"/>
        <v>0</v>
      </c>
      <c r="AA73" s="27">
        <v>0</v>
      </c>
      <c r="AB73" s="28">
        <v>0</v>
      </c>
      <c r="AC73" s="27">
        <v>0</v>
      </c>
      <c r="AD73" s="28">
        <f>107.62712/1000</f>
        <v>0.10762712000000001</v>
      </c>
      <c r="AE73" s="27">
        <v>0</v>
      </c>
      <c r="AF73" s="28">
        <v>0</v>
      </c>
      <c r="AG73" s="27">
        <v>0</v>
      </c>
      <c r="AH73" s="28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f t="shared" si="10"/>
        <v>0.10762712000000001</v>
      </c>
      <c r="AN73" s="27">
        <f t="shared" si="4"/>
        <v>0.10762712000000001</v>
      </c>
      <c r="AO73" s="34" t="s">
        <v>1485</v>
      </c>
    </row>
    <row r="74" spans="1:41" ht="51.75" customHeight="1" x14ac:dyDescent="0.25">
      <c r="A74" s="8" t="s">
        <v>70</v>
      </c>
      <c r="B74" s="37" t="s">
        <v>226</v>
      </c>
      <c r="C74" s="29" t="s">
        <v>227</v>
      </c>
      <c r="D74" s="38" t="s">
        <v>1481</v>
      </c>
      <c r="E74" s="30">
        <v>2015</v>
      </c>
      <c r="F74" s="30">
        <v>2015</v>
      </c>
      <c r="G74" s="30" t="s">
        <v>1435</v>
      </c>
      <c r="H74" s="27">
        <v>0</v>
      </c>
      <c r="I74" s="27">
        <v>0.15037061559888582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1.0796610200000001</v>
      </c>
      <c r="Q74" s="27">
        <v>0</v>
      </c>
      <c r="R74" s="27">
        <v>0</v>
      </c>
      <c r="S74" s="27">
        <v>1.0796610200000001</v>
      </c>
      <c r="T74" s="27">
        <v>0</v>
      </c>
      <c r="U74" s="27">
        <v>0</v>
      </c>
      <c r="V74" s="27">
        <v>0</v>
      </c>
      <c r="W74" s="27">
        <v>0</v>
      </c>
      <c r="X74" s="27">
        <f t="shared" si="11"/>
        <v>0</v>
      </c>
      <c r="Y74" s="27">
        <v>0</v>
      </c>
      <c r="Z74" s="27">
        <f t="shared" si="2"/>
        <v>0</v>
      </c>
      <c r="AA74" s="27">
        <v>0</v>
      </c>
      <c r="AB74" s="28">
        <v>0</v>
      </c>
      <c r="AC74" s="27">
        <v>0</v>
      </c>
      <c r="AD74" s="28">
        <f>1079.66102/1000</f>
        <v>1.0796610200000001</v>
      </c>
      <c r="AE74" s="27">
        <v>0</v>
      </c>
      <c r="AF74" s="28">
        <v>0</v>
      </c>
      <c r="AG74" s="27">
        <v>0</v>
      </c>
      <c r="AH74" s="28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f t="shared" si="10"/>
        <v>1.0796610200000001</v>
      </c>
      <c r="AN74" s="27">
        <f t="shared" si="4"/>
        <v>1.0796610200000001</v>
      </c>
      <c r="AO74" s="34" t="s">
        <v>1485</v>
      </c>
    </row>
    <row r="75" spans="1:41" ht="48.75" customHeight="1" x14ac:dyDescent="0.25">
      <c r="A75" s="8" t="s">
        <v>70</v>
      </c>
      <c r="B75" s="37" t="s">
        <v>228</v>
      </c>
      <c r="C75" s="29" t="s">
        <v>229</v>
      </c>
      <c r="D75" s="38" t="s">
        <v>1481</v>
      </c>
      <c r="E75" s="30">
        <v>2015</v>
      </c>
      <c r="F75" s="30">
        <v>2015</v>
      </c>
      <c r="G75" s="30" t="s">
        <v>1435</v>
      </c>
      <c r="H75" s="27">
        <v>0</v>
      </c>
      <c r="I75" s="27">
        <v>2.2727931754874656E-2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0.16318655000000001</v>
      </c>
      <c r="Q75" s="27">
        <v>2.4359099999999998E-2</v>
      </c>
      <c r="R75" s="27">
        <v>0.10472155999999999</v>
      </c>
      <c r="S75" s="27">
        <v>3.410589E-2</v>
      </c>
      <c r="T75" s="27">
        <v>0</v>
      </c>
      <c r="U75" s="27">
        <v>0</v>
      </c>
      <c r="V75" s="27">
        <v>0</v>
      </c>
      <c r="W75" s="27">
        <v>0</v>
      </c>
      <c r="X75" s="27">
        <f t="shared" si="11"/>
        <v>0</v>
      </c>
      <c r="Y75" s="27">
        <v>0</v>
      </c>
      <c r="Z75" s="27">
        <f t="shared" si="2"/>
        <v>0</v>
      </c>
      <c r="AA75" s="27">
        <v>0</v>
      </c>
      <c r="AB75" s="28">
        <v>0</v>
      </c>
      <c r="AC75" s="27">
        <v>0</v>
      </c>
      <c r="AD75" s="28">
        <f>163.18655/1000</f>
        <v>0.16318655000000001</v>
      </c>
      <c r="AE75" s="27">
        <v>0</v>
      </c>
      <c r="AF75" s="28">
        <v>0</v>
      </c>
      <c r="AG75" s="27">
        <v>0</v>
      </c>
      <c r="AH75" s="28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f t="shared" si="10"/>
        <v>0.16318655000000001</v>
      </c>
      <c r="AN75" s="27">
        <f t="shared" si="4"/>
        <v>0.16318655000000001</v>
      </c>
      <c r="AO75" s="34" t="s">
        <v>1485</v>
      </c>
    </row>
    <row r="76" spans="1:41" ht="63.75" customHeight="1" x14ac:dyDescent="0.25">
      <c r="A76" s="8" t="s">
        <v>70</v>
      </c>
      <c r="B76" s="37" t="s">
        <v>230</v>
      </c>
      <c r="C76" s="29" t="s">
        <v>231</v>
      </c>
      <c r="D76" s="38" t="s">
        <v>1481</v>
      </c>
      <c r="E76" s="30">
        <v>2015</v>
      </c>
      <c r="F76" s="30">
        <v>2015</v>
      </c>
      <c r="G76" s="30" t="s">
        <v>1435</v>
      </c>
      <c r="H76" s="27">
        <v>0</v>
      </c>
      <c r="I76" s="27">
        <v>5.5799235376044573E-2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0.40063851</v>
      </c>
      <c r="Q76" s="27">
        <v>0</v>
      </c>
      <c r="R76" s="27">
        <v>0.26425521000000002</v>
      </c>
      <c r="S76" s="27">
        <v>0.13638329999999999</v>
      </c>
      <c r="T76" s="27">
        <v>0</v>
      </c>
      <c r="U76" s="27">
        <v>0</v>
      </c>
      <c r="V76" s="27">
        <v>0</v>
      </c>
      <c r="W76" s="27">
        <v>0</v>
      </c>
      <c r="X76" s="27">
        <f t="shared" si="11"/>
        <v>0</v>
      </c>
      <c r="Y76" s="27">
        <v>0</v>
      </c>
      <c r="Z76" s="27">
        <f t="shared" si="2"/>
        <v>0</v>
      </c>
      <c r="AA76" s="27">
        <v>0</v>
      </c>
      <c r="AB76" s="28">
        <v>0</v>
      </c>
      <c r="AC76" s="27">
        <v>0</v>
      </c>
      <c r="AD76" s="28">
        <f>400.63851/1000</f>
        <v>0.40063851</v>
      </c>
      <c r="AE76" s="27">
        <v>0</v>
      </c>
      <c r="AF76" s="28">
        <v>0</v>
      </c>
      <c r="AG76" s="27">
        <v>0</v>
      </c>
      <c r="AH76" s="28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f t="shared" si="10"/>
        <v>0.40063851</v>
      </c>
      <c r="AN76" s="27">
        <f t="shared" si="4"/>
        <v>0.40063851</v>
      </c>
      <c r="AO76" s="34" t="s">
        <v>1485</v>
      </c>
    </row>
    <row r="77" spans="1:41" ht="63.75" customHeight="1" x14ac:dyDescent="0.25">
      <c r="A77" s="8" t="s">
        <v>70</v>
      </c>
      <c r="B77" s="37" t="s">
        <v>232</v>
      </c>
      <c r="C77" s="29" t="s">
        <v>233</v>
      </c>
      <c r="D77" s="38" t="s">
        <v>1481</v>
      </c>
      <c r="E77" s="30">
        <v>2015</v>
      </c>
      <c r="F77" s="30">
        <v>2015</v>
      </c>
      <c r="G77" s="30" t="s">
        <v>1435</v>
      </c>
      <c r="H77" s="27">
        <v>0</v>
      </c>
      <c r="I77" s="27">
        <v>9.2937270194986075E-3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6.6728960000000004E-2</v>
      </c>
      <c r="Q77" s="27">
        <v>0</v>
      </c>
      <c r="R77" s="27">
        <v>4.1717839999999999E-2</v>
      </c>
      <c r="S77" s="27">
        <v>2.5011119999999998E-2</v>
      </c>
      <c r="T77" s="27">
        <v>0</v>
      </c>
      <c r="U77" s="27">
        <v>0</v>
      </c>
      <c r="V77" s="27">
        <v>0</v>
      </c>
      <c r="W77" s="27">
        <v>0</v>
      </c>
      <c r="X77" s="27">
        <f t="shared" si="11"/>
        <v>0</v>
      </c>
      <c r="Y77" s="27">
        <v>0</v>
      </c>
      <c r="Z77" s="27">
        <f t="shared" si="2"/>
        <v>0</v>
      </c>
      <c r="AA77" s="27">
        <v>0</v>
      </c>
      <c r="AB77" s="28">
        <v>0</v>
      </c>
      <c r="AC77" s="27">
        <v>0</v>
      </c>
      <c r="AD77" s="28">
        <f>66.72896/1000</f>
        <v>6.6728960000000004E-2</v>
      </c>
      <c r="AE77" s="27">
        <v>0</v>
      </c>
      <c r="AF77" s="28">
        <v>0</v>
      </c>
      <c r="AG77" s="27">
        <v>0</v>
      </c>
      <c r="AH77" s="28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f t="shared" si="10"/>
        <v>6.6728960000000004E-2</v>
      </c>
      <c r="AN77" s="27">
        <f t="shared" si="4"/>
        <v>6.6728960000000004E-2</v>
      </c>
      <c r="AO77" s="34" t="s">
        <v>1485</v>
      </c>
    </row>
    <row r="78" spans="1:41" ht="49.5" customHeight="1" x14ac:dyDescent="0.25">
      <c r="A78" s="8" t="s">
        <v>70</v>
      </c>
      <c r="B78" s="37" t="s">
        <v>234</v>
      </c>
      <c r="C78" s="29" t="s">
        <v>235</v>
      </c>
      <c r="D78" s="38" t="s">
        <v>1481</v>
      </c>
      <c r="E78" s="30">
        <v>2015</v>
      </c>
      <c r="F78" s="30">
        <v>2015</v>
      </c>
      <c r="G78" s="30" t="s">
        <v>1435</v>
      </c>
      <c r="H78" s="27">
        <v>0</v>
      </c>
      <c r="I78" s="27">
        <v>4.3561685236768802E-3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3.1277289999999999E-2</v>
      </c>
      <c r="Q78" s="27">
        <v>0</v>
      </c>
      <c r="R78" s="27">
        <v>2.1676540000000001E-2</v>
      </c>
      <c r="S78" s="27">
        <v>9.6007499999999999E-3</v>
      </c>
      <c r="T78" s="27">
        <v>0</v>
      </c>
      <c r="U78" s="27">
        <v>0</v>
      </c>
      <c r="V78" s="27">
        <v>0</v>
      </c>
      <c r="W78" s="27">
        <v>0</v>
      </c>
      <c r="X78" s="27">
        <f t="shared" si="11"/>
        <v>0</v>
      </c>
      <c r="Y78" s="27">
        <v>0</v>
      </c>
      <c r="Z78" s="27">
        <f t="shared" si="2"/>
        <v>0</v>
      </c>
      <c r="AA78" s="27">
        <v>0</v>
      </c>
      <c r="AB78" s="28">
        <v>0</v>
      </c>
      <c r="AC78" s="27">
        <v>0</v>
      </c>
      <c r="AD78" s="28">
        <f>31.27729/1000</f>
        <v>3.1277289999999999E-2</v>
      </c>
      <c r="AE78" s="27">
        <v>0</v>
      </c>
      <c r="AF78" s="28">
        <v>0</v>
      </c>
      <c r="AG78" s="27">
        <v>0</v>
      </c>
      <c r="AH78" s="28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f t="shared" si="10"/>
        <v>3.1277289999999999E-2</v>
      </c>
      <c r="AN78" s="27">
        <f t="shared" si="4"/>
        <v>3.1277289999999999E-2</v>
      </c>
      <c r="AO78" s="34" t="s">
        <v>1485</v>
      </c>
    </row>
    <row r="79" spans="1:41" ht="53.25" customHeight="1" x14ac:dyDescent="0.25">
      <c r="A79" s="8" t="s">
        <v>70</v>
      </c>
      <c r="B79" s="37" t="s">
        <v>236</v>
      </c>
      <c r="C79" s="29" t="s">
        <v>237</v>
      </c>
      <c r="D79" s="38" t="s">
        <v>1481</v>
      </c>
      <c r="E79" s="30">
        <v>2015</v>
      </c>
      <c r="F79" s="30">
        <v>2015</v>
      </c>
      <c r="G79" s="30" t="s">
        <v>1435</v>
      </c>
      <c r="H79" s="27">
        <v>0</v>
      </c>
      <c r="I79" s="27">
        <v>3.0270376044568247E-3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2.1734130000000001E-2</v>
      </c>
      <c r="Q79" s="27">
        <v>0</v>
      </c>
      <c r="R79" s="27">
        <v>1.5019860000000001E-2</v>
      </c>
      <c r="S79" s="27">
        <v>6.7142700000000005E-3</v>
      </c>
      <c r="T79" s="27">
        <v>0</v>
      </c>
      <c r="U79" s="27">
        <v>0</v>
      </c>
      <c r="V79" s="27">
        <v>0</v>
      </c>
      <c r="W79" s="27">
        <v>0</v>
      </c>
      <c r="X79" s="27">
        <f t="shared" si="11"/>
        <v>0</v>
      </c>
      <c r="Y79" s="27">
        <v>0</v>
      </c>
      <c r="Z79" s="27">
        <f t="shared" si="2"/>
        <v>0</v>
      </c>
      <c r="AA79" s="27">
        <v>0</v>
      </c>
      <c r="AB79" s="28">
        <v>0</v>
      </c>
      <c r="AC79" s="27">
        <v>0</v>
      </c>
      <c r="AD79" s="28">
        <f>21.73413/1000</f>
        <v>2.1734130000000001E-2</v>
      </c>
      <c r="AE79" s="27">
        <v>0</v>
      </c>
      <c r="AF79" s="28">
        <v>0</v>
      </c>
      <c r="AG79" s="27">
        <v>0</v>
      </c>
      <c r="AH79" s="28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f t="shared" si="10"/>
        <v>2.1734130000000001E-2</v>
      </c>
      <c r="AN79" s="27">
        <f t="shared" si="4"/>
        <v>2.1734130000000001E-2</v>
      </c>
      <c r="AO79" s="34" t="s">
        <v>1485</v>
      </c>
    </row>
    <row r="80" spans="1:41" ht="53.25" customHeight="1" x14ac:dyDescent="0.25">
      <c r="A80" s="8" t="s">
        <v>70</v>
      </c>
      <c r="B80" s="37" t="s">
        <v>238</v>
      </c>
      <c r="C80" s="29" t="s">
        <v>239</v>
      </c>
      <c r="D80" s="38" t="s">
        <v>1481</v>
      </c>
      <c r="E80" s="30">
        <v>2015</v>
      </c>
      <c r="F80" s="30">
        <v>2015</v>
      </c>
      <c r="G80" s="30" t="s">
        <v>1435</v>
      </c>
      <c r="H80" s="27">
        <v>0</v>
      </c>
      <c r="I80" s="27">
        <v>2.8933927576601675E-3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2.0774560000000001E-2</v>
      </c>
      <c r="Q80" s="27">
        <v>0</v>
      </c>
      <c r="R80" s="27">
        <v>1.54605E-2</v>
      </c>
      <c r="S80" s="27">
        <v>5.3140600000000007E-3</v>
      </c>
      <c r="T80" s="27">
        <v>0</v>
      </c>
      <c r="U80" s="27">
        <v>0</v>
      </c>
      <c r="V80" s="27">
        <v>0</v>
      </c>
      <c r="W80" s="27">
        <v>0</v>
      </c>
      <c r="X80" s="27">
        <f t="shared" si="11"/>
        <v>0</v>
      </c>
      <c r="Y80" s="27">
        <v>0</v>
      </c>
      <c r="Z80" s="27">
        <f t="shared" si="2"/>
        <v>0</v>
      </c>
      <c r="AA80" s="27">
        <v>0</v>
      </c>
      <c r="AB80" s="28">
        <v>0</v>
      </c>
      <c r="AC80" s="27">
        <v>0</v>
      </c>
      <c r="AD80" s="28">
        <f>20.77456/1000</f>
        <v>2.0774560000000001E-2</v>
      </c>
      <c r="AE80" s="27">
        <v>0</v>
      </c>
      <c r="AF80" s="28">
        <v>0</v>
      </c>
      <c r="AG80" s="27">
        <v>0</v>
      </c>
      <c r="AH80" s="28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f t="shared" si="10"/>
        <v>2.0774560000000001E-2</v>
      </c>
      <c r="AN80" s="27">
        <f t="shared" si="4"/>
        <v>2.0774560000000001E-2</v>
      </c>
      <c r="AO80" s="34" t="s">
        <v>1485</v>
      </c>
    </row>
    <row r="81" spans="1:41" ht="51" customHeight="1" x14ac:dyDescent="0.25">
      <c r="A81" s="8" t="s">
        <v>70</v>
      </c>
      <c r="B81" s="37" t="s">
        <v>240</v>
      </c>
      <c r="C81" s="29" t="s">
        <v>241</v>
      </c>
      <c r="D81" s="38" t="s">
        <v>1481</v>
      </c>
      <c r="E81" s="30">
        <v>2015</v>
      </c>
      <c r="F81" s="30">
        <v>2015</v>
      </c>
      <c r="G81" s="30" t="s">
        <v>1435</v>
      </c>
      <c r="H81" s="27">
        <v>0</v>
      </c>
      <c r="I81" s="27">
        <v>4.7982130919220056E-3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3.4451169999999996E-2</v>
      </c>
      <c r="Q81" s="27">
        <v>0</v>
      </c>
      <c r="R81" s="27">
        <v>2.3518360000000002E-2</v>
      </c>
      <c r="S81" s="27">
        <v>1.0932809999999999E-2</v>
      </c>
      <c r="T81" s="27">
        <v>0</v>
      </c>
      <c r="U81" s="27">
        <v>0</v>
      </c>
      <c r="V81" s="27">
        <v>0</v>
      </c>
      <c r="W81" s="27">
        <v>0</v>
      </c>
      <c r="X81" s="27">
        <f t="shared" si="11"/>
        <v>0</v>
      </c>
      <c r="Y81" s="27">
        <v>0</v>
      </c>
      <c r="Z81" s="27">
        <f t="shared" si="2"/>
        <v>0</v>
      </c>
      <c r="AA81" s="27">
        <v>0</v>
      </c>
      <c r="AB81" s="28">
        <v>0</v>
      </c>
      <c r="AC81" s="27">
        <v>0</v>
      </c>
      <c r="AD81" s="28">
        <f>34.45117/1000</f>
        <v>3.4451169999999996E-2</v>
      </c>
      <c r="AE81" s="27">
        <v>0</v>
      </c>
      <c r="AF81" s="28">
        <v>0</v>
      </c>
      <c r="AG81" s="27">
        <v>0</v>
      </c>
      <c r="AH81" s="28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f t="shared" si="10"/>
        <v>3.4451169999999996E-2</v>
      </c>
      <c r="AN81" s="27">
        <f t="shared" si="4"/>
        <v>3.4451169999999996E-2</v>
      </c>
      <c r="AO81" s="34" t="s">
        <v>1485</v>
      </c>
    </row>
    <row r="82" spans="1:41" ht="51.75" customHeight="1" x14ac:dyDescent="0.25">
      <c r="A82" s="8" t="s">
        <v>70</v>
      </c>
      <c r="B82" s="37" t="s">
        <v>242</v>
      </c>
      <c r="C82" s="29" t="s">
        <v>243</v>
      </c>
      <c r="D82" s="38" t="s">
        <v>1481</v>
      </c>
      <c r="E82" s="30">
        <v>2015</v>
      </c>
      <c r="F82" s="30">
        <v>2015</v>
      </c>
      <c r="G82" s="30" t="s">
        <v>1435</v>
      </c>
      <c r="H82" s="27">
        <v>0</v>
      </c>
      <c r="I82" s="27">
        <v>2.7418412256267409E-3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1.968642E-2</v>
      </c>
      <c r="Q82" s="27">
        <v>0</v>
      </c>
      <c r="R82" s="27">
        <v>1.3337469999999999E-2</v>
      </c>
      <c r="S82" s="27">
        <v>6.3489499999999999E-3</v>
      </c>
      <c r="T82" s="27">
        <v>0</v>
      </c>
      <c r="U82" s="27">
        <v>0</v>
      </c>
      <c r="V82" s="27">
        <v>0</v>
      </c>
      <c r="W82" s="27">
        <v>0</v>
      </c>
      <c r="X82" s="27">
        <f t="shared" si="11"/>
        <v>0</v>
      </c>
      <c r="Y82" s="27">
        <v>0</v>
      </c>
      <c r="Z82" s="27">
        <f t="shared" si="2"/>
        <v>0</v>
      </c>
      <c r="AA82" s="27">
        <v>0</v>
      </c>
      <c r="AB82" s="28">
        <v>0</v>
      </c>
      <c r="AC82" s="27">
        <v>0</v>
      </c>
      <c r="AD82" s="28">
        <f>19.68642/1000</f>
        <v>1.968642E-2</v>
      </c>
      <c r="AE82" s="27">
        <v>0</v>
      </c>
      <c r="AF82" s="28">
        <v>0</v>
      </c>
      <c r="AG82" s="27">
        <v>0</v>
      </c>
      <c r="AH82" s="28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f t="shared" si="10"/>
        <v>1.968642E-2</v>
      </c>
      <c r="AN82" s="27">
        <f t="shared" si="4"/>
        <v>1.968642E-2</v>
      </c>
      <c r="AO82" s="34" t="s">
        <v>1485</v>
      </c>
    </row>
    <row r="83" spans="1:41" ht="51" customHeight="1" x14ac:dyDescent="0.25">
      <c r="A83" s="8" t="s">
        <v>70</v>
      </c>
      <c r="B83" s="37" t="s">
        <v>244</v>
      </c>
      <c r="C83" s="29" t="s">
        <v>245</v>
      </c>
      <c r="D83" s="38" t="s">
        <v>1481</v>
      </c>
      <c r="E83" s="30">
        <v>2015</v>
      </c>
      <c r="F83" s="30">
        <v>2015</v>
      </c>
      <c r="G83" s="30" t="s">
        <v>1435</v>
      </c>
      <c r="H83" s="27">
        <v>0</v>
      </c>
      <c r="I83" s="27">
        <v>3.8209986072423401E-3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2.7434770000000001E-2</v>
      </c>
      <c r="Q83" s="27">
        <v>0</v>
      </c>
      <c r="R83" s="27">
        <v>1.8381440000000002E-2</v>
      </c>
      <c r="S83" s="27">
        <v>1.2866540000000001E-2</v>
      </c>
      <c r="T83" s="27">
        <v>0</v>
      </c>
      <c r="U83" s="27">
        <v>0</v>
      </c>
      <c r="V83" s="27">
        <v>0</v>
      </c>
      <c r="W83" s="27">
        <v>0</v>
      </c>
      <c r="X83" s="27">
        <f t="shared" si="11"/>
        <v>0</v>
      </c>
      <c r="Y83" s="27">
        <v>0</v>
      </c>
      <c r="Z83" s="27">
        <f t="shared" ref="Z83:Z147" si="12">AH83</f>
        <v>0</v>
      </c>
      <c r="AA83" s="27">
        <v>0</v>
      </c>
      <c r="AB83" s="28">
        <v>0</v>
      </c>
      <c r="AC83" s="27">
        <v>0</v>
      </c>
      <c r="AD83" s="28">
        <f>27.43477/1000</f>
        <v>2.7434770000000001E-2</v>
      </c>
      <c r="AE83" s="27">
        <v>0</v>
      </c>
      <c r="AF83" s="28">
        <v>0</v>
      </c>
      <c r="AG83" s="27">
        <v>0</v>
      </c>
      <c r="AH83" s="28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f t="shared" si="10"/>
        <v>2.7434770000000001E-2</v>
      </c>
      <c r="AN83" s="27">
        <f t="shared" ref="AN83:AN146" si="13">AD83+AF83+AH83</f>
        <v>2.7434770000000001E-2</v>
      </c>
      <c r="AO83" s="34" t="s">
        <v>1485</v>
      </c>
    </row>
    <row r="84" spans="1:41" ht="59.25" customHeight="1" x14ac:dyDescent="0.25">
      <c r="A84" s="8" t="s">
        <v>70</v>
      </c>
      <c r="B84" s="37" t="s">
        <v>246</v>
      </c>
      <c r="C84" s="29" t="s">
        <v>247</v>
      </c>
      <c r="D84" s="38" t="s">
        <v>1481</v>
      </c>
      <c r="E84" s="30">
        <v>2015</v>
      </c>
      <c r="F84" s="30">
        <v>2015</v>
      </c>
      <c r="G84" s="30" t="s">
        <v>1435</v>
      </c>
      <c r="H84" s="27">
        <v>0</v>
      </c>
      <c r="I84" s="27">
        <v>6.8488440111420616E-4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4.9174700000000002E-3</v>
      </c>
      <c r="Q84" s="27">
        <v>0</v>
      </c>
      <c r="R84" s="27">
        <v>3.5579399999999999E-3</v>
      </c>
      <c r="S84" s="27">
        <v>1.3595300000000001E-3</v>
      </c>
      <c r="T84" s="27">
        <v>0</v>
      </c>
      <c r="U84" s="27">
        <v>0</v>
      </c>
      <c r="V84" s="27">
        <v>0</v>
      </c>
      <c r="W84" s="27">
        <v>0</v>
      </c>
      <c r="X84" s="27">
        <f t="shared" si="11"/>
        <v>0</v>
      </c>
      <c r="Y84" s="27">
        <v>0</v>
      </c>
      <c r="Z84" s="27">
        <f t="shared" si="12"/>
        <v>0</v>
      </c>
      <c r="AA84" s="27">
        <v>0</v>
      </c>
      <c r="AB84" s="28">
        <v>0</v>
      </c>
      <c r="AC84" s="27">
        <v>0</v>
      </c>
      <c r="AD84" s="28">
        <f>4.91747/1000</f>
        <v>4.9174700000000002E-3</v>
      </c>
      <c r="AE84" s="27">
        <v>0</v>
      </c>
      <c r="AF84" s="28">
        <v>0</v>
      </c>
      <c r="AG84" s="27">
        <v>0</v>
      </c>
      <c r="AH84" s="28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f t="shared" si="10"/>
        <v>4.9174700000000002E-3</v>
      </c>
      <c r="AN84" s="27">
        <f t="shared" si="13"/>
        <v>4.9174700000000002E-3</v>
      </c>
      <c r="AO84" s="34" t="s">
        <v>1485</v>
      </c>
    </row>
    <row r="85" spans="1:41" ht="63.75" customHeight="1" x14ac:dyDescent="0.25">
      <c r="A85" s="8" t="s">
        <v>70</v>
      </c>
      <c r="B85" s="37" t="s">
        <v>248</v>
      </c>
      <c r="C85" s="29" t="s">
        <v>249</v>
      </c>
      <c r="D85" s="38" t="s">
        <v>1481</v>
      </c>
      <c r="E85" s="30">
        <v>2015</v>
      </c>
      <c r="F85" s="30">
        <v>2015</v>
      </c>
      <c r="G85" s="30" t="s">
        <v>1435</v>
      </c>
      <c r="H85" s="27">
        <v>0</v>
      </c>
      <c r="I85" s="27">
        <v>6.9944930362116995E-3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5.0220460000000001E-2</v>
      </c>
      <c r="Q85" s="27">
        <v>0</v>
      </c>
      <c r="R85" s="27">
        <v>3.5270320000000001E-2</v>
      </c>
      <c r="S85" s="27">
        <v>1.4950139999999999E-2</v>
      </c>
      <c r="T85" s="27">
        <v>0</v>
      </c>
      <c r="U85" s="27">
        <v>0</v>
      </c>
      <c r="V85" s="27">
        <v>0</v>
      </c>
      <c r="W85" s="27">
        <v>0</v>
      </c>
      <c r="X85" s="27">
        <f t="shared" si="11"/>
        <v>0</v>
      </c>
      <c r="Y85" s="27">
        <v>0</v>
      </c>
      <c r="Z85" s="27">
        <f t="shared" si="12"/>
        <v>0</v>
      </c>
      <c r="AA85" s="27">
        <v>0</v>
      </c>
      <c r="AB85" s="28">
        <v>0</v>
      </c>
      <c r="AC85" s="27">
        <v>0</v>
      </c>
      <c r="AD85" s="28">
        <f>50.22046/1000</f>
        <v>5.0220460000000001E-2</v>
      </c>
      <c r="AE85" s="27">
        <v>0</v>
      </c>
      <c r="AF85" s="28">
        <v>0</v>
      </c>
      <c r="AG85" s="27">
        <v>0</v>
      </c>
      <c r="AH85" s="28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f t="shared" si="10"/>
        <v>5.0220460000000001E-2</v>
      </c>
      <c r="AN85" s="27">
        <f t="shared" si="13"/>
        <v>5.0220460000000001E-2</v>
      </c>
      <c r="AO85" s="34" t="s">
        <v>1485</v>
      </c>
    </row>
    <row r="86" spans="1:41" ht="51.75" customHeight="1" x14ac:dyDescent="0.25">
      <c r="A86" s="8" t="s">
        <v>70</v>
      </c>
      <c r="B86" s="37" t="s">
        <v>250</v>
      </c>
      <c r="C86" s="29" t="s">
        <v>251</v>
      </c>
      <c r="D86" s="38" t="s">
        <v>1481</v>
      </c>
      <c r="E86" s="30">
        <v>2015</v>
      </c>
      <c r="F86" s="30">
        <v>2015</v>
      </c>
      <c r="G86" s="30" t="s">
        <v>1435</v>
      </c>
      <c r="H86" s="27">
        <v>0</v>
      </c>
      <c r="I86" s="27">
        <v>1.9038105849582172E-3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1.3669359999999998E-2</v>
      </c>
      <c r="Q86" s="27">
        <v>0</v>
      </c>
      <c r="R86" s="27">
        <v>1.098873E-2</v>
      </c>
      <c r="S86" s="27">
        <v>2.6806300000000003E-3</v>
      </c>
      <c r="T86" s="27">
        <v>0</v>
      </c>
      <c r="U86" s="27">
        <v>0</v>
      </c>
      <c r="V86" s="27">
        <v>0</v>
      </c>
      <c r="W86" s="27">
        <v>0</v>
      </c>
      <c r="X86" s="27">
        <f t="shared" si="11"/>
        <v>0</v>
      </c>
      <c r="Y86" s="27">
        <v>0</v>
      </c>
      <c r="Z86" s="27">
        <f t="shared" si="12"/>
        <v>0</v>
      </c>
      <c r="AA86" s="27">
        <v>0</v>
      </c>
      <c r="AB86" s="28">
        <v>0</v>
      </c>
      <c r="AC86" s="27">
        <v>0</v>
      </c>
      <c r="AD86" s="28">
        <f>13.66936/1000</f>
        <v>1.3669359999999998E-2</v>
      </c>
      <c r="AE86" s="27">
        <v>0</v>
      </c>
      <c r="AF86" s="28">
        <v>0</v>
      </c>
      <c r="AG86" s="27">
        <v>0</v>
      </c>
      <c r="AH86" s="28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f t="shared" si="10"/>
        <v>1.3669359999999998E-2</v>
      </c>
      <c r="AN86" s="27">
        <f t="shared" si="13"/>
        <v>1.3669359999999998E-2</v>
      </c>
      <c r="AO86" s="34" t="s">
        <v>1485</v>
      </c>
    </row>
    <row r="87" spans="1:41" ht="55.5" customHeight="1" x14ac:dyDescent="0.25">
      <c r="A87" s="8" t="s">
        <v>70</v>
      </c>
      <c r="B87" s="37" t="s">
        <v>1479</v>
      </c>
      <c r="C87" s="29" t="s">
        <v>1480</v>
      </c>
      <c r="D87" s="38" t="s">
        <v>1481</v>
      </c>
      <c r="E87" s="30">
        <v>2015</v>
      </c>
      <c r="F87" s="30"/>
      <c r="G87" s="30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/>
      <c r="Y87" s="27">
        <v>0</v>
      </c>
      <c r="Z87" s="27"/>
      <c r="AA87" s="27"/>
      <c r="AB87" s="28"/>
      <c r="AC87" s="27"/>
      <c r="AD87" s="28"/>
      <c r="AE87" s="27"/>
      <c r="AF87" s="28"/>
      <c r="AG87" s="27"/>
      <c r="AH87" s="28"/>
      <c r="AI87" s="27"/>
      <c r="AJ87" s="27"/>
      <c r="AK87" s="27"/>
      <c r="AL87" s="27"/>
      <c r="AM87" s="27">
        <f t="shared" si="10"/>
        <v>0</v>
      </c>
      <c r="AN87" s="27">
        <f t="shared" si="13"/>
        <v>0</v>
      </c>
      <c r="AO87" s="34" t="s">
        <v>1485</v>
      </c>
    </row>
    <row r="88" spans="1:41" ht="65.25" customHeight="1" x14ac:dyDescent="0.25">
      <c r="A88" s="8" t="s">
        <v>70</v>
      </c>
      <c r="B88" s="37" t="s">
        <v>252</v>
      </c>
      <c r="C88" s="29" t="s">
        <v>253</v>
      </c>
      <c r="D88" s="38" t="s">
        <v>1481</v>
      </c>
      <c r="E88" s="30">
        <v>2016</v>
      </c>
      <c r="F88" s="30">
        <v>2016</v>
      </c>
      <c r="G88" s="30" t="s">
        <v>1435</v>
      </c>
      <c r="H88" s="27">
        <v>0</v>
      </c>
      <c r="I88" s="27">
        <v>0.55738378690807799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4.0020155900000001</v>
      </c>
      <c r="Q88" s="27">
        <v>7.8574010000000014E-2</v>
      </c>
      <c r="R88" s="27">
        <v>0.51802746999999993</v>
      </c>
      <c r="S88" s="27">
        <v>3.4054141099999997</v>
      </c>
      <c r="T88" s="27">
        <v>0</v>
      </c>
      <c r="U88" s="27">
        <v>0</v>
      </c>
      <c r="V88" s="27">
        <v>0</v>
      </c>
      <c r="W88" s="27">
        <v>0</v>
      </c>
      <c r="X88" s="27">
        <f t="shared" si="11"/>
        <v>0</v>
      </c>
      <c r="Y88" s="27">
        <v>0</v>
      </c>
      <c r="Z88" s="27">
        <f t="shared" si="12"/>
        <v>0</v>
      </c>
      <c r="AA88" s="27">
        <v>0</v>
      </c>
      <c r="AB88" s="28">
        <v>0</v>
      </c>
      <c r="AC88" s="27">
        <v>0</v>
      </c>
      <c r="AD88" s="28">
        <v>0</v>
      </c>
      <c r="AE88" s="27">
        <v>0</v>
      </c>
      <c r="AF88" s="28">
        <f>4002.01559/1000</f>
        <v>4.0020155900000001</v>
      </c>
      <c r="AG88" s="27">
        <v>0</v>
      </c>
      <c r="AH88" s="28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f t="shared" si="10"/>
        <v>4.0020155900000001</v>
      </c>
      <c r="AN88" s="27">
        <f t="shared" si="13"/>
        <v>4.0020155900000001</v>
      </c>
      <c r="AO88" s="34" t="s">
        <v>1485</v>
      </c>
    </row>
    <row r="89" spans="1:41" ht="52.5" customHeight="1" x14ac:dyDescent="0.25">
      <c r="A89" s="8" t="s">
        <v>70</v>
      </c>
      <c r="B89" s="37" t="s">
        <v>254</v>
      </c>
      <c r="C89" s="29" t="s">
        <v>255</v>
      </c>
      <c r="D89" s="38" t="s">
        <v>1481</v>
      </c>
      <c r="E89" s="30">
        <v>2016</v>
      </c>
      <c r="F89" s="30">
        <v>2016</v>
      </c>
      <c r="G89" s="30" t="s">
        <v>1435</v>
      </c>
      <c r="H89" s="27">
        <v>0</v>
      </c>
      <c r="I89" s="27">
        <v>0.69620031754874656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4.9987182800000003</v>
      </c>
      <c r="Q89" s="27">
        <v>6.9170479999999993E-2</v>
      </c>
      <c r="R89" s="27">
        <v>0.35498298</v>
      </c>
      <c r="S89" s="27">
        <v>4.57456482</v>
      </c>
      <c r="T89" s="27">
        <v>0</v>
      </c>
      <c r="U89" s="27">
        <v>0</v>
      </c>
      <c r="V89" s="27">
        <v>0</v>
      </c>
      <c r="W89" s="27">
        <v>0</v>
      </c>
      <c r="X89" s="27">
        <f t="shared" si="11"/>
        <v>0</v>
      </c>
      <c r="Y89" s="27">
        <v>0</v>
      </c>
      <c r="Z89" s="27">
        <f t="shared" si="12"/>
        <v>0</v>
      </c>
      <c r="AA89" s="27">
        <v>0</v>
      </c>
      <c r="AB89" s="28">
        <v>0</v>
      </c>
      <c r="AC89" s="27">
        <v>0</v>
      </c>
      <c r="AD89" s="28">
        <v>0</v>
      </c>
      <c r="AE89" s="27">
        <v>0</v>
      </c>
      <c r="AF89" s="28">
        <f>4998.71828/1000</f>
        <v>4.9987182800000003</v>
      </c>
      <c r="AG89" s="27">
        <v>0</v>
      </c>
      <c r="AH89" s="28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f t="shared" si="10"/>
        <v>4.9987182800000003</v>
      </c>
      <c r="AN89" s="27">
        <f t="shared" si="13"/>
        <v>4.9987182800000003</v>
      </c>
      <c r="AO89" s="34" t="s">
        <v>1485</v>
      </c>
    </row>
    <row r="90" spans="1:41" ht="50.25" customHeight="1" x14ac:dyDescent="0.25">
      <c r="A90" s="8" t="s">
        <v>70</v>
      </c>
      <c r="B90" s="37" t="s">
        <v>256</v>
      </c>
      <c r="C90" s="29" t="s">
        <v>257</v>
      </c>
      <c r="D90" s="38" t="s">
        <v>1481</v>
      </c>
      <c r="E90" s="30">
        <v>2016</v>
      </c>
      <c r="F90" s="30">
        <v>2016</v>
      </c>
      <c r="G90" s="30" t="s">
        <v>1435</v>
      </c>
      <c r="H90" s="27">
        <v>0</v>
      </c>
      <c r="I90" s="27">
        <v>1.5595171754874653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11.19733332</v>
      </c>
      <c r="Q90" s="27">
        <v>0</v>
      </c>
      <c r="R90" s="27">
        <v>0</v>
      </c>
      <c r="S90" s="27">
        <v>11.19733332</v>
      </c>
      <c r="T90" s="27">
        <v>0</v>
      </c>
      <c r="U90" s="27">
        <v>0</v>
      </c>
      <c r="V90" s="27">
        <v>0</v>
      </c>
      <c r="W90" s="27">
        <v>0</v>
      </c>
      <c r="X90" s="27">
        <f t="shared" si="11"/>
        <v>0</v>
      </c>
      <c r="Y90" s="27">
        <v>0</v>
      </c>
      <c r="Z90" s="27">
        <f t="shared" si="12"/>
        <v>0</v>
      </c>
      <c r="AA90" s="27">
        <v>0</v>
      </c>
      <c r="AB90" s="28">
        <v>0</v>
      </c>
      <c r="AC90" s="27">
        <v>0</v>
      </c>
      <c r="AD90" s="28">
        <v>0</v>
      </c>
      <c r="AE90" s="27">
        <v>0</v>
      </c>
      <c r="AF90" s="28">
        <f>11197.33332/1000</f>
        <v>11.19733332</v>
      </c>
      <c r="AG90" s="27">
        <v>0</v>
      </c>
      <c r="AH90" s="28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f t="shared" si="10"/>
        <v>11.19733332</v>
      </c>
      <c r="AN90" s="27">
        <f t="shared" si="13"/>
        <v>11.19733332</v>
      </c>
      <c r="AO90" s="34" t="s">
        <v>1485</v>
      </c>
    </row>
    <row r="91" spans="1:41" ht="54.75" customHeight="1" x14ac:dyDescent="0.25">
      <c r="A91" s="8" t="s">
        <v>70</v>
      </c>
      <c r="B91" s="37" t="s">
        <v>258</v>
      </c>
      <c r="C91" s="29" t="s">
        <v>259</v>
      </c>
      <c r="D91" s="38" t="s">
        <v>1481</v>
      </c>
      <c r="E91" s="30">
        <v>2016</v>
      </c>
      <c r="F91" s="30">
        <v>2016</v>
      </c>
      <c r="G91" s="30" t="s">
        <v>1435</v>
      </c>
      <c r="H91" s="27">
        <v>0</v>
      </c>
      <c r="I91" s="27">
        <v>0.442033426183844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3.1738</v>
      </c>
      <c r="Q91" s="27">
        <v>0</v>
      </c>
      <c r="R91" s="27">
        <v>0</v>
      </c>
      <c r="S91" s="27">
        <v>3.1738</v>
      </c>
      <c r="T91" s="27">
        <v>0</v>
      </c>
      <c r="U91" s="27">
        <v>0</v>
      </c>
      <c r="V91" s="27">
        <v>0</v>
      </c>
      <c r="W91" s="27">
        <v>0</v>
      </c>
      <c r="X91" s="27">
        <f t="shared" ref="X91:X122" si="14">AG91+AI91+AK91</f>
        <v>0</v>
      </c>
      <c r="Y91" s="27">
        <v>0</v>
      </c>
      <c r="Z91" s="27">
        <f t="shared" si="12"/>
        <v>0</v>
      </c>
      <c r="AA91" s="27">
        <v>0</v>
      </c>
      <c r="AB91" s="28">
        <v>0</v>
      </c>
      <c r="AC91" s="27">
        <v>0</v>
      </c>
      <c r="AD91" s="28">
        <v>0</v>
      </c>
      <c r="AE91" s="27">
        <v>0</v>
      </c>
      <c r="AF91" s="28">
        <f>(300000+1024700+349100+750000+750000)/1000000</f>
        <v>3.1738</v>
      </c>
      <c r="AG91" s="27">
        <v>0</v>
      </c>
      <c r="AH91" s="28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f t="shared" ref="AM91:AM154" si="15">AD91+AF91+AG91+AI91+AK91</f>
        <v>3.1738</v>
      </c>
      <c r="AN91" s="27">
        <f t="shared" si="13"/>
        <v>3.1738</v>
      </c>
      <c r="AO91" s="34" t="s">
        <v>1485</v>
      </c>
    </row>
    <row r="92" spans="1:41" ht="54.75" customHeight="1" x14ac:dyDescent="0.25">
      <c r="A92" s="8" t="s">
        <v>70</v>
      </c>
      <c r="B92" s="37" t="s">
        <v>260</v>
      </c>
      <c r="C92" s="29" t="s">
        <v>261</v>
      </c>
      <c r="D92" s="38" t="s">
        <v>1481</v>
      </c>
      <c r="E92" s="30">
        <v>2016</v>
      </c>
      <c r="F92" s="30">
        <v>2016</v>
      </c>
      <c r="G92" s="30" t="s">
        <v>1435</v>
      </c>
      <c r="H92" s="27">
        <v>0</v>
      </c>
      <c r="I92" s="27">
        <v>0.93965181058495817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6.7466999999999997</v>
      </c>
      <c r="Q92" s="27">
        <v>0</v>
      </c>
      <c r="R92" s="27">
        <v>0</v>
      </c>
      <c r="S92" s="27">
        <v>6.7466999999999997</v>
      </c>
      <c r="T92" s="27">
        <v>0</v>
      </c>
      <c r="U92" s="27">
        <v>0</v>
      </c>
      <c r="V92" s="27">
        <v>0</v>
      </c>
      <c r="W92" s="27">
        <v>0</v>
      </c>
      <c r="X92" s="27">
        <f t="shared" si="14"/>
        <v>0</v>
      </c>
      <c r="Y92" s="27">
        <v>0</v>
      </c>
      <c r="Z92" s="27">
        <f t="shared" si="12"/>
        <v>0</v>
      </c>
      <c r="AA92" s="27">
        <v>0</v>
      </c>
      <c r="AB92" s="28">
        <v>0</v>
      </c>
      <c r="AC92" s="27">
        <v>0</v>
      </c>
      <c r="AD92" s="28">
        <v>0</v>
      </c>
      <c r="AE92" s="27">
        <v>0</v>
      </c>
      <c r="AF92" s="28">
        <f>(300000+3676600+370100+1200000+1200000)/1000000</f>
        <v>6.7466999999999997</v>
      </c>
      <c r="AG92" s="27">
        <v>0</v>
      </c>
      <c r="AH92" s="28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f t="shared" si="15"/>
        <v>6.7466999999999997</v>
      </c>
      <c r="AN92" s="27">
        <f t="shared" si="13"/>
        <v>6.7466999999999997</v>
      </c>
      <c r="AO92" s="34" t="s">
        <v>1485</v>
      </c>
    </row>
    <row r="93" spans="1:41" ht="57" customHeight="1" x14ac:dyDescent="0.25">
      <c r="A93" s="8" t="s">
        <v>70</v>
      </c>
      <c r="B93" s="37" t="s">
        <v>262</v>
      </c>
      <c r="C93" s="29" t="s">
        <v>263</v>
      </c>
      <c r="D93" s="38" t="s">
        <v>1481</v>
      </c>
      <c r="E93" s="30">
        <v>2016</v>
      </c>
      <c r="F93" s="30">
        <v>2016</v>
      </c>
      <c r="G93" s="30" t="s">
        <v>1435</v>
      </c>
      <c r="H93" s="27">
        <v>0</v>
      </c>
      <c r="I93" s="27">
        <v>0.99700557103064069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7.1585000000000001</v>
      </c>
      <c r="Q93" s="27">
        <v>0</v>
      </c>
      <c r="R93" s="27">
        <v>0</v>
      </c>
      <c r="S93" s="27">
        <v>7.1585000000000001</v>
      </c>
      <c r="T93" s="27">
        <v>0</v>
      </c>
      <c r="U93" s="27">
        <v>0</v>
      </c>
      <c r="V93" s="27">
        <v>0</v>
      </c>
      <c r="W93" s="27">
        <v>0</v>
      </c>
      <c r="X93" s="27">
        <f t="shared" si="14"/>
        <v>0</v>
      </c>
      <c r="Y93" s="27">
        <v>0</v>
      </c>
      <c r="Z93" s="27">
        <f t="shared" si="12"/>
        <v>0</v>
      </c>
      <c r="AA93" s="27">
        <v>0</v>
      </c>
      <c r="AB93" s="28">
        <v>0</v>
      </c>
      <c r="AC93" s="27">
        <v>0</v>
      </c>
      <c r="AD93" s="28">
        <v>0</v>
      </c>
      <c r="AE93" s="27">
        <v>0</v>
      </c>
      <c r="AF93" s="28">
        <f>(300000+3917700+340800+1300000+1300000)/1000000</f>
        <v>7.1585000000000001</v>
      </c>
      <c r="AG93" s="27">
        <v>0</v>
      </c>
      <c r="AH93" s="28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f t="shared" si="15"/>
        <v>7.1585000000000001</v>
      </c>
      <c r="AN93" s="27">
        <f t="shared" si="13"/>
        <v>7.1585000000000001</v>
      </c>
      <c r="AO93" s="34" t="s">
        <v>1485</v>
      </c>
    </row>
    <row r="94" spans="1:41" ht="51" customHeight="1" x14ac:dyDescent="0.25">
      <c r="A94" s="8" t="s">
        <v>70</v>
      </c>
      <c r="B94" s="37" t="s">
        <v>264</v>
      </c>
      <c r="C94" s="29" t="s">
        <v>265</v>
      </c>
      <c r="D94" s="38" t="s">
        <v>1481</v>
      </c>
      <c r="E94" s="30">
        <v>2016</v>
      </c>
      <c r="F94" s="30">
        <v>2016</v>
      </c>
      <c r="G94" s="30" t="s">
        <v>1435</v>
      </c>
      <c r="H94" s="27">
        <v>0</v>
      </c>
      <c r="I94" s="27">
        <v>0.92384310167130923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6.6331934700000001</v>
      </c>
      <c r="Q94" s="27">
        <v>0.17531150000000001</v>
      </c>
      <c r="R94" s="27">
        <v>4.3401288400000002</v>
      </c>
      <c r="S94" s="27">
        <v>2.11775343</v>
      </c>
      <c r="T94" s="27">
        <v>0</v>
      </c>
      <c r="U94" s="27">
        <v>0</v>
      </c>
      <c r="V94" s="27">
        <v>0</v>
      </c>
      <c r="W94" s="27">
        <v>0</v>
      </c>
      <c r="X94" s="27">
        <f t="shared" si="14"/>
        <v>0</v>
      </c>
      <c r="Y94" s="27">
        <v>0</v>
      </c>
      <c r="Z94" s="27">
        <f t="shared" si="12"/>
        <v>0</v>
      </c>
      <c r="AA94" s="27">
        <v>0</v>
      </c>
      <c r="AB94" s="28">
        <v>0</v>
      </c>
      <c r="AC94" s="27">
        <v>0</v>
      </c>
      <c r="AD94" s="28">
        <v>0</v>
      </c>
      <c r="AE94" s="27">
        <v>0</v>
      </c>
      <c r="AF94" s="28">
        <f>6633.19347/1000</f>
        <v>6.6331934700000001</v>
      </c>
      <c r="AG94" s="27">
        <v>0</v>
      </c>
      <c r="AH94" s="28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f t="shared" si="15"/>
        <v>6.6331934700000001</v>
      </c>
      <c r="AN94" s="27">
        <f t="shared" si="13"/>
        <v>6.6331934700000001</v>
      </c>
      <c r="AO94" s="34" t="s">
        <v>1485</v>
      </c>
    </row>
    <row r="95" spans="1:41" ht="65.25" customHeight="1" x14ac:dyDescent="0.25">
      <c r="A95" s="8" t="s">
        <v>70</v>
      </c>
      <c r="B95" s="37" t="s">
        <v>266</v>
      </c>
      <c r="C95" s="29" t="s">
        <v>267</v>
      </c>
      <c r="D95" s="38" t="s">
        <v>1481</v>
      </c>
      <c r="E95" s="30">
        <v>2016</v>
      </c>
      <c r="F95" s="30">
        <v>2016</v>
      </c>
      <c r="G95" s="30" t="s">
        <v>1435</v>
      </c>
      <c r="H95" s="27">
        <v>0</v>
      </c>
      <c r="I95" s="27">
        <v>9.3239420612813373E-2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0.66945904000000001</v>
      </c>
      <c r="Q95" s="27">
        <v>7.4459999999999998E-2</v>
      </c>
      <c r="R95" s="27">
        <v>0.27786549999999999</v>
      </c>
      <c r="S95" s="27">
        <v>0.31713353999999999</v>
      </c>
      <c r="T95" s="27">
        <v>0</v>
      </c>
      <c r="U95" s="27">
        <v>0</v>
      </c>
      <c r="V95" s="27">
        <v>0</v>
      </c>
      <c r="W95" s="27">
        <v>0</v>
      </c>
      <c r="X95" s="27">
        <f t="shared" si="14"/>
        <v>0</v>
      </c>
      <c r="Y95" s="27">
        <v>0</v>
      </c>
      <c r="Z95" s="27">
        <f t="shared" si="12"/>
        <v>0</v>
      </c>
      <c r="AA95" s="27">
        <v>0</v>
      </c>
      <c r="AB95" s="28">
        <v>0</v>
      </c>
      <c r="AC95" s="27">
        <v>0</v>
      </c>
      <c r="AD95" s="28">
        <v>0</v>
      </c>
      <c r="AE95" s="27">
        <v>0</v>
      </c>
      <c r="AF95" s="28">
        <f>669.45904/1000</f>
        <v>0.66945904000000001</v>
      </c>
      <c r="AG95" s="27">
        <v>0</v>
      </c>
      <c r="AH95" s="28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f t="shared" si="15"/>
        <v>0.66945904000000001</v>
      </c>
      <c r="AN95" s="27">
        <f t="shared" si="13"/>
        <v>0.66945904000000001</v>
      </c>
      <c r="AO95" s="34" t="s">
        <v>1485</v>
      </c>
    </row>
    <row r="96" spans="1:41" ht="65.25" customHeight="1" x14ac:dyDescent="0.25">
      <c r="A96" s="8" t="s">
        <v>70</v>
      </c>
      <c r="B96" s="37" t="s">
        <v>268</v>
      </c>
      <c r="C96" s="29" t="s">
        <v>269</v>
      </c>
      <c r="D96" s="38" t="s">
        <v>1481</v>
      </c>
      <c r="E96" s="30">
        <v>2016</v>
      </c>
      <c r="F96" s="30">
        <v>2016</v>
      </c>
      <c r="G96" s="30" t="s">
        <v>1435</v>
      </c>
      <c r="H96" s="27">
        <v>0</v>
      </c>
      <c r="I96" s="27">
        <v>0.15812544289693595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1.1353406800000001</v>
      </c>
      <c r="Q96" s="27">
        <v>6.3813870000000009E-2</v>
      </c>
      <c r="R96" s="27">
        <v>0.60617792000000004</v>
      </c>
      <c r="S96" s="27">
        <v>0.46534889000000002</v>
      </c>
      <c r="T96" s="27">
        <v>0</v>
      </c>
      <c r="U96" s="27">
        <v>0</v>
      </c>
      <c r="V96" s="27">
        <v>0</v>
      </c>
      <c r="W96" s="27">
        <v>0</v>
      </c>
      <c r="X96" s="27">
        <f t="shared" si="14"/>
        <v>0</v>
      </c>
      <c r="Y96" s="27">
        <v>0</v>
      </c>
      <c r="Z96" s="27">
        <f t="shared" si="12"/>
        <v>0</v>
      </c>
      <c r="AA96" s="27">
        <v>0</v>
      </c>
      <c r="AB96" s="28">
        <v>0</v>
      </c>
      <c r="AC96" s="27">
        <v>0</v>
      </c>
      <c r="AD96" s="28">
        <v>0</v>
      </c>
      <c r="AE96" s="27">
        <v>0</v>
      </c>
      <c r="AF96" s="28">
        <f>1135.34068/1000</f>
        <v>1.1353406800000001</v>
      </c>
      <c r="AG96" s="27">
        <v>0</v>
      </c>
      <c r="AH96" s="28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f t="shared" si="15"/>
        <v>1.1353406800000001</v>
      </c>
      <c r="AN96" s="27">
        <f t="shared" si="13"/>
        <v>1.1353406800000001</v>
      </c>
      <c r="AO96" s="34" t="s">
        <v>1485</v>
      </c>
    </row>
    <row r="97" spans="1:41" ht="51" customHeight="1" x14ac:dyDescent="0.25">
      <c r="A97" s="8" t="s">
        <v>70</v>
      </c>
      <c r="B97" s="37" t="s">
        <v>270</v>
      </c>
      <c r="C97" s="29" t="s">
        <v>271</v>
      </c>
      <c r="D97" s="38" t="s">
        <v>1481</v>
      </c>
      <c r="E97" s="30">
        <v>2016</v>
      </c>
      <c r="F97" s="30">
        <v>2016</v>
      </c>
      <c r="G97" s="30" t="s">
        <v>1435</v>
      </c>
      <c r="H97" s="27">
        <v>0</v>
      </c>
      <c r="I97" s="27">
        <v>3.7708378830083558E-2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0.27074615999999996</v>
      </c>
      <c r="Q97" s="27">
        <v>3.0866330000000001E-2</v>
      </c>
      <c r="R97" s="27">
        <v>0.13139923000000001</v>
      </c>
      <c r="S97" s="27">
        <v>0.10848060000000001</v>
      </c>
      <c r="T97" s="27">
        <v>0</v>
      </c>
      <c r="U97" s="27">
        <v>0</v>
      </c>
      <c r="V97" s="27">
        <v>0</v>
      </c>
      <c r="W97" s="27">
        <v>0</v>
      </c>
      <c r="X97" s="27">
        <f t="shared" si="14"/>
        <v>0</v>
      </c>
      <c r="Y97" s="27">
        <v>0</v>
      </c>
      <c r="Z97" s="27">
        <f t="shared" si="12"/>
        <v>0</v>
      </c>
      <c r="AA97" s="27">
        <v>0</v>
      </c>
      <c r="AB97" s="28">
        <v>0</v>
      </c>
      <c r="AC97" s="27">
        <v>0</v>
      </c>
      <c r="AD97" s="28">
        <v>0</v>
      </c>
      <c r="AE97" s="27">
        <v>0</v>
      </c>
      <c r="AF97" s="28">
        <f>270.74616/1000</f>
        <v>0.27074615999999996</v>
      </c>
      <c r="AG97" s="27">
        <v>0</v>
      </c>
      <c r="AH97" s="28">
        <v>0</v>
      </c>
      <c r="AI97" s="27">
        <v>0</v>
      </c>
      <c r="AJ97" s="27">
        <v>0</v>
      </c>
      <c r="AK97" s="27">
        <v>0</v>
      </c>
      <c r="AL97" s="27">
        <v>0</v>
      </c>
      <c r="AM97" s="27">
        <f t="shared" si="15"/>
        <v>0.27074615999999996</v>
      </c>
      <c r="AN97" s="27">
        <f t="shared" si="13"/>
        <v>0.27074615999999996</v>
      </c>
      <c r="AO97" s="34" t="s">
        <v>1485</v>
      </c>
    </row>
    <row r="98" spans="1:41" ht="51" customHeight="1" x14ac:dyDescent="0.25">
      <c r="A98" s="8" t="s">
        <v>70</v>
      </c>
      <c r="B98" s="37" t="s">
        <v>272</v>
      </c>
      <c r="C98" s="29" t="s">
        <v>273</v>
      </c>
      <c r="D98" s="38" t="s">
        <v>1481</v>
      </c>
      <c r="E98" s="30">
        <v>2016</v>
      </c>
      <c r="F98" s="30">
        <v>2016</v>
      </c>
      <c r="G98" s="30" t="s">
        <v>1435</v>
      </c>
      <c r="H98" s="27">
        <v>0</v>
      </c>
      <c r="I98" s="27">
        <v>0.13181044150417828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0.94639896999999995</v>
      </c>
      <c r="Q98" s="27">
        <v>6.663585000000001E-2</v>
      </c>
      <c r="R98" s="27">
        <v>0.58060573999999998</v>
      </c>
      <c r="S98" s="27">
        <v>0.29915738000000003</v>
      </c>
      <c r="T98" s="27">
        <v>0</v>
      </c>
      <c r="U98" s="27">
        <v>0</v>
      </c>
      <c r="V98" s="27">
        <v>0</v>
      </c>
      <c r="W98" s="27">
        <v>0</v>
      </c>
      <c r="X98" s="27">
        <f t="shared" si="14"/>
        <v>0</v>
      </c>
      <c r="Y98" s="27">
        <v>0</v>
      </c>
      <c r="Z98" s="27">
        <f t="shared" si="12"/>
        <v>0</v>
      </c>
      <c r="AA98" s="27">
        <v>0</v>
      </c>
      <c r="AB98" s="28">
        <v>0</v>
      </c>
      <c r="AC98" s="27">
        <v>0</v>
      </c>
      <c r="AD98" s="28">
        <v>0</v>
      </c>
      <c r="AE98" s="27">
        <v>0</v>
      </c>
      <c r="AF98" s="28">
        <f>946.39897/1000</f>
        <v>0.94639896999999995</v>
      </c>
      <c r="AG98" s="27">
        <v>0</v>
      </c>
      <c r="AH98" s="28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f t="shared" si="15"/>
        <v>0.94639896999999995</v>
      </c>
      <c r="AN98" s="27">
        <f t="shared" si="13"/>
        <v>0.94639896999999995</v>
      </c>
      <c r="AO98" s="34" t="s">
        <v>1485</v>
      </c>
    </row>
    <row r="99" spans="1:41" ht="50.25" customHeight="1" x14ac:dyDescent="0.25">
      <c r="A99" s="8" t="s">
        <v>70</v>
      </c>
      <c r="B99" s="37" t="s">
        <v>274</v>
      </c>
      <c r="C99" s="29" t="s">
        <v>275</v>
      </c>
      <c r="D99" s="38" t="s">
        <v>1481</v>
      </c>
      <c r="E99" s="30">
        <v>2016</v>
      </c>
      <c r="F99" s="30">
        <v>2016</v>
      </c>
      <c r="G99" s="30" t="s">
        <v>1435</v>
      </c>
      <c r="H99" s="27">
        <v>0</v>
      </c>
      <c r="I99" s="27">
        <v>0.15558489554317548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1.1170995499999998</v>
      </c>
      <c r="Q99" s="27">
        <v>8.0706509999999995E-2</v>
      </c>
      <c r="R99" s="27">
        <v>0.54032294999999997</v>
      </c>
      <c r="S99" s="27">
        <v>0.49607009000000002</v>
      </c>
      <c r="T99" s="27">
        <v>0</v>
      </c>
      <c r="U99" s="27">
        <v>0</v>
      </c>
      <c r="V99" s="27">
        <v>0</v>
      </c>
      <c r="W99" s="27">
        <v>0</v>
      </c>
      <c r="X99" s="27">
        <f t="shared" si="14"/>
        <v>0</v>
      </c>
      <c r="Y99" s="27">
        <v>0</v>
      </c>
      <c r="Z99" s="27">
        <f t="shared" si="12"/>
        <v>0</v>
      </c>
      <c r="AA99" s="27">
        <v>0</v>
      </c>
      <c r="AB99" s="28">
        <v>0</v>
      </c>
      <c r="AC99" s="27">
        <v>0</v>
      </c>
      <c r="AD99" s="28">
        <v>0</v>
      </c>
      <c r="AE99" s="27">
        <v>0</v>
      </c>
      <c r="AF99" s="28">
        <f>1117.09955/1000</f>
        <v>1.1170995499999998</v>
      </c>
      <c r="AG99" s="27">
        <v>0</v>
      </c>
      <c r="AH99" s="28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f t="shared" si="15"/>
        <v>1.1170995499999998</v>
      </c>
      <c r="AN99" s="27">
        <f t="shared" si="13"/>
        <v>1.1170995499999998</v>
      </c>
      <c r="AO99" s="34" t="s">
        <v>1485</v>
      </c>
    </row>
    <row r="100" spans="1:41" ht="49.5" customHeight="1" x14ac:dyDescent="0.25">
      <c r="A100" s="8" t="s">
        <v>70</v>
      </c>
      <c r="B100" s="37" t="s">
        <v>276</v>
      </c>
      <c r="C100" s="29" t="s">
        <v>277</v>
      </c>
      <c r="D100" s="38" t="s">
        <v>1481</v>
      </c>
      <c r="E100" s="30">
        <v>2016</v>
      </c>
      <c r="F100" s="30">
        <v>2016</v>
      </c>
      <c r="G100" s="30" t="s">
        <v>1435</v>
      </c>
      <c r="H100" s="27">
        <v>0</v>
      </c>
      <c r="I100" s="27">
        <v>5.3015349582172702E-2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0.38065020999999999</v>
      </c>
      <c r="Q100" s="27">
        <v>5.0016529999999997E-2</v>
      </c>
      <c r="R100" s="27">
        <v>0.20796392000000002</v>
      </c>
      <c r="S100" s="27">
        <v>0.12266975999999999</v>
      </c>
      <c r="T100" s="27">
        <v>0</v>
      </c>
      <c r="U100" s="27">
        <v>0</v>
      </c>
      <c r="V100" s="27">
        <v>0</v>
      </c>
      <c r="W100" s="27">
        <v>0</v>
      </c>
      <c r="X100" s="27">
        <f t="shared" si="14"/>
        <v>0</v>
      </c>
      <c r="Y100" s="27">
        <v>0</v>
      </c>
      <c r="Z100" s="27">
        <f t="shared" si="12"/>
        <v>0</v>
      </c>
      <c r="AA100" s="27">
        <v>0</v>
      </c>
      <c r="AB100" s="28">
        <v>0</v>
      </c>
      <c r="AC100" s="27">
        <v>0</v>
      </c>
      <c r="AD100" s="28">
        <v>0</v>
      </c>
      <c r="AE100" s="27">
        <v>0</v>
      </c>
      <c r="AF100" s="28">
        <f>380.65021/1000</f>
        <v>0.38065020999999999</v>
      </c>
      <c r="AG100" s="27">
        <v>0</v>
      </c>
      <c r="AH100" s="28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f t="shared" si="15"/>
        <v>0.38065020999999999</v>
      </c>
      <c r="AN100" s="27">
        <f t="shared" si="13"/>
        <v>0.38065020999999999</v>
      </c>
      <c r="AO100" s="34" t="s">
        <v>1485</v>
      </c>
    </row>
    <row r="101" spans="1:41" ht="53.25" customHeight="1" x14ac:dyDescent="0.25">
      <c r="A101" s="8" t="s">
        <v>70</v>
      </c>
      <c r="B101" s="37" t="s">
        <v>278</v>
      </c>
      <c r="C101" s="29" t="s">
        <v>279</v>
      </c>
      <c r="D101" s="38" t="s">
        <v>1481</v>
      </c>
      <c r="E101" s="30">
        <v>2016</v>
      </c>
      <c r="F101" s="30">
        <v>2016</v>
      </c>
      <c r="G101" s="30" t="s">
        <v>1435</v>
      </c>
      <c r="H101" s="27">
        <v>0</v>
      </c>
      <c r="I101" s="27">
        <v>0.35715857938718665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2.5643986000000001</v>
      </c>
      <c r="Q101" s="27">
        <v>4.981E-2</v>
      </c>
      <c r="R101" s="27">
        <v>1.0650123600000001</v>
      </c>
      <c r="S101" s="27">
        <v>1.4495762400000001</v>
      </c>
      <c r="T101" s="27">
        <v>0</v>
      </c>
      <c r="U101" s="27">
        <v>0</v>
      </c>
      <c r="V101" s="27">
        <v>0</v>
      </c>
      <c r="W101" s="27">
        <v>0</v>
      </c>
      <c r="X101" s="27">
        <f t="shared" si="14"/>
        <v>0</v>
      </c>
      <c r="Y101" s="27">
        <v>0</v>
      </c>
      <c r="Z101" s="27">
        <f t="shared" si="12"/>
        <v>0</v>
      </c>
      <c r="AA101" s="27">
        <v>0</v>
      </c>
      <c r="AB101" s="28">
        <v>0</v>
      </c>
      <c r="AC101" s="27">
        <v>0</v>
      </c>
      <c r="AD101" s="28">
        <v>0</v>
      </c>
      <c r="AE101" s="27">
        <v>0</v>
      </c>
      <c r="AF101" s="28">
        <f>2564.3986/1000</f>
        <v>2.5643986000000001</v>
      </c>
      <c r="AG101" s="27">
        <v>0</v>
      </c>
      <c r="AH101" s="28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f t="shared" si="15"/>
        <v>2.5643986000000001</v>
      </c>
      <c r="AN101" s="27">
        <f t="shared" si="13"/>
        <v>2.5643986000000001</v>
      </c>
      <c r="AO101" s="34" t="s">
        <v>1485</v>
      </c>
    </row>
    <row r="102" spans="1:41" ht="53.25" customHeight="1" x14ac:dyDescent="0.25">
      <c r="A102" s="8" t="s">
        <v>70</v>
      </c>
      <c r="B102" s="37" t="s">
        <v>280</v>
      </c>
      <c r="C102" s="29" t="s">
        <v>281</v>
      </c>
      <c r="D102" s="38" t="s">
        <v>1481</v>
      </c>
      <c r="E102" s="30">
        <v>2016</v>
      </c>
      <c r="F102" s="30">
        <v>2016</v>
      </c>
      <c r="G102" s="30" t="s">
        <v>1435</v>
      </c>
      <c r="H102" s="27">
        <v>0</v>
      </c>
      <c r="I102" s="27">
        <v>0.13668140668523676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0.98137249999999998</v>
      </c>
      <c r="Q102" s="27">
        <v>4.3994230000000002E-2</v>
      </c>
      <c r="R102" s="27">
        <v>0.76704832999999994</v>
      </c>
      <c r="S102" s="27">
        <v>0.17032988000000002</v>
      </c>
      <c r="T102" s="27">
        <v>0</v>
      </c>
      <c r="U102" s="27">
        <v>0</v>
      </c>
      <c r="V102" s="27">
        <v>0</v>
      </c>
      <c r="W102" s="27">
        <v>0</v>
      </c>
      <c r="X102" s="27">
        <f t="shared" si="14"/>
        <v>0</v>
      </c>
      <c r="Y102" s="27">
        <v>0</v>
      </c>
      <c r="Z102" s="27">
        <f t="shared" si="12"/>
        <v>0</v>
      </c>
      <c r="AA102" s="27">
        <v>0</v>
      </c>
      <c r="AB102" s="28">
        <v>0</v>
      </c>
      <c r="AC102" s="27">
        <v>0</v>
      </c>
      <c r="AD102" s="28">
        <v>0</v>
      </c>
      <c r="AE102" s="27">
        <v>0</v>
      </c>
      <c r="AF102" s="28">
        <f>981.3725/1000</f>
        <v>0.98137249999999998</v>
      </c>
      <c r="AG102" s="27">
        <v>0</v>
      </c>
      <c r="AH102" s="28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f t="shared" si="15"/>
        <v>0.98137249999999998</v>
      </c>
      <c r="AN102" s="27">
        <f t="shared" si="13"/>
        <v>0.98137249999999998</v>
      </c>
      <c r="AO102" s="34" t="s">
        <v>1485</v>
      </c>
    </row>
    <row r="103" spans="1:41" ht="65.25" customHeight="1" x14ac:dyDescent="0.25">
      <c r="A103" s="8" t="s">
        <v>70</v>
      </c>
      <c r="B103" s="37" t="s">
        <v>282</v>
      </c>
      <c r="C103" s="29" t="s">
        <v>283</v>
      </c>
      <c r="D103" s="38" t="s">
        <v>1481</v>
      </c>
      <c r="E103" s="30">
        <v>2016</v>
      </c>
      <c r="F103" s="30">
        <v>2016</v>
      </c>
      <c r="G103" s="30" t="s">
        <v>1435</v>
      </c>
      <c r="H103" s="27">
        <v>0</v>
      </c>
      <c r="I103" s="27">
        <v>9.7189917827298064E-2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0.69782361000000004</v>
      </c>
      <c r="Q103" s="27">
        <v>2.5760000000000002E-2</v>
      </c>
      <c r="R103" s="27">
        <v>0.44500385999999997</v>
      </c>
      <c r="S103" s="27">
        <v>0.22705975</v>
      </c>
      <c r="T103" s="27">
        <v>0</v>
      </c>
      <c r="U103" s="27">
        <v>0</v>
      </c>
      <c r="V103" s="27">
        <v>0</v>
      </c>
      <c r="W103" s="27">
        <v>0</v>
      </c>
      <c r="X103" s="27">
        <f t="shared" si="14"/>
        <v>0</v>
      </c>
      <c r="Y103" s="27">
        <v>0</v>
      </c>
      <c r="Z103" s="27">
        <f t="shared" si="12"/>
        <v>0</v>
      </c>
      <c r="AA103" s="27">
        <v>0</v>
      </c>
      <c r="AB103" s="28">
        <v>0</v>
      </c>
      <c r="AC103" s="27">
        <v>0</v>
      </c>
      <c r="AD103" s="28">
        <v>0</v>
      </c>
      <c r="AE103" s="27">
        <v>0</v>
      </c>
      <c r="AF103" s="28">
        <f>697.82361/1000</f>
        <v>0.69782361000000004</v>
      </c>
      <c r="AG103" s="27">
        <v>0</v>
      </c>
      <c r="AH103" s="28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f t="shared" si="15"/>
        <v>0.69782361000000004</v>
      </c>
      <c r="AN103" s="27">
        <f t="shared" si="13"/>
        <v>0.69782361000000004</v>
      </c>
      <c r="AO103" s="34" t="s">
        <v>1485</v>
      </c>
    </row>
    <row r="104" spans="1:41" ht="53.25" customHeight="1" x14ac:dyDescent="0.25">
      <c r="A104" s="8" t="s">
        <v>70</v>
      </c>
      <c r="B104" s="37" t="s">
        <v>284</v>
      </c>
      <c r="C104" s="29" t="s">
        <v>285</v>
      </c>
      <c r="D104" s="38" t="s">
        <v>1481</v>
      </c>
      <c r="E104" s="30">
        <v>2016</v>
      </c>
      <c r="F104" s="30">
        <v>2016</v>
      </c>
      <c r="G104" s="30" t="s">
        <v>1435</v>
      </c>
      <c r="H104" s="27">
        <v>0</v>
      </c>
      <c r="I104" s="27">
        <v>0.34751727298050139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2.4951740199999999</v>
      </c>
      <c r="Q104" s="27">
        <v>5.0372760000000003E-2</v>
      </c>
      <c r="R104" s="27">
        <v>1.4482272599999999</v>
      </c>
      <c r="S104" s="27">
        <v>0.99657399999999996</v>
      </c>
      <c r="T104" s="27">
        <v>0</v>
      </c>
      <c r="U104" s="27">
        <v>0</v>
      </c>
      <c r="V104" s="27">
        <v>0</v>
      </c>
      <c r="W104" s="27">
        <v>0</v>
      </c>
      <c r="X104" s="27">
        <f t="shared" si="14"/>
        <v>0</v>
      </c>
      <c r="Y104" s="27">
        <v>0</v>
      </c>
      <c r="Z104" s="27">
        <f t="shared" si="12"/>
        <v>0</v>
      </c>
      <c r="AA104" s="27">
        <v>0</v>
      </c>
      <c r="AB104" s="28">
        <v>0</v>
      </c>
      <c r="AC104" s="27">
        <v>0</v>
      </c>
      <c r="AD104" s="28">
        <v>0</v>
      </c>
      <c r="AE104" s="27">
        <v>0</v>
      </c>
      <c r="AF104" s="28">
        <f>2495.17402/1000</f>
        <v>2.4951740199999999</v>
      </c>
      <c r="AG104" s="27">
        <v>0</v>
      </c>
      <c r="AH104" s="28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f t="shared" si="15"/>
        <v>2.4951740199999999</v>
      </c>
      <c r="AN104" s="27">
        <f t="shared" si="13"/>
        <v>2.4951740199999999</v>
      </c>
      <c r="AO104" s="34" t="s">
        <v>1485</v>
      </c>
    </row>
    <row r="105" spans="1:41" ht="65.25" customHeight="1" x14ac:dyDescent="0.25">
      <c r="A105" s="8" t="s">
        <v>70</v>
      </c>
      <c r="B105" s="37" t="s">
        <v>286</v>
      </c>
      <c r="C105" s="29" t="s">
        <v>287</v>
      </c>
      <c r="D105" s="38" t="s">
        <v>1481</v>
      </c>
      <c r="E105" s="30">
        <v>2016</v>
      </c>
      <c r="F105" s="30">
        <v>2016</v>
      </c>
      <c r="G105" s="30" t="s">
        <v>1435</v>
      </c>
      <c r="H105" s="27">
        <v>0</v>
      </c>
      <c r="I105" s="27">
        <v>2.9508871866295266E-3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2.1187370000000001E-2</v>
      </c>
      <c r="Q105" s="27">
        <v>0</v>
      </c>
      <c r="R105" s="27">
        <v>1.986011E-2</v>
      </c>
      <c r="S105" s="27">
        <v>1.32726E-3</v>
      </c>
      <c r="T105" s="27">
        <v>0</v>
      </c>
      <c r="U105" s="27">
        <v>0</v>
      </c>
      <c r="V105" s="27">
        <v>0</v>
      </c>
      <c r="W105" s="27">
        <v>0</v>
      </c>
      <c r="X105" s="27">
        <f t="shared" si="14"/>
        <v>0</v>
      </c>
      <c r="Y105" s="27">
        <v>0</v>
      </c>
      <c r="Z105" s="27">
        <f t="shared" si="12"/>
        <v>0</v>
      </c>
      <c r="AA105" s="27">
        <v>0</v>
      </c>
      <c r="AB105" s="28">
        <v>0</v>
      </c>
      <c r="AC105" s="27">
        <v>0</v>
      </c>
      <c r="AD105" s="28">
        <v>0</v>
      </c>
      <c r="AE105" s="27">
        <v>0</v>
      </c>
      <c r="AF105" s="28">
        <f>21.18737/1000</f>
        <v>2.1187370000000001E-2</v>
      </c>
      <c r="AG105" s="27">
        <v>0</v>
      </c>
      <c r="AH105" s="28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f t="shared" si="15"/>
        <v>2.1187370000000001E-2</v>
      </c>
      <c r="AN105" s="27">
        <f t="shared" si="13"/>
        <v>2.1187370000000001E-2</v>
      </c>
      <c r="AO105" s="34" t="s">
        <v>1485</v>
      </c>
    </row>
    <row r="106" spans="1:41" ht="65.25" customHeight="1" x14ac:dyDescent="0.25">
      <c r="A106" s="8" t="s">
        <v>70</v>
      </c>
      <c r="B106" s="37" t="s">
        <v>288</v>
      </c>
      <c r="C106" s="29" t="s">
        <v>289</v>
      </c>
      <c r="D106" s="38" t="s">
        <v>1481</v>
      </c>
      <c r="E106" s="30">
        <v>2016</v>
      </c>
      <c r="F106" s="30">
        <v>2016</v>
      </c>
      <c r="G106" s="30" t="s">
        <v>1435</v>
      </c>
      <c r="H106" s="27">
        <v>0</v>
      </c>
      <c r="I106" s="27">
        <v>0.11022284122562674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0.79139999999999999</v>
      </c>
      <c r="Q106" s="27">
        <v>0</v>
      </c>
      <c r="R106" s="27">
        <v>0</v>
      </c>
      <c r="S106" s="27">
        <v>0.79139999999999999</v>
      </c>
      <c r="T106" s="27">
        <v>0</v>
      </c>
      <c r="U106" s="27">
        <v>0</v>
      </c>
      <c r="V106" s="27">
        <v>0</v>
      </c>
      <c r="W106" s="27">
        <v>0</v>
      </c>
      <c r="X106" s="27">
        <f t="shared" si="14"/>
        <v>0</v>
      </c>
      <c r="Y106" s="27">
        <v>0</v>
      </c>
      <c r="Z106" s="27">
        <f t="shared" si="12"/>
        <v>0</v>
      </c>
      <c r="AA106" s="27">
        <v>0</v>
      </c>
      <c r="AB106" s="28">
        <v>0</v>
      </c>
      <c r="AC106" s="27">
        <v>0</v>
      </c>
      <c r="AD106" s="28">
        <v>0</v>
      </c>
      <c r="AE106" s="27">
        <v>0</v>
      </c>
      <c r="AF106" s="28">
        <f>791400/1000000</f>
        <v>0.79139999999999999</v>
      </c>
      <c r="AG106" s="27">
        <v>0</v>
      </c>
      <c r="AH106" s="28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f t="shared" si="15"/>
        <v>0.79139999999999999</v>
      </c>
      <c r="AN106" s="27">
        <f t="shared" si="13"/>
        <v>0.79139999999999999</v>
      </c>
      <c r="AO106" s="34" t="s">
        <v>1485</v>
      </c>
    </row>
    <row r="107" spans="1:41" ht="65.25" customHeight="1" x14ac:dyDescent="0.25">
      <c r="A107" s="8" t="s">
        <v>70</v>
      </c>
      <c r="B107" s="37" t="s">
        <v>290</v>
      </c>
      <c r="C107" s="29" t="s">
        <v>291</v>
      </c>
      <c r="D107" s="38" t="s">
        <v>1481</v>
      </c>
      <c r="E107" s="30">
        <v>2016</v>
      </c>
      <c r="F107" s="30">
        <v>2016</v>
      </c>
      <c r="G107" s="30" t="s">
        <v>1435</v>
      </c>
      <c r="H107" s="27">
        <v>0</v>
      </c>
      <c r="I107" s="27">
        <v>0.10306406685236769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0.74</v>
      </c>
      <c r="Q107" s="27">
        <v>0</v>
      </c>
      <c r="R107" s="27">
        <v>0</v>
      </c>
      <c r="S107" s="27">
        <v>0.74</v>
      </c>
      <c r="T107" s="27">
        <v>0</v>
      </c>
      <c r="U107" s="27">
        <v>0</v>
      </c>
      <c r="V107" s="27">
        <v>0</v>
      </c>
      <c r="W107" s="27">
        <v>0</v>
      </c>
      <c r="X107" s="27">
        <f t="shared" si="14"/>
        <v>0</v>
      </c>
      <c r="Y107" s="27">
        <v>0</v>
      </c>
      <c r="Z107" s="27">
        <f t="shared" si="12"/>
        <v>0</v>
      </c>
      <c r="AA107" s="27">
        <v>0</v>
      </c>
      <c r="AB107" s="28">
        <v>0</v>
      </c>
      <c r="AC107" s="27">
        <v>0</v>
      </c>
      <c r="AD107" s="28">
        <v>0</v>
      </c>
      <c r="AE107" s="27">
        <v>0</v>
      </c>
      <c r="AF107" s="28">
        <f>740000/1000000</f>
        <v>0.74</v>
      </c>
      <c r="AG107" s="27">
        <v>0</v>
      </c>
      <c r="AH107" s="28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f t="shared" si="15"/>
        <v>0.74</v>
      </c>
      <c r="AN107" s="27">
        <f t="shared" si="13"/>
        <v>0.74</v>
      </c>
      <c r="AO107" s="34" t="s">
        <v>1485</v>
      </c>
    </row>
    <row r="108" spans="1:41" ht="65.25" customHeight="1" x14ac:dyDescent="0.25">
      <c r="A108" s="8" t="s">
        <v>70</v>
      </c>
      <c r="B108" s="37" t="s">
        <v>292</v>
      </c>
      <c r="C108" s="29" t="s">
        <v>293</v>
      </c>
      <c r="D108" s="38" t="s">
        <v>1481</v>
      </c>
      <c r="E108" s="30">
        <v>2016</v>
      </c>
      <c r="F108" s="30">
        <v>2016</v>
      </c>
      <c r="G108" s="30" t="s">
        <v>1435</v>
      </c>
      <c r="H108" s="27">
        <v>0</v>
      </c>
      <c r="I108" s="27">
        <v>0.30433147632311974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2.1850999999999998</v>
      </c>
      <c r="Q108" s="27">
        <v>0</v>
      </c>
      <c r="R108" s="27">
        <v>0</v>
      </c>
      <c r="S108" s="27">
        <v>2.1850999999999998</v>
      </c>
      <c r="T108" s="27">
        <v>0</v>
      </c>
      <c r="U108" s="27">
        <v>0</v>
      </c>
      <c r="V108" s="27">
        <v>0</v>
      </c>
      <c r="W108" s="27">
        <v>0</v>
      </c>
      <c r="X108" s="27">
        <f t="shared" si="14"/>
        <v>0</v>
      </c>
      <c r="Y108" s="27">
        <v>0</v>
      </c>
      <c r="Z108" s="27">
        <f t="shared" si="12"/>
        <v>0</v>
      </c>
      <c r="AA108" s="27">
        <v>0</v>
      </c>
      <c r="AB108" s="28">
        <v>0</v>
      </c>
      <c r="AC108" s="27">
        <v>0</v>
      </c>
      <c r="AD108" s="28">
        <v>0</v>
      </c>
      <c r="AE108" s="27">
        <v>0</v>
      </c>
      <c r="AF108" s="28">
        <f>2185100/1000000</f>
        <v>2.1850999999999998</v>
      </c>
      <c r="AG108" s="27">
        <v>0</v>
      </c>
      <c r="AH108" s="28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f t="shared" si="15"/>
        <v>2.1850999999999998</v>
      </c>
      <c r="AN108" s="27">
        <f t="shared" si="13"/>
        <v>2.1850999999999998</v>
      </c>
      <c r="AO108" s="34" t="s">
        <v>1485</v>
      </c>
    </row>
    <row r="109" spans="1:41" ht="50.25" customHeight="1" x14ac:dyDescent="0.25">
      <c r="A109" s="8" t="s">
        <v>70</v>
      </c>
      <c r="B109" s="37" t="s">
        <v>294</v>
      </c>
      <c r="C109" s="29" t="s">
        <v>295</v>
      </c>
      <c r="D109" s="38" t="s">
        <v>1481</v>
      </c>
      <c r="E109" s="30">
        <v>2016</v>
      </c>
      <c r="F109" s="30">
        <v>2016</v>
      </c>
      <c r="G109" s="30" t="s">
        <v>1435</v>
      </c>
      <c r="H109" s="27">
        <v>0</v>
      </c>
      <c r="I109" s="27">
        <v>0.1871309192200557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1.3435999999999999</v>
      </c>
      <c r="Q109" s="27">
        <v>0</v>
      </c>
      <c r="R109" s="27">
        <v>0</v>
      </c>
      <c r="S109" s="27">
        <v>1.3435999999999999</v>
      </c>
      <c r="T109" s="27">
        <v>0</v>
      </c>
      <c r="U109" s="27">
        <v>0</v>
      </c>
      <c r="V109" s="27">
        <v>0</v>
      </c>
      <c r="W109" s="27">
        <v>0</v>
      </c>
      <c r="X109" s="27">
        <f t="shared" si="14"/>
        <v>0</v>
      </c>
      <c r="Y109" s="27">
        <v>0</v>
      </c>
      <c r="Z109" s="27">
        <f t="shared" si="12"/>
        <v>0</v>
      </c>
      <c r="AA109" s="27">
        <v>0</v>
      </c>
      <c r="AB109" s="28">
        <v>0</v>
      </c>
      <c r="AC109" s="27">
        <v>0</v>
      </c>
      <c r="AD109" s="28">
        <v>0</v>
      </c>
      <c r="AE109" s="27">
        <v>0</v>
      </c>
      <c r="AF109" s="28">
        <f>(823800+403300+116500)/1000000</f>
        <v>1.3435999999999999</v>
      </c>
      <c r="AG109" s="27">
        <v>0</v>
      </c>
      <c r="AH109" s="28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f t="shared" si="15"/>
        <v>1.3435999999999999</v>
      </c>
      <c r="AN109" s="27">
        <f t="shared" si="13"/>
        <v>1.3435999999999999</v>
      </c>
      <c r="AO109" s="34" t="s">
        <v>1485</v>
      </c>
    </row>
    <row r="110" spans="1:41" ht="52.5" customHeight="1" x14ac:dyDescent="0.25">
      <c r="A110" s="8" t="s">
        <v>70</v>
      </c>
      <c r="B110" s="37" t="s">
        <v>296</v>
      </c>
      <c r="C110" s="29" t="s">
        <v>297</v>
      </c>
      <c r="D110" s="38" t="s">
        <v>1481</v>
      </c>
      <c r="E110" s="30">
        <v>2016</v>
      </c>
      <c r="F110" s="30">
        <v>2016</v>
      </c>
      <c r="G110" s="30" t="s">
        <v>1435</v>
      </c>
      <c r="H110" s="27">
        <v>0</v>
      </c>
      <c r="I110" s="27">
        <v>0.18330083565459612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1.3161</v>
      </c>
      <c r="Q110" s="27">
        <v>0</v>
      </c>
      <c r="R110" s="27">
        <v>0</v>
      </c>
      <c r="S110" s="27">
        <v>1.3161</v>
      </c>
      <c r="T110" s="27">
        <v>0</v>
      </c>
      <c r="U110" s="27">
        <v>0</v>
      </c>
      <c r="V110" s="27">
        <v>0</v>
      </c>
      <c r="W110" s="27">
        <v>0</v>
      </c>
      <c r="X110" s="27">
        <f t="shared" si="14"/>
        <v>0</v>
      </c>
      <c r="Y110" s="27">
        <v>0</v>
      </c>
      <c r="Z110" s="27">
        <f t="shared" si="12"/>
        <v>0</v>
      </c>
      <c r="AA110" s="27">
        <v>0</v>
      </c>
      <c r="AB110" s="28">
        <v>0</v>
      </c>
      <c r="AC110" s="27">
        <v>0</v>
      </c>
      <c r="AD110" s="28">
        <v>0</v>
      </c>
      <c r="AE110" s="27">
        <v>0</v>
      </c>
      <c r="AF110" s="28">
        <f>(523300+792800)/1000000</f>
        <v>1.3161</v>
      </c>
      <c r="AG110" s="27">
        <v>0</v>
      </c>
      <c r="AH110" s="28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f t="shared" si="15"/>
        <v>1.3161</v>
      </c>
      <c r="AN110" s="27">
        <f t="shared" si="13"/>
        <v>1.3161</v>
      </c>
      <c r="AO110" s="34" t="s">
        <v>1485</v>
      </c>
    </row>
    <row r="111" spans="1:41" ht="51" customHeight="1" x14ac:dyDescent="0.25">
      <c r="A111" s="8" t="s">
        <v>70</v>
      </c>
      <c r="B111" s="37" t="s">
        <v>298</v>
      </c>
      <c r="C111" s="29" t="s">
        <v>299</v>
      </c>
      <c r="D111" s="38" t="s">
        <v>1481</v>
      </c>
      <c r="E111" s="30">
        <v>2016</v>
      </c>
      <c r="F111" s="30">
        <v>2016</v>
      </c>
      <c r="G111" s="30" t="s">
        <v>1435</v>
      </c>
      <c r="H111" s="27">
        <v>0</v>
      </c>
      <c r="I111" s="27">
        <v>0.17318941504178276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1.2435</v>
      </c>
      <c r="Q111" s="27">
        <v>0</v>
      </c>
      <c r="R111" s="27">
        <v>0</v>
      </c>
      <c r="S111" s="27">
        <v>1.2435</v>
      </c>
      <c r="T111" s="27">
        <v>0</v>
      </c>
      <c r="U111" s="27">
        <v>0</v>
      </c>
      <c r="V111" s="27">
        <v>0</v>
      </c>
      <c r="W111" s="27">
        <v>0</v>
      </c>
      <c r="X111" s="27">
        <f t="shared" si="14"/>
        <v>0</v>
      </c>
      <c r="Y111" s="27">
        <v>0</v>
      </c>
      <c r="Z111" s="27">
        <f t="shared" si="12"/>
        <v>0</v>
      </c>
      <c r="AA111" s="27">
        <v>0</v>
      </c>
      <c r="AB111" s="28">
        <v>0</v>
      </c>
      <c r="AC111" s="27">
        <v>0</v>
      </c>
      <c r="AD111" s="28">
        <v>0</v>
      </c>
      <c r="AE111" s="27">
        <v>0</v>
      </c>
      <c r="AF111" s="28">
        <f>(414200+829300)/1000000</f>
        <v>1.2435</v>
      </c>
      <c r="AG111" s="27">
        <v>0</v>
      </c>
      <c r="AH111" s="28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f t="shared" si="15"/>
        <v>1.2435</v>
      </c>
      <c r="AN111" s="27">
        <f t="shared" si="13"/>
        <v>1.2435</v>
      </c>
      <c r="AO111" s="34" t="s">
        <v>1485</v>
      </c>
    </row>
    <row r="112" spans="1:41" ht="51" customHeight="1" x14ac:dyDescent="0.25">
      <c r="A112" s="8" t="s">
        <v>70</v>
      </c>
      <c r="B112" s="37" t="s">
        <v>300</v>
      </c>
      <c r="C112" s="29" t="s">
        <v>301</v>
      </c>
      <c r="D112" s="38" t="s">
        <v>1481</v>
      </c>
      <c r="E112" s="30">
        <v>2016</v>
      </c>
      <c r="F112" s="30">
        <v>2016</v>
      </c>
      <c r="G112" s="30" t="s">
        <v>1435</v>
      </c>
      <c r="H112" s="27">
        <v>0</v>
      </c>
      <c r="I112" s="27">
        <v>1.0050278551532035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7.2161</v>
      </c>
      <c r="Q112" s="27">
        <v>0</v>
      </c>
      <c r="R112" s="27">
        <v>0</v>
      </c>
      <c r="S112" s="27">
        <v>7.2161</v>
      </c>
      <c r="T112" s="27">
        <v>0</v>
      </c>
      <c r="U112" s="27">
        <v>0</v>
      </c>
      <c r="V112" s="27">
        <v>0</v>
      </c>
      <c r="W112" s="27">
        <v>0</v>
      </c>
      <c r="X112" s="27">
        <f t="shared" si="14"/>
        <v>0</v>
      </c>
      <c r="Y112" s="27">
        <v>0</v>
      </c>
      <c r="Z112" s="27">
        <f t="shared" si="12"/>
        <v>0</v>
      </c>
      <c r="AA112" s="27">
        <v>0</v>
      </c>
      <c r="AB112" s="28">
        <v>0</v>
      </c>
      <c r="AC112" s="27">
        <v>0</v>
      </c>
      <c r="AD112" s="28">
        <v>0</v>
      </c>
      <c r="AE112" s="27">
        <v>0</v>
      </c>
      <c r="AF112" s="28">
        <f>(2735900+1901000+2579200)/1000000</f>
        <v>7.2161</v>
      </c>
      <c r="AG112" s="27">
        <v>0</v>
      </c>
      <c r="AH112" s="28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f t="shared" si="15"/>
        <v>7.2161</v>
      </c>
      <c r="AN112" s="27">
        <f t="shared" si="13"/>
        <v>7.2161</v>
      </c>
      <c r="AO112" s="34" t="s">
        <v>1485</v>
      </c>
    </row>
    <row r="113" spans="1:41" ht="51" customHeight="1" x14ac:dyDescent="0.25">
      <c r="A113" s="8" t="s">
        <v>70</v>
      </c>
      <c r="B113" s="37" t="s">
        <v>302</v>
      </c>
      <c r="C113" s="29" t="s">
        <v>303</v>
      </c>
      <c r="D113" s="38" t="s">
        <v>1481</v>
      </c>
      <c r="E113" s="30">
        <v>2016</v>
      </c>
      <c r="F113" s="30">
        <v>2016</v>
      </c>
      <c r="G113" s="30" t="s">
        <v>1435</v>
      </c>
      <c r="H113" s="27">
        <v>0</v>
      </c>
      <c r="I113" s="27">
        <v>0.38405292479108633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2.7574999999999998</v>
      </c>
      <c r="Q113" s="27">
        <v>0</v>
      </c>
      <c r="R113" s="27">
        <v>0</v>
      </c>
      <c r="S113" s="27">
        <v>2.7574999999999998</v>
      </c>
      <c r="T113" s="27">
        <v>0</v>
      </c>
      <c r="U113" s="27">
        <v>0</v>
      </c>
      <c r="V113" s="27">
        <v>0</v>
      </c>
      <c r="W113" s="27">
        <v>0</v>
      </c>
      <c r="X113" s="27">
        <f t="shared" si="14"/>
        <v>0</v>
      </c>
      <c r="Y113" s="27">
        <v>0</v>
      </c>
      <c r="Z113" s="27">
        <f t="shared" si="12"/>
        <v>0</v>
      </c>
      <c r="AA113" s="27">
        <v>0</v>
      </c>
      <c r="AB113" s="28">
        <v>0</v>
      </c>
      <c r="AC113" s="27">
        <v>0</v>
      </c>
      <c r="AD113" s="28">
        <v>0</v>
      </c>
      <c r="AE113" s="27">
        <v>0</v>
      </c>
      <c r="AF113" s="28">
        <f>(1826100+931400)/1000000</f>
        <v>2.7574999999999998</v>
      </c>
      <c r="AG113" s="27">
        <v>0</v>
      </c>
      <c r="AH113" s="28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f t="shared" si="15"/>
        <v>2.7574999999999998</v>
      </c>
      <c r="AN113" s="27">
        <f t="shared" si="13"/>
        <v>2.7574999999999998</v>
      </c>
      <c r="AO113" s="34" t="s">
        <v>1485</v>
      </c>
    </row>
    <row r="114" spans="1:41" ht="53.25" customHeight="1" x14ac:dyDescent="0.25">
      <c r="A114" s="8" t="s">
        <v>70</v>
      </c>
      <c r="B114" s="37" t="s">
        <v>304</v>
      </c>
      <c r="C114" s="29" t="s">
        <v>305</v>
      </c>
      <c r="D114" s="38" t="s">
        <v>1481</v>
      </c>
      <c r="E114" s="30">
        <v>2016</v>
      </c>
      <c r="F114" s="30">
        <v>2016</v>
      </c>
      <c r="G114" s="30" t="s">
        <v>1435</v>
      </c>
      <c r="H114" s="27">
        <v>0</v>
      </c>
      <c r="I114" s="27">
        <v>4.881615598885794E-2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0.35049999999999998</v>
      </c>
      <c r="Q114" s="27">
        <v>0</v>
      </c>
      <c r="R114" s="27">
        <v>0</v>
      </c>
      <c r="S114" s="27">
        <v>0.35049999999999998</v>
      </c>
      <c r="T114" s="27">
        <v>0</v>
      </c>
      <c r="U114" s="27">
        <v>0</v>
      </c>
      <c r="V114" s="27">
        <v>0</v>
      </c>
      <c r="W114" s="27">
        <v>0</v>
      </c>
      <c r="X114" s="27">
        <f t="shared" si="14"/>
        <v>0</v>
      </c>
      <c r="Y114" s="27">
        <v>0</v>
      </c>
      <c r="Z114" s="27">
        <f t="shared" si="12"/>
        <v>0</v>
      </c>
      <c r="AA114" s="27">
        <v>0</v>
      </c>
      <c r="AB114" s="28">
        <v>0</v>
      </c>
      <c r="AC114" s="27">
        <v>0</v>
      </c>
      <c r="AD114" s="28">
        <v>0</v>
      </c>
      <c r="AE114" s="27">
        <v>0</v>
      </c>
      <c r="AF114" s="28">
        <f>350500/1000000</f>
        <v>0.35049999999999998</v>
      </c>
      <c r="AG114" s="27">
        <v>0</v>
      </c>
      <c r="AH114" s="28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f t="shared" si="15"/>
        <v>0.35049999999999998</v>
      </c>
      <c r="AN114" s="27">
        <f t="shared" si="13"/>
        <v>0.35049999999999998</v>
      </c>
      <c r="AO114" s="34" t="s">
        <v>1485</v>
      </c>
    </row>
    <row r="115" spans="1:41" ht="45" customHeight="1" x14ac:dyDescent="0.25">
      <c r="A115" s="57" t="s">
        <v>70</v>
      </c>
      <c r="B115" s="37" t="s">
        <v>306</v>
      </c>
      <c r="C115" s="29" t="s">
        <v>1494</v>
      </c>
      <c r="D115" s="38" t="s">
        <v>1482</v>
      </c>
      <c r="E115" s="30">
        <v>2014</v>
      </c>
      <c r="F115" s="30">
        <v>2017</v>
      </c>
      <c r="G115" s="30" t="s">
        <v>1435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f t="shared" si="14"/>
        <v>0</v>
      </c>
      <c r="Y115" s="27">
        <v>0</v>
      </c>
      <c r="Z115" s="27">
        <f t="shared" si="12"/>
        <v>0</v>
      </c>
      <c r="AA115" s="27">
        <v>0</v>
      </c>
      <c r="AB115" s="28">
        <v>0</v>
      </c>
      <c r="AC115" s="27">
        <v>0</v>
      </c>
      <c r="AD115" s="28">
        <v>0</v>
      </c>
      <c r="AE115" s="27">
        <v>0</v>
      </c>
      <c r="AF115" s="28">
        <v>0</v>
      </c>
      <c r="AG115" s="27">
        <v>0</v>
      </c>
      <c r="AH115" s="28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f t="shared" si="15"/>
        <v>0</v>
      </c>
      <c r="AN115" s="27">
        <f t="shared" si="13"/>
        <v>0</v>
      </c>
      <c r="AO115" s="34" t="s">
        <v>1485</v>
      </c>
    </row>
    <row r="116" spans="1:41" ht="38.25" customHeight="1" x14ac:dyDescent="0.25">
      <c r="A116" s="57" t="s">
        <v>70</v>
      </c>
      <c r="B116" s="37" t="s">
        <v>307</v>
      </c>
      <c r="C116" s="29" t="s">
        <v>1495</v>
      </c>
      <c r="D116" s="38" t="s">
        <v>1482</v>
      </c>
      <c r="E116" s="30">
        <v>2014</v>
      </c>
      <c r="F116" s="30">
        <v>2017</v>
      </c>
      <c r="G116" s="30" t="s">
        <v>1435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f t="shared" si="14"/>
        <v>0</v>
      </c>
      <c r="Y116" s="27">
        <v>0</v>
      </c>
      <c r="Z116" s="27">
        <f t="shared" si="12"/>
        <v>0</v>
      </c>
      <c r="AA116" s="27">
        <v>0</v>
      </c>
      <c r="AB116" s="28">
        <v>0</v>
      </c>
      <c r="AC116" s="27">
        <v>0</v>
      </c>
      <c r="AD116" s="28">
        <v>0</v>
      </c>
      <c r="AE116" s="27">
        <v>0</v>
      </c>
      <c r="AF116" s="28">
        <v>0</v>
      </c>
      <c r="AG116" s="27">
        <v>0</v>
      </c>
      <c r="AH116" s="28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f t="shared" si="15"/>
        <v>0</v>
      </c>
      <c r="AN116" s="27">
        <f t="shared" si="13"/>
        <v>0</v>
      </c>
      <c r="AO116" s="34" t="s">
        <v>1485</v>
      </c>
    </row>
    <row r="117" spans="1:41" ht="47.25" customHeight="1" x14ac:dyDescent="0.25">
      <c r="A117" s="57" t="s">
        <v>70</v>
      </c>
      <c r="B117" s="37" t="s">
        <v>308</v>
      </c>
      <c r="C117" s="29" t="s">
        <v>1496</v>
      </c>
      <c r="D117" s="38" t="s">
        <v>1482</v>
      </c>
      <c r="E117" s="30">
        <v>2017</v>
      </c>
      <c r="F117" s="30">
        <v>2019</v>
      </c>
      <c r="G117" s="30" t="s">
        <v>1435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f t="shared" si="14"/>
        <v>0</v>
      </c>
      <c r="Y117" s="27">
        <v>0</v>
      </c>
      <c r="Z117" s="27">
        <f t="shared" si="12"/>
        <v>0</v>
      </c>
      <c r="AA117" s="27">
        <v>0</v>
      </c>
      <c r="AB117" s="28">
        <v>0</v>
      </c>
      <c r="AC117" s="27">
        <v>0</v>
      </c>
      <c r="AD117" s="28">
        <v>0</v>
      </c>
      <c r="AE117" s="27">
        <v>0</v>
      </c>
      <c r="AF117" s="28">
        <v>0</v>
      </c>
      <c r="AG117" s="27">
        <v>0</v>
      </c>
      <c r="AH117" s="28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f t="shared" si="15"/>
        <v>0</v>
      </c>
      <c r="AN117" s="27">
        <f t="shared" si="13"/>
        <v>0</v>
      </c>
      <c r="AO117" s="34" t="s">
        <v>1485</v>
      </c>
    </row>
    <row r="118" spans="1:41" ht="47.25" customHeight="1" x14ac:dyDescent="0.25">
      <c r="A118" s="57" t="s">
        <v>70</v>
      </c>
      <c r="B118" s="37" t="s">
        <v>309</v>
      </c>
      <c r="C118" s="29" t="s">
        <v>1497</v>
      </c>
      <c r="D118" s="38" t="s">
        <v>1483</v>
      </c>
      <c r="E118" s="30">
        <v>2015</v>
      </c>
      <c r="F118" s="30">
        <v>2017</v>
      </c>
      <c r="G118" s="30" t="s">
        <v>1435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f t="shared" si="14"/>
        <v>0</v>
      </c>
      <c r="Y118" s="27">
        <v>0</v>
      </c>
      <c r="Z118" s="27">
        <f t="shared" si="12"/>
        <v>0</v>
      </c>
      <c r="AA118" s="27">
        <v>0</v>
      </c>
      <c r="AB118" s="28">
        <v>0</v>
      </c>
      <c r="AC118" s="27">
        <v>0</v>
      </c>
      <c r="AD118" s="28">
        <v>0</v>
      </c>
      <c r="AE118" s="27">
        <v>0</v>
      </c>
      <c r="AF118" s="28">
        <v>0</v>
      </c>
      <c r="AG118" s="27">
        <v>0</v>
      </c>
      <c r="AH118" s="28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f t="shared" si="15"/>
        <v>0</v>
      </c>
      <c r="AN118" s="27">
        <f t="shared" si="13"/>
        <v>0</v>
      </c>
      <c r="AO118" s="34" t="s">
        <v>1485</v>
      </c>
    </row>
    <row r="119" spans="1:41" ht="65.25" customHeight="1" x14ac:dyDescent="0.25">
      <c r="A119" s="57" t="s">
        <v>70</v>
      </c>
      <c r="B119" s="37" t="s">
        <v>310</v>
      </c>
      <c r="C119" s="45" t="s">
        <v>1498</v>
      </c>
      <c r="D119" s="38" t="s">
        <v>1483</v>
      </c>
      <c r="E119" s="30">
        <v>2015</v>
      </c>
      <c r="F119" s="30">
        <v>2017</v>
      </c>
      <c r="G119" s="30" t="s">
        <v>1435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f t="shared" si="14"/>
        <v>0</v>
      </c>
      <c r="Y119" s="27">
        <v>0</v>
      </c>
      <c r="Z119" s="27">
        <f t="shared" si="12"/>
        <v>0</v>
      </c>
      <c r="AA119" s="27">
        <v>0</v>
      </c>
      <c r="AB119" s="28">
        <v>0</v>
      </c>
      <c r="AC119" s="27">
        <v>0</v>
      </c>
      <c r="AD119" s="28">
        <v>0</v>
      </c>
      <c r="AE119" s="27">
        <v>0</v>
      </c>
      <c r="AF119" s="28">
        <v>0</v>
      </c>
      <c r="AG119" s="27">
        <v>0</v>
      </c>
      <c r="AH119" s="28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f t="shared" si="15"/>
        <v>0</v>
      </c>
      <c r="AN119" s="27">
        <f t="shared" si="13"/>
        <v>0</v>
      </c>
      <c r="AO119" s="34" t="s">
        <v>1485</v>
      </c>
    </row>
    <row r="120" spans="1:41" ht="52.5" customHeight="1" x14ac:dyDescent="0.25">
      <c r="A120" s="57" t="s">
        <v>70</v>
      </c>
      <c r="B120" s="37" t="s">
        <v>311</v>
      </c>
      <c r="C120" s="45" t="s">
        <v>1499</v>
      </c>
      <c r="D120" s="38" t="s">
        <v>1482</v>
      </c>
      <c r="E120" s="30">
        <v>2016</v>
      </c>
      <c r="F120" s="30">
        <v>2017</v>
      </c>
      <c r="G120" s="30" t="s">
        <v>1435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f t="shared" si="14"/>
        <v>0</v>
      </c>
      <c r="Y120" s="27">
        <v>0</v>
      </c>
      <c r="Z120" s="27">
        <f t="shared" si="12"/>
        <v>0</v>
      </c>
      <c r="AA120" s="27">
        <v>0</v>
      </c>
      <c r="AB120" s="28">
        <v>0</v>
      </c>
      <c r="AC120" s="27">
        <v>0</v>
      </c>
      <c r="AD120" s="28">
        <v>0</v>
      </c>
      <c r="AE120" s="27">
        <v>0</v>
      </c>
      <c r="AF120" s="28">
        <v>0</v>
      </c>
      <c r="AG120" s="27">
        <v>0</v>
      </c>
      <c r="AH120" s="28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f t="shared" si="15"/>
        <v>0</v>
      </c>
      <c r="AN120" s="27">
        <f t="shared" si="13"/>
        <v>0</v>
      </c>
      <c r="AO120" s="34" t="s">
        <v>1485</v>
      </c>
    </row>
    <row r="121" spans="1:41" ht="52.5" customHeight="1" x14ac:dyDescent="0.25">
      <c r="A121" s="57" t="s">
        <v>70</v>
      </c>
      <c r="B121" s="37" t="s">
        <v>312</v>
      </c>
      <c r="C121" s="29" t="s">
        <v>1500</v>
      </c>
      <c r="D121" s="38" t="s">
        <v>1482</v>
      </c>
      <c r="E121" s="30">
        <v>2016</v>
      </c>
      <c r="F121" s="30">
        <v>2017</v>
      </c>
      <c r="G121" s="30" t="s">
        <v>1435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f t="shared" si="14"/>
        <v>0</v>
      </c>
      <c r="Y121" s="27">
        <v>0</v>
      </c>
      <c r="Z121" s="27">
        <f t="shared" si="12"/>
        <v>0</v>
      </c>
      <c r="AA121" s="27">
        <v>0</v>
      </c>
      <c r="AB121" s="28">
        <v>0</v>
      </c>
      <c r="AC121" s="27">
        <v>0</v>
      </c>
      <c r="AD121" s="28">
        <v>0</v>
      </c>
      <c r="AE121" s="27">
        <v>0</v>
      </c>
      <c r="AF121" s="28">
        <v>0</v>
      </c>
      <c r="AG121" s="27">
        <v>0</v>
      </c>
      <c r="AH121" s="28">
        <v>0</v>
      </c>
      <c r="AI121" s="27">
        <v>0</v>
      </c>
      <c r="AJ121" s="27">
        <v>0</v>
      </c>
      <c r="AK121" s="27">
        <v>0</v>
      </c>
      <c r="AL121" s="27">
        <v>0</v>
      </c>
      <c r="AM121" s="27">
        <f t="shared" si="15"/>
        <v>0</v>
      </c>
      <c r="AN121" s="27">
        <f t="shared" si="13"/>
        <v>0</v>
      </c>
      <c r="AO121" s="34" t="s">
        <v>1485</v>
      </c>
    </row>
    <row r="122" spans="1:41" ht="52.5" customHeight="1" x14ac:dyDescent="0.25">
      <c r="A122" s="57" t="s">
        <v>70</v>
      </c>
      <c r="B122" s="37" t="s">
        <v>313</v>
      </c>
      <c r="C122" s="29" t="s">
        <v>1501</v>
      </c>
      <c r="D122" s="38" t="s">
        <v>1482</v>
      </c>
      <c r="E122" s="30">
        <v>2016</v>
      </c>
      <c r="F122" s="30">
        <v>2017</v>
      </c>
      <c r="G122" s="30" t="s">
        <v>1435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f t="shared" si="14"/>
        <v>0</v>
      </c>
      <c r="Y122" s="27">
        <v>0</v>
      </c>
      <c r="Z122" s="27">
        <f t="shared" si="12"/>
        <v>0</v>
      </c>
      <c r="AA122" s="27">
        <v>0</v>
      </c>
      <c r="AB122" s="28">
        <v>0</v>
      </c>
      <c r="AC122" s="27">
        <v>0</v>
      </c>
      <c r="AD122" s="28">
        <v>0</v>
      </c>
      <c r="AE122" s="27">
        <v>0</v>
      </c>
      <c r="AF122" s="28">
        <v>0</v>
      </c>
      <c r="AG122" s="27">
        <v>0</v>
      </c>
      <c r="AH122" s="28">
        <v>0</v>
      </c>
      <c r="AI122" s="27">
        <v>0</v>
      </c>
      <c r="AJ122" s="27">
        <v>0</v>
      </c>
      <c r="AK122" s="27">
        <v>0</v>
      </c>
      <c r="AL122" s="27">
        <v>0</v>
      </c>
      <c r="AM122" s="27">
        <f t="shared" si="15"/>
        <v>0</v>
      </c>
      <c r="AN122" s="27">
        <f t="shared" si="13"/>
        <v>0</v>
      </c>
      <c r="AO122" s="34" t="s">
        <v>1485</v>
      </c>
    </row>
    <row r="123" spans="1:41" ht="52.5" customHeight="1" x14ac:dyDescent="0.25">
      <c r="A123" s="57" t="s">
        <v>70</v>
      </c>
      <c r="B123" s="37" t="s">
        <v>314</v>
      </c>
      <c r="C123" s="45" t="s">
        <v>1502</v>
      </c>
      <c r="D123" s="38" t="s">
        <v>1482</v>
      </c>
      <c r="E123" s="30">
        <v>2016</v>
      </c>
      <c r="F123" s="30">
        <v>2018</v>
      </c>
      <c r="G123" s="30" t="s">
        <v>1435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f t="shared" ref="X123:X154" si="16">AG123+AI123+AK123</f>
        <v>0</v>
      </c>
      <c r="Y123" s="27">
        <v>0</v>
      </c>
      <c r="Z123" s="27">
        <f t="shared" si="12"/>
        <v>0</v>
      </c>
      <c r="AA123" s="27">
        <v>0</v>
      </c>
      <c r="AB123" s="28">
        <v>0</v>
      </c>
      <c r="AC123" s="27">
        <v>0</v>
      </c>
      <c r="AD123" s="28">
        <v>0</v>
      </c>
      <c r="AE123" s="27">
        <v>0</v>
      </c>
      <c r="AF123" s="28">
        <v>0</v>
      </c>
      <c r="AG123" s="27">
        <v>0</v>
      </c>
      <c r="AH123" s="28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f t="shared" si="15"/>
        <v>0</v>
      </c>
      <c r="AN123" s="27">
        <f t="shared" si="13"/>
        <v>0</v>
      </c>
      <c r="AO123" s="34" t="s">
        <v>1485</v>
      </c>
    </row>
    <row r="124" spans="1:41" ht="52.5" customHeight="1" x14ac:dyDescent="0.25">
      <c r="A124" s="57" t="s">
        <v>70</v>
      </c>
      <c r="B124" s="37" t="s">
        <v>315</v>
      </c>
      <c r="C124" s="45" t="s">
        <v>1503</v>
      </c>
      <c r="D124" s="38" t="s">
        <v>1482</v>
      </c>
      <c r="E124" s="30">
        <v>2016</v>
      </c>
      <c r="F124" s="30">
        <v>2018</v>
      </c>
      <c r="G124" s="30" t="s">
        <v>1435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f t="shared" si="16"/>
        <v>0</v>
      </c>
      <c r="Y124" s="27">
        <v>0</v>
      </c>
      <c r="Z124" s="27">
        <f t="shared" si="12"/>
        <v>0</v>
      </c>
      <c r="AA124" s="27">
        <v>0</v>
      </c>
      <c r="AB124" s="28">
        <v>0</v>
      </c>
      <c r="AC124" s="27">
        <v>0</v>
      </c>
      <c r="AD124" s="28">
        <v>0</v>
      </c>
      <c r="AE124" s="27">
        <v>0</v>
      </c>
      <c r="AF124" s="28">
        <v>0</v>
      </c>
      <c r="AG124" s="27">
        <v>0</v>
      </c>
      <c r="AH124" s="28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f t="shared" si="15"/>
        <v>0</v>
      </c>
      <c r="AN124" s="27">
        <f t="shared" si="13"/>
        <v>0</v>
      </c>
      <c r="AO124" s="34" t="s">
        <v>1485</v>
      </c>
    </row>
    <row r="125" spans="1:41" ht="52.5" customHeight="1" x14ac:dyDescent="0.25">
      <c r="A125" s="57" t="s">
        <v>70</v>
      </c>
      <c r="B125" s="37" t="s">
        <v>316</v>
      </c>
      <c r="C125" s="45" t="s">
        <v>1504</v>
      </c>
      <c r="D125" s="38" t="s">
        <v>1482</v>
      </c>
      <c r="E125" s="30">
        <v>2016</v>
      </c>
      <c r="F125" s="30">
        <v>2018</v>
      </c>
      <c r="G125" s="30" t="s">
        <v>1435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f t="shared" si="16"/>
        <v>0</v>
      </c>
      <c r="Y125" s="27">
        <v>0</v>
      </c>
      <c r="Z125" s="27">
        <f t="shared" si="12"/>
        <v>0</v>
      </c>
      <c r="AA125" s="27">
        <v>0</v>
      </c>
      <c r="AB125" s="28">
        <v>0</v>
      </c>
      <c r="AC125" s="27">
        <v>0</v>
      </c>
      <c r="AD125" s="28">
        <v>0</v>
      </c>
      <c r="AE125" s="27">
        <v>0</v>
      </c>
      <c r="AF125" s="28">
        <v>0</v>
      </c>
      <c r="AG125" s="27">
        <v>0</v>
      </c>
      <c r="AH125" s="28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f t="shared" si="15"/>
        <v>0</v>
      </c>
      <c r="AN125" s="27">
        <f t="shared" si="13"/>
        <v>0</v>
      </c>
      <c r="AO125" s="34" t="s">
        <v>1485</v>
      </c>
    </row>
    <row r="126" spans="1:41" ht="52.5" customHeight="1" x14ac:dyDescent="0.25">
      <c r="A126" s="57" t="s">
        <v>70</v>
      </c>
      <c r="B126" s="37" t="s">
        <v>317</v>
      </c>
      <c r="C126" s="29" t="s">
        <v>1505</v>
      </c>
      <c r="D126" s="38" t="s">
        <v>1482</v>
      </c>
      <c r="E126" s="30">
        <v>2016</v>
      </c>
      <c r="F126" s="30">
        <v>2018</v>
      </c>
      <c r="G126" s="30" t="s">
        <v>1435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f t="shared" si="16"/>
        <v>0</v>
      </c>
      <c r="Y126" s="27">
        <v>0</v>
      </c>
      <c r="Z126" s="27">
        <f t="shared" si="12"/>
        <v>0</v>
      </c>
      <c r="AA126" s="27">
        <v>0</v>
      </c>
      <c r="AB126" s="28">
        <v>0</v>
      </c>
      <c r="AC126" s="27">
        <v>0</v>
      </c>
      <c r="AD126" s="28">
        <v>0</v>
      </c>
      <c r="AE126" s="27">
        <v>0</v>
      </c>
      <c r="AF126" s="28">
        <v>0</v>
      </c>
      <c r="AG126" s="27">
        <v>0</v>
      </c>
      <c r="AH126" s="28">
        <v>0</v>
      </c>
      <c r="AI126" s="27">
        <v>0</v>
      </c>
      <c r="AJ126" s="27">
        <v>0</v>
      </c>
      <c r="AK126" s="27">
        <v>0</v>
      </c>
      <c r="AL126" s="27">
        <v>0</v>
      </c>
      <c r="AM126" s="27">
        <f t="shared" si="15"/>
        <v>0</v>
      </c>
      <c r="AN126" s="27">
        <f t="shared" si="13"/>
        <v>0</v>
      </c>
      <c r="AO126" s="34" t="s">
        <v>1485</v>
      </c>
    </row>
    <row r="127" spans="1:41" ht="52.5" customHeight="1" x14ac:dyDescent="0.25">
      <c r="A127" s="57" t="s">
        <v>70</v>
      </c>
      <c r="B127" s="37" t="s">
        <v>318</v>
      </c>
      <c r="C127" s="29" t="s">
        <v>1506</v>
      </c>
      <c r="D127" s="38" t="s">
        <v>1482</v>
      </c>
      <c r="E127" s="30">
        <v>2015</v>
      </c>
      <c r="F127" s="30">
        <v>2018</v>
      </c>
      <c r="G127" s="30" t="s">
        <v>1435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f t="shared" si="16"/>
        <v>0</v>
      </c>
      <c r="Y127" s="27">
        <v>0</v>
      </c>
      <c r="Z127" s="27">
        <f t="shared" si="12"/>
        <v>0</v>
      </c>
      <c r="AA127" s="27">
        <v>0</v>
      </c>
      <c r="AB127" s="28">
        <v>0</v>
      </c>
      <c r="AC127" s="27">
        <v>0</v>
      </c>
      <c r="AD127" s="28">
        <v>0</v>
      </c>
      <c r="AE127" s="27">
        <v>0</v>
      </c>
      <c r="AF127" s="28">
        <v>0</v>
      </c>
      <c r="AG127" s="27">
        <v>0</v>
      </c>
      <c r="AH127" s="28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f t="shared" si="15"/>
        <v>0</v>
      </c>
      <c r="AN127" s="27">
        <f t="shared" si="13"/>
        <v>0</v>
      </c>
      <c r="AO127" s="34" t="s">
        <v>1485</v>
      </c>
    </row>
    <row r="128" spans="1:41" ht="52.5" customHeight="1" x14ac:dyDescent="0.25">
      <c r="A128" s="57" t="s">
        <v>70</v>
      </c>
      <c r="B128" s="37" t="s">
        <v>319</v>
      </c>
      <c r="C128" s="29" t="s">
        <v>1507</v>
      </c>
      <c r="D128" s="38" t="s">
        <v>1482</v>
      </c>
      <c r="E128" s="30">
        <v>2015</v>
      </c>
      <c r="F128" s="30">
        <v>2018</v>
      </c>
      <c r="G128" s="30" t="s">
        <v>1435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f t="shared" si="16"/>
        <v>0</v>
      </c>
      <c r="Y128" s="27">
        <v>0</v>
      </c>
      <c r="Z128" s="27">
        <f t="shared" si="12"/>
        <v>0</v>
      </c>
      <c r="AA128" s="27">
        <v>0</v>
      </c>
      <c r="AB128" s="28">
        <v>0</v>
      </c>
      <c r="AC128" s="27">
        <v>0</v>
      </c>
      <c r="AD128" s="28">
        <v>0</v>
      </c>
      <c r="AE128" s="27">
        <v>0</v>
      </c>
      <c r="AF128" s="28">
        <v>0</v>
      </c>
      <c r="AG128" s="27">
        <v>0</v>
      </c>
      <c r="AH128" s="28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f t="shared" si="15"/>
        <v>0</v>
      </c>
      <c r="AN128" s="27">
        <f t="shared" si="13"/>
        <v>0</v>
      </c>
      <c r="AO128" s="34" t="s">
        <v>1485</v>
      </c>
    </row>
    <row r="129" spans="1:41" ht="52.5" customHeight="1" x14ac:dyDescent="0.25">
      <c r="A129" s="57" t="s">
        <v>70</v>
      </c>
      <c r="B129" s="37" t="s">
        <v>320</v>
      </c>
      <c r="C129" s="29" t="s">
        <v>1508</v>
      </c>
      <c r="D129" s="38" t="s">
        <v>1483</v>
      </c>
      <c r="E129" s="30">
        <v>2016</v>
      </c>
      <c r="F129" s="30">
        <v>2017</v>
      </c>
      <c r="G129" s="30" t="s">
        <v>1435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f t="shared" si="16"/>
        <v>0</v>
      </c>
      <c r="Y129" s="27">
        <v>0</v>
      </c>
      <c r="Z129" s="27">
        <f t="shared" si="12"/>
        <v>0</v>
      </c>
      <c r="AA129" s="27">
        <v>0</v>
      </c>
      <c r="AB129" s="28">
        <v>0</v>
      </c>
      <c r="AC129" s="27">
        <v>0</v>
      </c>
      <c r="AD129" s="28">
        <v>0</v>
      </c>
      <c r="AE129" s="27">
        <v>0</v>
      </c>
      <c r="AF129" s="28">
        <v>0</v>
      </c>
      <c r="AG129" s="27">
        <v>0</v>
      </c>
      <c r="AH129" s="28">
        <v>0</v>
      </c>
      <c r="AI129" s="27">
        <v>0</v>
      </c>
      <c r="AJ129" s="27">
        <v>0</v>
      </c>
      <c r="AK129" s="27">
        <v>0</v>
      </c>
      <c r="AL129" s="27">
        <v>0</v>
      </c>
      <c r="AM129" s="27">
        <f t="shared" si="15"/>
        <v>0</v>
      </c>
      <c r="AN129" s="27">
        <f t="shared" si="13"/>
        <v>0</v>
      </c>
      <c r="AO129" s="34" t="s">
        <v>1485</v>
      </c>
    </row>
    <row r="130" spans="1:41" ht="52.5" customHeight="1" x14ac:dyDescent="0.25">
      <c r="A130" s="57" t="s">
        <v>70</v>
      </c>
      <c r="B130" s="37" t="s">
        <v>321</v>
      </c>
      <c r="C130" s="29" t="s">
        <v>1509</v>
      </c>
      <c r="D130" s="38" t="s">
        <v>1483</v>
      </c>
      <c r="E130" s="30">
        <v>2016</v>
      </c>
      <c r="F130" s="30">
        <v>2017</v>
      </c>
      <c r="G130" s="30" t="s">
        <v>1435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f t="shared" si="16"/>
        <v>0</v>
      </c>
      <c r="Y130" s="27">
        <v>0</v>
      </c>
      <c r="Z130" s="27">
        <f t="shared" si="12"/>
        <v>0</v>
      </c>
      <c r="AA130" s="27">
        <v>0</v>
      </c>
      <c r="AB130" s="28">
        <v>0</v>
      </c>
      <c r="AC130" s="27">
        <v>0</v>
      </c>
      <c r="AD130" s="28">
        <v>0</v>
      </c>
      <c r="AE130" s="27">
        <v>0</v>
      </c>
      <c r="AF130" s="28">
        <v>0</v>
      </c>
      <c r="AG130" s="27">
        <v>0</v>
      </c>
      <c r="AH130" s="28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f t="shared" si="15"/>
        <v>0</v>
      </c>
      <c r="AN130" s="27">
        <f t="shared" si="13"/>
        <v>0</v>
      </c>
      <c r="AO130" s="34" t="s">
        <v>1485</v>
      </c>
    </row>
    <row r="131" spans="1:41" ht="52.5" customHeight="1" x14ac:dyDescent="0.25">
      <c r="A131" s="57" t="s">
        <v>70</v>
      </c>
      <c r="B131" s="37" t="s">
        <v>322</v>
      </c>
      <c r="C131" s="29" t="s">
        <v>1510</v>
      </c>
      <c r="D131" s="38" t="s">
        <v>1483</v>
      </c>
      <c r="E131" s="30">
        <v>2016</v>
      </c>
      <c r="F131" s="30">
        <v>2017</v>
      </c>
      <c r="G131" s="30" t="s">
        <v>1435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f t="shared" si="16"/>
        <v>0</v>
      </c>
      <c r="Y131" s="27">
        <v>0</v>
      </c>
      <c r="Z131" s="27">
        <f t="shared" si="12"/>
        <v>0</v>
      </c>
      <c r="AA131" s="27">
        <v>0</v>
      </c>
      <c r="AB131" s="28">
        <v>0</v>
      </c>
      <c r="AC131" s="27">
        <v>0</v>
      </c>
      <c r="AD131" s="28">
        <v>0</v>
      </c>
      <c r="AE131" s="27">
        <v>0</v>
      </c>
      <c r="AF131" s="28">
        <v>0</v>
      </c>
      <c r="AG131" s="27">
        <v>0</v>
      </c>
      <c r="AH131" s="28">
        <v>0</v>
      </c>
      <c r="AI131" s="27">
        <v>0</v>
      </c>
      <c r="AJ131" s="27">
        <v>0</v>
      </c>
      <c r="AK131" s="27">
        <v>0</v>
      </c>
      <c r="AL131" s="27">
        <v>0</v>
      </c>
      <c r="AM131" s="27">
        <f t="shared" si="15"/>
        <v>0</v>
      </c>
      <c r="AN131" s="27">
        <f t="shared" si="13"/>
        <v>0</v>
      </c>
      <c r="AO131" s="34" t="s">
        <v>1485</v>
      </c>
    </row>
    <row r="132" spans="1:41" ht="52.5" customHeight="1" x14ac:dyDescent="0.25">
      <c r="A132" s="57" t="s">
        <v>70</v>
      </c>
      <c r="B132" s="37" t="s">
        <v>323</v>
      </c>
      <c r="C132" s="29" t="s">
        <v>1511</v>
      </c>
      <c r="D132" s="38" t="s">
        <v>1483</v>
      </c>
      <c r="E132" s="30">
        <v>2016</v>
      </c>
      <c r="F132" s="30">
        <v>2017</v>
      </c>
      <c r="G132" s="30" t="s">
        <v>1435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f t="shared" si="16"/>
        <v>0</v>
      </c>
      <c r="Y132" s="27">
        <v>0</v>
      </c>
      <c r="Z132" s="27">
        <f t="shared" si="12"/>
        <v>0</v>
      </c>
      <c r="AA132" s="27">
        <v>0</v>
      </c>
      <c r="AB132" s="28">
        <v>0</v>
      </c>
      <c r="AC132" s="27">
        <v>0</v>
      </c>
      <c r="AD132" s="28">
        <v>0</v>
      </c>
      <c r="AE132" s="27">
        <v>0</v>
      </c>
      <c r="AF132" s="28">
        <v>0</v>
      </c>
      <c r="AG132" s="27">
        <v>0</v>
      </c>
      <c r="AH132" s="28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f t="shared" si="15"/>
        <v>0</v>
      </c>
      <c r="AN132" s="27">
        <f t="shared" si="13"/>
        <v>0</v>
      </c>
      <c r="AO132" s="34" t="s">
        <v>1485</v>
      </c>
    </row>
    <row r="133" spans="1:41" ht="52.5" customHeight="1" x14ac:dyDescent="0.25">
      <c r="A133" s="57" t="s">
        <v>70</v>
      </c>
      <c r="B133" s="37" t="s">
        <v>324</v>
      </c>
      <c r="C133" s="45" t="s">
        <v>1512</v>
      </c>
      <c r="D133" s="38" t="s">
        <v>1483</v>
      </c>
      <c r="E133" s="30">
        <v>2016</v>
      </c>
      <c r="F133" s="30">
        <v>2017</v>
      </c>
      <c r="G133" s="30" t="s">
        <v>1435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f t="shared" si="16"/>
        <v>0</v>
      </c>
      <c r="Y133" s="27">
        <v>0</v>
      </c>
      <c r="Z133" s="27">
        <f t="shared" si="12"/>
        <v>0</v>
      </c>
      <c r="AA133" s="27">
        <v>0</v>
      </c>
      <c r="AB133" s="28">
        <v>0</v>
      </c>
      <c r="AC133" s="27">
        <v>0</v>
      </c>
      <c r="AD133" s="28">
        <v>0</v>
      </c>
      <c r="AE133" s="27">
        <v>0</v>
      </c>
      <c r="AF133" s="28">
        <v>0</v>
      </c>
      <c r="AG133" s="27">
        <v>0</v>
      </c>
      <c r="AH133" s="28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f t="shared" si="15"/>
        <v>0</v>
      </c>
      <c r="AN133" s="27">
        <f t="shared" si="13"/>
        <v>0</v>
      </c>
      <c r="AO133" s="34" t="s">
        <v>1485</v>
      </c>
    </row>
    <row r="134" spans="1:41" ht="52.5" customHeight="1" x14ac:dyDescent="0.25">
      <c r="A134" s="57" t="s">
        <v>70</v>
      </c>
      <c r="B134" s="37" t="s">
        <v>325</v>
      </c>
      <c r="C134" s="45" t="s">
        <v>1513</v>
      </c>
      <c r="D134" s="38" t="s">
        <v>1483</v>
      </c>
      <c r="E134" s="30">
        <v>2016</v>
      </c>
      <c r="F134" s="30">
        <v>2017</v>
      </c>
      <c r="G134" s="30" t="s">
        <v>1435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f t="shared" si="16"/>
        <v>0</v>
      </c>
      <c r="Y134" s="27">
        <v>0</v>
      </c>
      <c r="Z134" s="27">
        <f t="shared" si="12"/>
        <v>0</v>
      </c>
      <c r="AA134" s="27">
        <v>0</v>
      </c>
      <c r="AB134" s="28">
        <v>0</v>
      </c>
      <c r="AC134" s="27">
        <v>0</v>
      </c>
      <c r="AD134" s="28">
        <v>0</v>
      </c>
      <c r="AE134" s="27">
        <v>0</v>
      </c>
      <c r="AF134" s="28">
        <v>0</v>
      </c>
      <c r="AG134" s="27">
        <v>0</v>
      </c>
      <c r="AH134" s="28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f t="shared" si="15"/>
        <v>0</v>
      </c>
      <c r="AN134" s="27">
        <f t="shared" si="13"/>
        <v>0</v>
      </c>
      <c r="AO134" s="34" t="s">
        <v>1485</v>
      </c>
    </row>
    <row r="135" spans="1:41" ht="52.5" customHeight="1" x14ac:dyDescent="0.25">
      <c r="A135" s="57" t="s">
        <v>70</v>
      </c>
      <c r="B135" s="37" t="s">
        <v>326</v>
      </c>
      <c r="C135" s="29" t="s">
        <v>1514</v>
      </c>
      <c r="D135" s="38" t="s">
        <v>1482</v>
      </c>
      <c r="E135" s="30">
        <v>2016</v>
      </c>
      <c r="F135" s="30">
        <v>2017</v>
      </c>
      <c r="G135" s="30" t="s">
        <v>1435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f t="shared" si="16"/>
        <v>0</v>
      </c>
      <c r="Y135" s="27">
        <v>0</v>
      </c>
      <c r="Z135" s="27">
        <f t="shared" si="12"/>
        <v>0</v>
      </c>
      <c r="AA135" s="27">
        <v>0</v>
      </c>
      <c r="AB135" s="28">
        <v>0</v>
      </c>
      <c r="AC135" s="27">
        <v>0</v>
      </c>
      <c r="AD135" s="28">
        <v>0</v>
      </c>
      <c r="AE135" s="27">
        <v>0</v>
      </c>
      <c r="AF135" s="28">
        <v>0</v>
      </c>
      <c r="AG135" s="27">
        <v>0</v>
      </c>
      <c r="AH135" s="28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f t="shared" si="15"/>
        <v>0</v>
      </c>
      <c r="AN135" s="27">
        <f t="shared" si="13"/>
        <v>0</v>
      </c>
      <c r="AO135" s="34" t="s">
        <v>1485</v>
      </c>
    </row>
    <row r="136" spans="1:41" ht="52.5" customHeight="1" x14ac:dyDescent="0.25">
      <c r="A136" s="57" t="s">
        <v>70</v>
      </c>
      <c r="B136" s="37" t="s">
        <v>327</v>
      </c>
      <c r="C136" s="29" t="s">
        <v>1515</v>
      </c>
      <c r="D136" s="38" t="s">
        <v>1482</v>
      </c>
      <c r="E136" s="30">
        <v>2016</v>
      </c>
      <c r="F136" s="30">
        <v>2017</v>
      </c>
      <c r="G136" s="30" t="s">
        <v>1435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f t="shared" si="16"/>
        <v>0</v>
      </c>
      <c r="Y136" s="27">
        <v>0</v>
      </c>
      <c r="Z136" s="27">
        <f t="shared" si="12"/>
        <v>0</v>
      </c>
      <c r="AA136" s="27">
        <v>0</v>
      </c>
      <c r="AB136" s="28">
        <v>0</v>
      </c>
      <c r="AC136" s="27">
        <v>0</v>
      </c>
      <c r="AD136" s="28">
        <v>0</v>
      </c>
      <c r="AE136" s="27">
        <v>0</v>
      </c>
      <c r="AF136" s="28">
        <v>0</v>
      </c>
      <c r="AG136" s="27">
        <v>0</v>
      </c>
      <c r="AH136" s="28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f t="shared" si="15"/>
        <v>0</v>
      </c>
      <c r="AN136" s="27">
        <f t="shared" si="13"/>
        <v>0</v>
      </c>
      <c r="AO136" s="34" t="s">
        <v>1485</v>
      </c>
    </row>
    <row r="137" spans="1:41" ht="52.5" customHeight="1" x14ac:dyDescent="0.25">
      <c r="A137" s="57" t="s">
        <v>70</v>
      </c>
      <c r="B137" s="37" t="s">
        <v>328</v>
      </c>
      <c r="C137" s="29" t="s">
        <v>1516</v>
      </c>
      <c r="D137" s="38" t="s">
        <v>1482</v>
      </c>
      <c r="E137" s="30">
        <v>2015</v>
      </c>
      <c r="F137" s="30">
        <v>2017</v>
      </c>
      <c r="G137" s="30" t="s">
        <v>1435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f t="shared" si="16"/>
        <v>0</v>
      </c>
      <c r="Y137" s="27">
        <v>0</v>
      </c>
      <c r="Z137" s="27">
        <f t="shared" si="12"/>
        <v>0</v>
      </c>
      <c r="AA137" s="27">
        <v>0</v>
      </c>
      <c r="AB137" s="28">
        <v>0</v>
      </c>
      <c r="AC137" s="27">
        <v>0</v>
      </c>
      <c r="AD137" s="28">
        <v>0</v>
      </c>
      <c r="AE137" s="27">
        <v>0</v>
      </c>
      <c r="AF137" s="28">
        <v>0</v>
      </c>
      <c r="AG137" s="27">
        <v>0</v>
      </c>
      <c r="AH137" s="28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f t="shared" si="15"/>
        <v>0</v>
      </c>
      <c r="AN137" s="27">
        <f t="shared" si="13"/>
        <v>0</v>
      </c>
      <c r="AO137" s="34" t="s">
        <v>1485</v>
      </c>
    </row>
    <row r="138" spans="1:41" ht="52.5" customHeight="1" x14ac:dyDescent="0.25">
      <c r="A138" s="57" t="s">
        <v>70</v>
      </c>
      <c r="B138" s="37" t="s">
        <v>329</v>
      </c>
      <c r="C138" s="29" t="s">
        <v>1517</v>
      </c>
      <c r="D138" s="38" t="s">
        <v>1482</v>
      </c>
      <c r="E138" s="30">
        <v>2015</v>
      </c>
      <c r="F138" s="30">
        <v>2017</v>
      </c>
      <c r="G138" s="30" t="s">
        <v>1435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f t="shared" si="16"/>
        <v>0</v>
      </c>
      <c r="Y138" s="27">
        <v>0</v>
      </c>
      <c r="Z138" s="27">
        <f t="shared" si="12"/>
        <v>0</v>
      </c>
      <c r="AA138" s="27">
        <v>0</v>
      </c>
      <c r="AB138" s="28">
        <v>0</v>
      </c>
      <c r="AC138" s="27">
        <v>0</v>
      </c>
      <c r="AD138" s="28">
        <v>0</v>
      </c>
      <c r="AE138" s="27">
        <v>0</v>
      </c>
      <c r="AF138" s="28">
        <v>0</v>
      </c>
      <c r="AG138" s="27">
        <v>0</v>
      </c>
      <c r="AH138" s="28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f t="shared" si="15"/>
        <v>0</v>
      </c>
      <c r="AN138" s="27">
        <f t="shared" si="13"/>
        <v>0</v>
      </c>
      <c r="AO138" s="34" t="s">
        <v>1485</v>
      </c>
    </row>
    <row r="139" spans="1:41" ht="52.5" customHeight="1" x14ac:dyDescent="0.25">
      <c r="A139" s="57" t="s">
        <v>70</v>
      </c>
      <c r="B139" s="37" t="s">
        <v>330</v>
      </c>
      <c r="C139" s="45" t="s">
        <v>1518</v>
      </c>
      <c r="D139" s="38" t="s">
        <v>1482</v>
      </c>
      <c r="E139" s="30">
        <v>2015</v>
      </c>
      <c r="F139" s="30">
        <v>2017</v>
      </c>
      <c r="G139" s="30" t="s">
        <v>1435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f t="shared" si="16"/>
        <v>0</v>
      </c>
      <c r="Y139" s="27">
        <v>0</v>
      </c>
      <c r="Z139" s="27">
        <f t="shared" si="12"/>
        <v>0</v>
      </c>
      <c r="AA139" s="27">
        <v>0</v>
      </c>
      <c r="AB139" s="28">
        <v>0</v>
      </c>
      <c r="AC139" s="27">
        <v>0</v>
      </c>
      <c r="AD139" s="28">
        <v>0</v>
      </c>
      <c r="AE139" s="27">
        <v>0</v>
      </c>
      <c r="AF139" s="28">
        <v>0</v>
      </c>
      <c r="AG139" s="27">
        <v>0</v>
      </c>
      <c r="AH139" s="28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f t="shared" si="15"/>
        <v>0</v>
      </c>
      <c r="AN139" s="27">
        <f t="shared" si="13"/>
        <v>0</v>
      </c>
      <c r="AO139" s="34" t="s">
        <v>1485</v>
      </c>
    </row>
    <row r="140" spans="1:41" ht="52.5" customHeight="1" x14ac:dyDescent="0.25">
      <c r="A140" s="57" t="s">
        <v>70</v>
      </c>
      <c r="B140" s="37" t="s">
        <v>331</v>
      </c>
      <c r="C140" s="45" t="s">
        <v>1519</v>
      </c>
      <c r="D140" s="38" t="s">
        <v>1482</v>
      </c>
      <c r="E140" s="30">
        <v>2015</v>
      </c>
      <c r="F140" s="30">
        <v>2017</v>
      </c>
      <c r="G140" s="30" t="s">
        <v>1435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f t="shared" si="16"/>
        <v>0</v>
      </c>
      <c r="Y140" s="27">
        <v>0</v>
      </c>
      <c r="Z140" s="27">
        <f t="shared" si="12"/>
        <v>0</v>
      </c>
      <c r="AA140" s="27">
        <v>0</v>
      </c>
      <c r="AB140" s="28">
        <v>0</v>
      </c>
      <c r="AC140" s="27">
        <v>0</v>
      </c>
      <c r="AD140" s="28">
        <v>0</v>
      </c>
      <c r="AE140" s="27">
        <v>0</v>
      </c>
      <c r="AF140" s="28">
        <v>0</v>
      </c>
      <c r="AG140" s="27">
        <v>0</v>
      </c>
      <c r="AH140" s="28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f t="shared" si="15"/>
        <v>0</v>
      </c>
      <c r="AN140" s="27">
        <f t="shared" si="13"/>
        <v>0</v>
      </c>
      <c r="AO140" s="34" t="s">
        <v>1485</v>
      </c>
    </row>
    <row r="141" spans="1:41" ht="52.5" customHeight="1" x14ac:dyDescent="0.25">
      <c r="A141" s="57" t="s">
        <v>70</v>
      </c>
      <c r="B141" s="37" t="s">
        <v>332</v>
      </c>
      <c r="C141" s="45" t="s">
        <v>1520</v>
      </c>
      <c r="D141" s="38" t="s">
        <v>1482</v>
      </c>
      <c r="E141" s="30">
        <v>2015</v>
      </c>
      <c r="F141" s="30">
        <v>2017</v>
      </c>
      <c r="G141" s="30" t="s">
        <v>1435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f t="shared" si="16"/>
        <v>0</v>
      </c>
      <c r="Y141" s="27">
        <v>0</v>
      </c>
      <c r="Z141" s="27">
        <f t="shared" si="12"/>
        <v>0</v>
      </c>
      <c r="AA141" s="27">
        <v>0</v>
      </c>
      <c r="AB141" s="28">
        <v>0</v>
      </c>
      <c r="AC141" s="27">
        <v>0</v>
      </c>
      <c r="AD141" s="28">
        <v>0</v>
      </c>
      <c r="AE141" s="27">
        <v>0</v>
      </c>
      <c r="AF141" s="28">
        <v>0</v>
      </c>
      <c r="AG141" s="27">
        <v>0</v>
      </c>
      <c r="AH141" s="28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f t="shared" si="15"/>
        <v>0</v>
      </c>
      <c r="AN141" s="27">
        <f t="shared" si="13"/>
        <v>0</v>
      </c>
      <c r="AO141" s="34" t="s">
        <v>1485</v>
      </c>
    </row>
    <row r="142" spans="1:41" ht="52.5" customHeight="1" x14ac:dyDescent="0.25">
      <c r="A142" s="57" t="s">
        <v>70</v>
      </c>
      <c r="B142" s="37" t="s">
        <v>333</v>
      </c>
      <c r="C142" s="29" t="s">
        <v>1521</v>
      </c>
      <c r="D142" s="38" t="s">
        <v>1483</v>
      </c>
      <c r="E142" s="30">
        <v>2016</v>
      </c>
      <c r="F142" s="30">
        <v>2017</v>
      </c>
      <c r="G142" s="30" t="s">
        <v>1435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f t="shared" si="16"/>
        <v>0</v>
      </c>
      <c r="Y142" s="27">
        <v>0</v>
      </c>
      <c r="Z142" s="27">
        <f t="shared" si="12"/>
        <v>0</v>
      </c>
      <c r="AA142" s="27">
        <v>0</v>
      </c>
      <c r="AB142" s="28">
        <v>0</v>
      </c>
      <c r="AC142" s="27">
        <v>0</v>
      </c>
      <c r="AD142" s="28">
        <v>0</v>
      </c>
      <c r="AE142" s="27">
        <v>0</v>
      </c>
      <c r="AF142" s="28">
        <v>0</v>
      </c>
      <c r="AG142" s="27">
        <v>0</v>
      </c>
      <c r="AH142" s="28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f t="shared" si="15"/>
        <v>0</v>
      </c>
      <c r="AN142" s="27">
        <f t="shared" si="13"/>
        <v>0</v>
      </c>
      <c r="AO142" s="34" t="s">
        <v>1485</v>
      </c>
    </row>
    <row r="143" spans="1:41" ht="52.5" customHeight="1" x14ac:dyDescent="0.25">
      <c r="A143" s="57" t="s">
        <v>70</v>
      </c>
      <c r="B143" s="37" t="s">
        <v>334</v>
      </c>
      <c r="C143" s="29" t="s">
        <v>1522</v>
      </c>
      <c r="D143" s="38" t="s">
        <v>1483</v>
      </c>
      <c r="E143" s="30">
        <v>2016</v>
      </c>
      <c r="F143" s="30">
        <v>2017</v>
      </c>
      <c r="G143" s="30" t="s">
        <v>1435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f t="shared" si="16"/>
        <v>0</v>
      </c>
      <c r="Y143" s="27">
        <v>0</v>
      </c>
      <c r="Z143" s="27">
        <f t="shared" si="12"/>
        <v>0</v>
      </c>
      <c r="AA143" s="27">
        <v>0</v>
      </c>
      <c r="AB143" s="28">
        <v>0</v>
      </c>
      <c r="AC143" s="27">
        <v>0</v>
      </c>
      <c r="AD143" s="28">
        <v>0</v>
      </c>
      <c r="AE143" s="27">
        <v>0</v>
      </c>
      <c r="AF143" s="28">
        <v>0</v>
      </c>
      <c r="AG143" s="27">
        <v>0</v>
      </c>
      <c r="AH143" s="28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f t="shared" si="15"/>
        <v>0</v>
      </c>
      <c r="AN143" s="27">
        <f t="shared" si="13"/>
        <v>0</v>
      </c>
      <c r="AO143" s="34" t="s">
        <v>1485</v>
      </c>
    </row>
    <row r="144" spans="1:41" ht="52.5" customHeight="1" x14ac:dyDescent="0.25">
      <c r="A144" s="57" t="s">
        <v>70</v>
      </c>
      <c r="B144" s="37" t="s">
        <v>335</v>
      </c>
      <c r="C144" s="29" t="s">
        <v>1523</v>
      </c>
      <c r="D144" s="38" t="s">
        <v>1483</v>
      </c>
      <c r="E144" s="30">
        <v>2016</v>
      </c>
      <c r="F144" s="30">
        <v>2017</v>
      </c>
      <c r="G144" s="30" t="s">
        <v>1435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f t="shared" si="16"/>
        <v>0</v>
      </c>
      <c r="Y144" s="27">
        <v>0</v>
      </c>
      <c r="Z144" s="27">
        <f t="shared" si="12"/>
        <v>0</v>
      </c>
      <c r="AA144" s="27">
        <v>0</v>
      </c>
      <c r="AB144" s="28">
        <v>0</v>
      </c>
      <c r="AC144" s="27">
        <v>0</v>
      </c>
      <c r="AD144" s="28">
        <v>0</v>
      </c>
      <c r="AE144" s="27">
        <v>0</v>
      </c>
      <c r="AF144" s="28">
        <v>0</v>
      </c>
      <c r="AG144" s="27">
        <v>0</v>
      </c>
      <c r="AH144" s="28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f t="shared" si="15"/>
        <v>0</v>
      </c>
      <c r="AN144" s="27">
        <f t="shared" si="13"/>
        <v>0</v>
      </c>
      <c r="AO144" s="34" t="s">
        <v>1485</v>
      </c>
    </row>
    <row r="145" spans="1:41" ht="52.5" customHeight="1" x14ac:dyDescent="0.25">
      <c r="A145" s="57" t="s">
        <v>70</v>
      </c>
      <c r="B145" s="37" t="s">
        <v>336</v>
      </c>
      <c r="C145" s="29" t="s">
        <v>1524</v>
      </c>
      <c r="D145" s="38" t="s">
        <v>1483</v>
      </c>
      <c r="E145" s="30">
        <v>2016</v>
      </c>
      <c r="F145" s="30">
        <v>2017</v>
      </c>
      <c r="G145" s="30" t="s">
        <v>1435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f t="shared" si="16"/>
        <v>0</v>
      </c>
      <c r="Y145" s="27">
        <v>0</v>
      </c>
      <c r="Z145" s="27">
        <f t="shared" si="12"/>
        <v>0</v>
      </c>
      <c r="AA145" s="27">
        <v>0</v>
      </c>
      <c r="AB145" s="28">
        <v>0</v>
      </c>
      <c r="AC145" s="27">
        <v>0</v>
      </c>
      <c r="AD145" s="28">
        <v>0</v>
      </c>
      <c r="AE145" s="27">
        <v>0</v>
      </c>
      <c r="AF145" s="28">
        <v>0</v>
      </c>
      <c r="AG145" s="27">
        <v>0</v>
      </c>
      <c r="AH145" s="28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f t="shared" si="15"/>
        <v>0</v>
      </c>
      <c r="AN145" s="27">
        <f t="shared" si="13"/>
        <v>0</v>
      </c>
      <c r="AO145" s="34" t="s">
        <v>1485</v>
      </c>
    </row>
    <row r="146" spans="1:41" ht="52.5" customHeight="1" x14ac:dyDescent="0.25">
      <c r="A146" s="57" t="s">
        <v>70</v>
      </c>
      <c r="B146" s="37" t="s">
        <v>337</v>
      </c>
      <c r="C146" s="29" t="s">
        <v>1525</v>
      </c>
      <c r="D146" s="38" t="s">
        <v>1483</v>
      </c>
      <c r="E146" s="30">
        <v>2016</v>
      </c>
      <c r="F146" s="30">
        <v>2017</v>
      </c>
      <c r="G146" s="30" t="s">
        <v>1435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f t="shared" si="16"/>
        <v>0</v>
      </c>
      <c r="Y146" s="27">
        <v>0</v>
      </c>
      <c r="Z146" s="27">
        <f t="shared" si="12"/>
        <v>0</v>
      </c>
      <c r="AA146" s="27">
        <v>0</v>
      </c>
      <c r="AB146" s="28">
        <v>0</v>
      </c>
      <c r="AC146" s="27">
        <v>0</v>
      </c>
      <c r="AD146" s="28">
        <v>0</v>
      </c>
      <c r="AE146" s="27">
        <v>0</v>
      </c>
      <c r="AF146" s="28">
        <v>0</v>
      </c>
      <c r="AG146" s="27">
        <v>0</v>
      </c>
      <c r="AH146" s="28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f t="shared" si="15"/>
        <v>0</v>
      </c>
      <c r="AN146" s="27">
        <f t="shared" si="13"/>
        <v>0</v>
      </c>
      <c r="AO146" s="34" t="s">
        <v>1485</v>
      </c>
    </row>
    <row r="147" spans="1:41" ht="52.5" customHeight="1" x14ac:dyDescent="0.25">
      <c r="A147" s="57" t="s">
        <v>70</v>
      </c>
      <c r="B147" s="37" t="s">
        <v>338</v>
      </c>
      <c r="C147" s="29" t="s">
        <v>1526</v>
      </c>
      <c r="D147" s="38" t="s">
        <v>1483</v>
      </c>
      <c r="E147" s="30">
        <v>2016</v>
      </c>
      <c r="F147" s="30">
        <v>2017</v>
      </c>
      <c r="G147" s="30" t="s">
        <v>1435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f t="shared" si="16"/>
        <v>0</v>
      </c>
      <c r="Y147" s="27">
        <v>0</v>
      </c>
      <c r="Z147" s="27">
        <f t="shared" si="12"/>
        <v>0</v>
      </c>
      <c r="AA147" s="27">
        <v>0</v>
      </c>
      <c r="AB147" s="28">
        <v>0</v>
      </c>
      <c r="AC147" s="27">
        <v>0</v>
      </c>
      <c r="AD147" s="28">
        <v>0</v>
      </c>
      <c r="AE147" s="27">
        <v>0</v>
      </c>
      <c r="AF147" s="28">
        <v>0</v>
      </c>
      <c r="AG147" s="27">
        <v>0</v>
      </c>
      <c r="AH147" s="28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f t="shared" si="15"/>
        <v>0</v>
      </c>
      <c r="AN147" s="27">
        <f t="shared" ref="AN147:AN210" si="17">AD147+AF147+AH147</f>
        <v>0</v>
      </c>
      <c r="AO147" s="34" t="s">
        <v>1485</v>
      </c>
    </row>
    <row r="148" spans="1:41" ht="52.5" customHeight="1" x14ac:dyDescent="0.25">
      <c r="A148" s="57" t="s">
        <v>70</v>
      </c>
      <c r="B148" s="37" t="s">
        <v>339</v>
      </c>
      <c r="C148" s="29" t="s">
        <v>1527</v>
      </c>
      <c r="D148" s="38" t="s">
        <v>1483</v>
      </c>
      <c r="E148" s="30">
        <v>2016</v>
      </c>
      <c r="F148" s="30">
        <v>2017</v>
      </c>
      <c r="G148" s="30" t="s">
        <v>1435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f t="shared" si="16"/>
        <v>0</v>
      </c>
      <c r="Y148" s="27">
        <v>0</v>
      </c>
      <c r="Z148" s="27">
        <f t="shared" ref="Z148:Z197" si="18">AH148</f>
        <v>0</v>
      </c>
      <c r="AA148" s="27">
        <v>0</v>
      </c>
      <c r="AB148" s="28">
        <v>0</v>
      </c>
      <c r="AC148" s="27">
        <v>0</v>
      </c>
      <c r="AD148" s="28">
        <v>0</v>
      </c>
      <c r="AE148" s="27">
        <v>0</v>
      </c>
      <c r="AF148" s="28">
        <v>0</v>
      </c>
      <c r="AG148" s="27">
        <v>0</v>
      </c>
      <c r="AH148" s="28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f t="shared" si="15"/>
        <v>0</v>
      </c>
      <c r="AN148" s="27">
        <f t="shared" si="17"/>
        <v>0</v>
      </c>
      <c r="AO148" s="34" t="s">
        <v>1485</v>
      </c>
    </row>
    <row r="149" spans="1:41" ht="52.5" customHeight="1" x14ac:dyDescent="0.25">
      <c r="A149" s="57" t="s">
        <v>70</v>
      </c>
      <c r="B149" s="37" t="s">
        <v>340</v>
      </c>
      <c r="C149" s="29" t="s">
        <v>1528</v>
      </c>
      <c r="D149" s="38" t="s">
        <v>1483</v>
      </c>
      <c r="E149" s="30">
        <v>2016</v>
      </c>
      <c r="F149" s="30">
        <v>2017</v>
      </c>
      <c r="G149" s="30" t="s">
        <v>1435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f t="shared" si="16"/>
        <v>0</v>
      </c>
      <c r="Y149" s="27">
        <v>0</v>
      </c>
      <c r="Z149" s="27">
        <f t="shared" si="18"/>
        <v>0</v>
      </c>
      <c r="AA149" s="27">
        <v>0</v>
      </c>
      <c r="AB149" s="28">
        <v>0</v>
      </c>
      <c r="AC149" s="27">
        <v>0</v>
      </c>
      <c r="AD149" s="28">
        <v>0</v>
      </c>
      <c r="AE149" s="27">
        <v>0</v>
      </c>
      <c r="AF149" s="28">
        <v>0</v>
      </c>
      <c r="AG149" s="27">
        <v>0</v>
      </c>
      <c r="AH149" s="28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f t="shared" si="15"/>
        <v>0</v>
      </c>
      <c r="AN149" s="27">
        <f t="shared" si="17"/>
        <v>0</v>
      </c>
      <c r="AO149" s="34" t="s">
        <v>1485</v>
      </c>
    </row>
    <row r="150" spans="1:41" ht="52.5" customHeight="1" x14ac:dyDescent="0.25">
      <c r="A150" s="57" t="s">
        <v>70</v>
      </c>
      <c r="B150" s="37" t="s">
        <v>341</v>
      </c>
      <c r="C150" s="29" t="s">
        <v>1529</v>
      </c>
      <c r="D150" s="38" t="s">
        <v>1482</v>
      </c>
      <c r="E150" s="30">
        <v>2016</v>
      </c>
      <c r="F150" s="30">
        <v>2018</v>
      </c>
      <c r="G150" s="30" t="s">
        <v>1435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f t="shared" si="16"/>
        <v>0</v>
      </c>
      <c r="Y150" s="27">
        <v>0</v>
      </c>
      <c r="Z150" s="27">
        <f t="shared" si="18"/>
        <v>0</v>
      </c>
      <c r="AA150" s="27">
        <v>0</v>
      </c>
      <c r="AB150" s="28">
        <v>0</v>
      </c>
      <c r="AC150" s="27">
        <v>0</v>
      </c>
      <c r="AD150" s="28">
        <v>0</v>
      </c>
      <c r="AE150" s="27">
        <v>0</v>
      </c>
      <c r="AF150" s="28">
        <v>0</v>
      </c>
      <c r="AG150" s="27">
        <v>0</v>
      </c>
      <c r="AH150" s="28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f t="shared" si="15"/>
        <v>0</v>
      </c>
      <c r="AN150" s="27">
        <f t="shared" si="17"/>
        <v>0</v>
      </c>
      <c r="AO150" s="34" t="s">
        <v>1485</v>
      </c>
    </row>
    <row r="151" spans="1:41" ht="52.5" customHeight="1" x14ac:dyDescent="0.25">
      <c r="A151" s="57" t="s">
        <v>70</v>
      </c>
      <c r="B151" s="37" t="s">
        <v>342</v>
      </c>
      <c r="C151" s="29" t="s">
        <v>1530</v>
      </c>
      <c r="D151" s="38" t="s">
        <v>1482</v>
      </c>
      <c r="E151" s="30">
        <v>2016</v>
      </c>
      <c r="F151" s="30">
        <v>2018</v>
      </c>
      <c r="G151" s="30" t="s">
        <v>1435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f t="shared" si="16"/>
        <v>0</v>
      </c>
      <c r="Y151" s="27">
        <v>0</v>
      </c>
      <c r="Z151" s="27">
        <f t="shared" si="18"/>
        <v>0</v>
      </c>
      <c r="AA151" s="27">
        <v>0</v>
      </c>
      <c r="AB151" s="28">
        <v>0</v>
      </c>
      <c r="AC151" s="27">
        <v>0</v>
      </c>
      <c r="AD151" s="28">
        <v>0</v>
      </c>
      <c r="AE151" s="27">
        <v>0</v>
      </c>
      <c r="AF151" s="28">
        <v>0</v>
      </c>
      <c r="AG151" s="27">
        <v>0</v>
      </c>
      <c r="AH151" s="28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f t="shared" si="15"/>
        <v>0</v>
      </c>
      <c r="AN151" s="27">
        <f t="shared" si="17"/>
        <v>0</v>
      </c>
      <c r="AO151" s="34" t="s">
        <v>1485</v>
      </c>
    </row>
    <row r="152" spans="1:41" ht="52.5" customHeight="1" x14ac:dyDescent="0.25">
      <c r="A152" s="57" t="s">
        <v>70</v>
      </c>
      <c r="B152" s="37" t="s">
        <v>343</v>
      </c>
      <c r="C152" s="29" t="s">
        <v>1531</v>
      </c>
      <c r="D152" s="38" t="s">
        <v>1483</v>
      </c>
      <c r="E152" s="30">
        <v>2016</v>
      </c>
      <c r="F152" s="30">
        <v>2017</v>
      </c>
      <c r="G152" s="30" t="s">
        <v>1435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f t="shared" si="16"/>
        <v>0</v>
      </c>
      <c r="Y152" s="27">
        <v>0</v>
      </c>
      <c r="Z152" s="27">
        <f t="shared" si="18"/>
        <v>0</v>
      </c>
      <c r="AA152" s="27">
        <v>0</v>
      </c>
      <c r="AB152" s="28">
        <v>0</v>
      </c>
      <c r="AC152" s="27">
        <v>0</v>
      </c>
      <c r="AD152" s="28">
        <v>0</v>
      </c>
      <c r="AE152" s="27">
        <v>0</v>
      </c>
      <c r="AF152" s="28">
        <v>0</v>
      </c>
      <c r="AG152" s="27">
        <v>0</v>
      </c>
      <c r="AH152" s="28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f t="shared" si="15"/>
        <v>0</v>
      </c>
      <c r="AN152" s="27">
        <f t="shared" si="17"/>
        <v>0</v>
      </c>
      <c r="AO152" s="34" t="s">
        <v>1485</v>
      </c>
    </row>
    <row r="153" spans="1:41" ht="52.5" customHeight="1" x14ac:dyDescent="0.25">
      <c r="A153" s="57" t="s">
        <v>70</v>
      </c>
      <c r="B153" s="37" t="s">
        <v>344</v>
      </c>
      <c r="C153" s="29" t="s">
        <v>1532</v>
      </c>
      <c r="D153" s="38" t="s">
        <v>1483</v>
      </c>
      <c r="E153" s="30">
        <v>2016</v>
      </c>
      <c r="F153" s="30">
        <v>2017</v>
      </c>
      <c r="G153" s="30" t="s">
        <v>1435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f t="shared" si="16"/>
        <v>0</v>
      </c>
      <c r="Y153" s="27">
        <v>0</v>
      </c>
      <c r="Z153" s="27">
        <f t="shared" si="18"/>
        <v>0</v>
      </c>
      <c r="AA153" s="27">
        <v>0</v>
      </c>
      <c r="AB153" s="28">
        <v>0</v>
      </c>
      <c r="AC153" s="27">
        <v>0</v>
      </c>
      <c r="AD153" s="28">
        <v>0</v>
      </c>
      <c r="AE153" s="27">
        <v>0</v>
      </c>
      <c r="AF153" s="28">
        <v>0</v>
      </c>
      <c r="AG153" s="27">
        <v>0</v>
      </c>
      <c r="AH153" s="28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f t="shared" si="15"/>
        <v>0</v>
      </c>
      <c r="AN153" s="27">
        <f t="shared" si="17"/>
        <v>0</v>
      </c>
      <c r="AO153" s="34" t="s">
        <v>1485</v>
      </c>
    </row>
    <row r="154" spans="1:41" ht="52.5" customHeight="1" x14ac:dyDescent="0.25">
      <c r="A154" s="57" t="s">
        <v>70</v>
      </c>
      <c r="B154" s="37" t="s">
        <v>345</v>
      </c>
      <c r="C154" s="29" t="s">
        <v>1533</v>
      </c>
      <c r="D154" s="38" t="s">
        <v>1483</v>
      </c>
      <c r="E154" s="30">
        <v>2016</v>
      </c>
      <c r="F154" s="30">
        <v>2017</v>
      </c>
      <c r="G154" s="30" t="s">
        <v>1435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f t="shared" si="16"/>
        <v>0</v>
      </c>
      <c r="Y154" s="27">
        <v>0</v>
      </c>
      <c r="Z154" s="27">
        <f t="shared" si="18"/>
        <v>0</v>
      </c>
      <c r="AA154" s="27">
        <v>0</v>
      </c>
      <c r="AB154" s="28">
        <v>0</v>
      </c>
      <c r="AC154" s="27">
        <v>0</v>
      </c>
      <c r="AD154" s="28">
        <v>0</v>
      </c>
      <c r="AE154" s="27">
        <v>0</v>
      </c>
      <c r="AF154" s="28">
        <v>0</v>
      </c>
      <c r="AG154" s="27">
        <v>0</v>
      </c>
      <c r="AH154" s="28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f t="shared" si="15"/>
        <v>0</v>
      </c>
      <c r="AN154" s="27">
        <f t="shared" si="17"/>
        <v>0</v>
      </c>
      <c r="AO154" s="34" t="s">
        <v>1485</v>
      </c>
    </row>
    <row r="155" spans="1:41" ht="52.5" customHeight="1" x14ac:dyDescent="0.25">
      <c r="A155" s="57" t="s">
        <v>70</v>
      </c>
      <c r="B155" s="37" t="s">
        <v>346</v>
      </c>
      <c r="C155" s="29" t="s">
        <v>1534</v>
      </c>
      <c r="D155" s="38" t="s">
        <v>1482</v>
      </c>
      <c r="E155" s="30">
        <v>2015</v>
      </c>
      <c r="F155" s="30">
        <v>2018</v>
      </c>
      <c r="G155" s="30" t="s">
        <v>1435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f t="shared" ref="X155:X189" si="19">AG155+AI155+AK155</f>
        <v>0</v>
      </c>
      <c r="Y155" s="27">
        <v>0</v>
      </c>
      <c r="Z155" s="27">
        <f t="shared" si="18"/>
        <v>0</v>
      </c>
      <c r="AA155" s="27">
        <v>0</v>
      </c>
      <c r="AB155" s="28">
        <v>0</v>
      </c>
      <c r="AC155" s="27">
        <v>0</v>
      </c>
      <c r="AD155" s="28">
        <v>0</v>
      </c>
      <c r="AE155" s="27">
        <v>0</v>
      </c>
      <c r="AF155" s="28">
        <v>0</v>
      </c>
      <c r="AG155" s="27">
        <v>0</v>
      </c>
      <c r="AH155" s="28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f t="shared" ref="AM155:AM218" si="20">AD155+AF155+AG155+AI155+AK155</f>
        <v>0</v>
      </c>
      <c r="AN155" s="27">
        <f t="shared" si="17"/>
        <v>0</v>
      </c>
      <c r="AO155" s="34" t="s">
        <v>1485</v>
      </c>
    </row>
    <row r="156" spans="1:41" ht="52.5" customHeight="1" x14ac:dyDescent="0.25">
      <c r="A156" s="57" t="s">
        <v>70</v>
      </c>
      <c r="B156" s="37" t="s">
        <v>347</v>
      </c>
      <c r="C156" s="29" t="s">
        <v>1535</v>
      </c>
      <c r="D156" s="38" t="s">
        <v>1482</v>
      </c>
      <c r="E156" s="30">
        <v>2015</v>
      </c>
      <c r="F156" s="30">
        <v>2018</v>
      </c>
      <c r="G156" s="30" t="s">
        <v>1435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f t="shared" si="19"/>
        <v>0</v>
      </c>
      <c r="Y156" s="27">
        <v>0</v>
      </c>
      <c r="Z156" s="27">
        <f t="shared" si="18"/>
        <v>0</v>
      </c>
      <c r="AA156" s="27">
        <v>0</v>
      </c>
      <c r="AB156" s="28">
        <v>0</v>
      </c>
      <c r="AC156" s="27">
        <v>0</v>
      </c>
      <c r="AD156" s="28">
        <v>0</v>
      </c>
      <c r="AE156" s="27">
        <v>0</v>
      </c>
      <c r="AF156" s="28">
        <v>0</v>
      </c>
      <c r="AG156" s="27">
        <v>0</v>
      </c>
      <c r="AH156" s="28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f t="shared" si="20"/>
        <v>0</v>
      </c>
      <c r="AN156" s="27">
        <f t="shared" si="17"/>
        <v>0</v>
      </c>
      <c r="AO156" s="34" t="s">
        <v>1485</v>
      </c>
    </row>
    <row r="157" spans="1:41" ht="52.5" customHeight="1" x14ac:dyDescent="0.25">
      <c r="A157" s="57" t="s">
        <v>70</v>
      </c>
      <c r="B157" s="37" t="s">
        <v>348</v>
      </c>
      <c r="C157" s="29" t="s">
        <v>1536</v>
      </c>
      <c r="D157" s="38" t="s">
        <v>1482</v>
      </c>
      <c r="E157" s="30">
        <v>2015</v>
      </c>
      <c r="F157" s="30">
        <v>2018</v>
      </c>
      <c r="G157" s="30" t="s">
        <v>1435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f t="shared" si="19"/>
        <v>0</v>
      </c>
      <c r="Y157" s="27">
        <v>0</v>
      </c>
      <c r="Z157" s="27">
        <f t="shared" si="18"/>
        <v>0</v>
      </c>
      <c r="AA157" s="27">
        <v>0</v>
      </c>
      <c r="AB157" s="28">
        <v>0</v>
      </c>
      <c r="AC157" s="27">
        <v>0</v>
      </c>
      <c r="AD157" s="28">
        <v>0</v>
      </c>
      <c r="AE157" s="27">
        <v>0</v>
      </c>
      <c r="AF157" s="28">
        <v>0</v>
      </c>
      <c r="AG157" s="27">
        <v>0</v>
      </c>
      <c r="AH157" s="28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f t="shared" si="20"/>
        <v>0</v>
      </c>
      <c r="AN157" s="27">
        <f t="shared" si="17"/>
        <v>0</v>
      </c>
      <c r="AO157" s="34" t="s">
        <v>1485</v>
      </c>
    </row>
    <row r="158" spans="1:41" ht="52.5" customHeight="1" x14ac:dyDescent="0.25">
      <c r="A158" s="57" t="s">
        <v>70</v>
      </c>
      <c r="B158" s="37" t="s">
        <v>349</v>
      </c>
      <c r="C158" s="29" t="s">
        <v>1537</v>
      </c>
      <c r="D158" s="38" t="s">
        <v>1483</v>
      </c>
      <c r="E158" s="30">
        <v>2016</v>
      </c>
      <c r="F158" s="30">
        <v>2017</v>
      </c>
      <c r="G158" s="30" t="s">
        <v>1435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f t="shared" si="19"/>
        <v>0</v>
      </c>
      <c r="Y158" s="27">
        <v>0</v>
      </c>
      <c r="Z158" s="27">
        <f t="shared" si="18"/>
        <v>0</v>
      </c>
      <c r="AA158" s="27">
        <v>0</v>
      </c>
      <c r="AB158" s="28">
        <v>0</v>
      </c>
      <c r="AC158" s="27">
        <v>0</v>
      </c>
      <c r="AD158" s="28">
        <v>0</v>
      </c>
      <c r="AE158" s="27">
        <v>0</v>
      </c>
      <c r="AF158" s="28">
        <v>0</v>
      </c>
      <c r="AG158" s="27">
        <v>0</v>
      </c>
      <c r="AH158" s="28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f t="shared" si="20"/>
        <v>0</v>
      </c>
      <c r="AN158" s="27">
        <f t="shared" si="17"/>
        <v>0</v>
      </c>
      <c r="AO158" s="34" t="s">
        <v>1485</v>
      </c>
    </row>
    <row r="159" spans="1:41" ht="52.5" customHeight="1" x14ac:dyDescent="0.25">
      <c r="A159" s="57" t="s">
        <v>70</v>
      </c>
      <c r="B159" s="37" t="s">
        <v>350</v>
      </c>
      <c r="C159" s="29" t="s">
        <v>1538</v>
      </c>
      <c r="D159" s="38" t="s">
        <v>1483</v>
      </c>
      <c r="E159" s="30">
        <v>2016</v>
      </c>
      <c r="F159" s="30">
        <v>2017</v>
      </c>
      <c r="G159" s="30" t="s">
        <v>1435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f t="shared" si="19"/>
        <v>0</v>
      </c>
      <c r="Y159" s="27">
        <v>0</v>
      </c>
      <c r="Z159" s="27">
        <f t="shared" si="18"/>
        <v>0</v>
      </c>
      <c r="AA159" s="27">
        <v>0</v>
      </c>
      <c r="AB159" s="28">
        <v>0</v>
      </c>
      <c r="AC159" s="27">
        <v>0</v>
      </c>
      <c r="AD159" s="28">
        <v>0</v>
      </c>
      <c r="AE159" s="27">
        <v>0</v>
      </c>
      <c r="AF159" s="28">
        <v>0</v>
      </c>
      <c r="AG159" s="27">
        <v>0</v>
      </c>
      <c r="AH159" s="28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f t="shared" si="20"/>
        <v>0</v>
      </c>
      <c r="AN159" s="27">
        <f t="shared" si="17"/>
        <v>0</v>
      </c>
      <c r="AO159" s="34" t="s">
        <v>1485</v>
      </c>
    </row>
    <row r="160" spans="1:41" ht="52.5" customHeight="1" x14ac:dyDescent="0.25">
      <c r="A160" s="57" t="s">
        <v>70</v>
      </c>
      <c r="B160" s="37" t="s">
        <v>351</v>
      </c>
      <c r="C160" s="29" t="s">
        <v>1539</v>
      </c>
      <c r="D160" s="38" t="s">
        <v>1483</v>
      </c>
      <c r="E160" s="30">
        <v>2016</v>
      </c>
      <c r="F160" s="30">
        <v>2017</v>
      </c>
      <c r="G160" s="30" t="s">
        <v>1435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f t="shared" si="19"/>
        <v>0</v>
      </c>
      <c r="Y160" s="27">
        <v>0</v>
      </c>
      <c r="Z160" s="27">
        <f t="shared" si="18"/>
        <v>0</v>
      </c>
      <c r="AA160" s="27">
        <v>0</v>
      </c>
      <c r="AB160" s="28">
        <v>0</v>
      </c>
      <c r="AC160" s="27">
        <v>0</v>
      </c>
      <c r="AD160" s="28">
        <v>0</v>
      </c>
      <c r="AE160" s="27">
        <v>0</v>
      </c>
      <c r="AF160" s="28">
        <v>0</v>
      </c>
      <c r="AG160" s="27">
        <v>0</v>
      </c>
      <c r="AH160" s="28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f t="shared" si="20"/>
        <v>0</v>
      </c>
      <c r="AN160" s="27">
        <f t="shared" si="17"/>
        <v>0</v>
      </c>
      <c r="AO160" s="34" t="s">
        <v>1485</v>
      </c>
    </row>
    <row r="161" spans="1:41" ht="52.5" customHeight="1" x14ac:dyDescent="0.25">
      <c r="A161" s="57" t="s">
        <v>70</v>
      </c>
      <c r="B161" s="37" t="s">
        <v>352</v>
      </c>
      <c r="C161" s="29" t="s">
        <v>1540</v>
      </c>
      <c r="D161" s="38" t="s">
        <v>1483</v>
      </c>
      <c r="E161" s="30">
        <v>2016</v>
      </c>
      <c r="F161" s="30">
        <v>2017</v>
      </c>
      <c r="G161" s="30" t="s">
        <v>1435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f t="shared" si="19"/>
        <v>0</v>
      </c>
      <c r="Y161" s="27">
        <v>0</v>
      </c>
      <c r="Z161" s="27">
        <f t="shared" si="18"/>
        <v>0</v>
      </c>
      <c r="AA161" s="27">
        <v>0</v>
      </c>
      <c r="AB161" s="28">
        <v>0</v>
      </c>
      <c r="AC161" s="27">
        <v>0</v>
      </c>
      <c r="AD161" s="28">
        <v>0</v>
      </c>
      <c r="AE161" s="27">
        <v>0</v>
      </c>
      <c r="AF161" s="28">
        <v>0</v>
      </c>
      <c r="AG161" s="27">
        <v>0</v>
      </c>
      <c r="AH161" s="28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f t="shared" si="20"/>
        <v>0</v>
      </c>
      <c r="AN161" s="27">
        <f t="shared" si="17"/>
        <v>0</v>
      </c>
      <c r="AO161" s="34" t="s">
        <v>1485</v>
      </c>
    </row>
    <row r="162" spans="1:41" ht="52.5" customHeight="1" x14ac:dyDescent="0.25">
      <c r="A162" s="57" t="s">
        <v>70</v>
      </c>
      <c r="B162" s="37" t="s">
        <v>353</v>
      </c>
      <c r="C162" s="29" t="s">
        <v>1541</v>
      </c>
      <c r="D162" s="38" t="s">
        <v>1483</v>
      </c>
      <c r="E162" s="30">
        <v>2016</v>
      </c>
      <c r="F162" s="30">
        <v>2017</v>
      </c>
      <c r="G162" s="30" t="s">
        <v>1435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f t="shared" si="19"/>
        <v>0</v>
      </c>
      <c r="Y162" s="27">
        <v>0</v>
      </c>
      <c r="Z162" s="27">
        <f t="shared" si="18"/>
        <v>0</v>
      </c>
      <c r="AA162" s="27">
        <v>0</v>
      </c>
      <c r="AB162" s="28">
        <v>0</v>
      </c>
      <c r="AC162" s="27">
        <v>0</v>
      </c>
      <c r="AD162" s="28">
        <v>0</v>
      </c>
      <c r="AE162" s="27">
        <v>0</v>
      </c>
      <c r="AF162" s="28">
        <v>0</v>
      </c>
      <c r="AG162" s="27">
        <v>0</v>
      </c>
      <c r="AH162" s="28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f t="shared" si="20"/>
        <v>0</v>
      </c>
      <c r="AN162" s="27">
        <f t="shared" si="17"/>
        <v>0</v>
      </c>
      <c r="AO162" s="34" t="s">
        <v>1485</v>
      </c>
    </row>
    <row r="163" spans="1:41" ht="52.5" customHeight="1" x14ac:dyDescent="0.25">
      <c r="A163" s="57" t="s">
        <v>70</v>
      </c>
      <c r="B163" s="37" t="s">
        <v>354</v>
      </c>
      <c r="C163" s="29" t="s">
        <v>1542</v>
      </c>
      <c r="D163" s="38" t="s">
        <v>1483</v>
      </c>
      <c r="E163" s="30">
        <v>2016</v>
      </c>
      <c r="F163" s="30">
        <v>2017</v>
      </c>
      <c r="G163" s="30" t="s">
        <v>1435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f t="shared" si="19"/>
        <v>0</v>
      </c>
      <c r="Y163" s="27">
        <v>0</v>
      </c>
      <c r="Z163" s="27">
        <f t="shared" si="18"/>
        <v>0</v>
      </c>
      <c r="AA163" s="27">
        <v>0</v>
      </c>
      <c r="AB163" s="28">
        <v>0</v>
      </c>
      <c r="AC163" s="27">
        <v>0</v>
      </c>
      <c r="AD163" s="28">
        <v>0</v>
      </c>
      <c r="AE163" s="27">
        <v>0</v>
      </c>
      <c r="AF163" s="28">
        <v>0</v>
      </c>
      <c r="AG163" s="27">
        <v>0</v>
      </c>
      <c r="AH163" s="28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f t="shared" si="20"/>
        <v>0</v>
      </c>
      <c r="AN163" s="27">
        <f t="shared" si="17"/>
        <v>0</v>
      </c>
      <c r="AO163" s="34" t="s">
        <v>1485</v>
      </c>
    </row>
    <row r="164" spans="1:41" ht="52.5" customHeight="1" x14ac:dyDescent="0.25">
      <c r="A164" s="57" t="s">
        <v>70</v>
      </c>
      <c r="B164" s="37" t="s">
        <v>355</v>
      </c>
      <c r="C164" s="29" t="s">
        <v>1543</v>
      </c>
      <c r="D164" s="38" t="s">
        <v>1483</v>
      </c>
      <c r="E164" s="30">
        <v>2016</v>
      </c>
      <c r="F164" s="30">
        <v>2017</v>
      </c>
      <c r="G164" s="30" t="s">
        <v>1435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f t="shared" si="19"/>
        <v>0</v>
      </c>
      <c r="Y164" s="27">
        <v>0</v>
      </c>
      <c r="Z164" s="27">
        <f t="shared" si="18"/>
        <v>0</v>
      </c>
      <c r="AA164" s="27">
        <v>0</v>
      </c>
      <c r="AB164" s="28">
        <v>0</v>
      </c>
      <c r="AC164" s="27">
        <v>0</v>
      </c>
      <c r="AD164" s="28">
        <v>0</v>
      </c>
      <c r="AE164" s="27">
        <v>0</v>
      </c>
      <c r="AF164" s="28">
        <v>0</v>
      </c>
      <c r="AG164" s="27">
        <v>0</v>
      </c>
      <c r="AH164" s="28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f t="shared" si="20"/>
        <v>0</v>
      </c>
      <c r="AN164" s="27">
        <f t="shared" si="17"/>
        <v>0</v>
      </c>
      <c r="AO164" s="34" t="s">
        <v>1485</v>
      </c>
    </row>
    <row r="165" spans="1:41" ht="52.5" customHeight="1" x14ac:dyDescent="0.25">
      <c r="A165" s="57" t="s">
        <v>70</v>
      </c>
      <c r="B165" s="37" t="s">
        <v>356</v>
      </c>
      <c r="C165" s="29" t="s">
        <v>1544</v>
      </c>
      <c r="D165" s="38" t="s">
        <v>1483</v>
      </c>
      <c r="E165" s="30">
        <v>2016</v>
      </c>
      <c r="F165" s="30">
        <v>2017</v>
      </c>
      <c r="G165" s="30" t="s">
        <v>1435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f t="shared" si="19"/>
        <v>0</v>
      </c>
      <c r="Y165" s="27">
        <v>0</v>
      </c>
      <c r="Z165" s="27">
        <f t="shared" si="18"/>
        <v>0</v>
      </c>
      <c r="AA165" s="27">
        <v>0</v>
      </c>
      <c r="AB165" s="28">
        <v>0</v>
      </c>
      <c r="AC165" s="27">
        <v>0</v>
      </c>
      <c r="AD165" s="28">
        <v>0</v>
      </c>
      <c r="AE165" s="27">
        <v>0</v>
      </c>
      <c r="AF165" s="28">
        <v>0</v>
      </c>
      <c r="AG165" s="27">
        <v>0</v>
      </c>
      <c r="AH165" s="28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f t="shared" si="20"/>
        <v>0</v>
      </c>
      <c r="AN165" s="27">
        <f t="shared" si="17"/>
        <v>0</v>
      </c>
      <c r="AO165" s="34" t="s">
        <v>1485</v>
      </c>
    </row>
    <row r="166" spans="1:41" ht="52.5" customHeight="1" x14ac:dyDescent="0.25">
      <c r="A166" s="57" t="s">
        <v>70</v>
      </c>
      <c r="B166" s="37" t="s">
        <v>357</v>
      </c>
      <c r="C166" s="29" t="s">
        <v>1545</v>
      </c>
      <c r="D166" s="38" t="s">
        <v>1483</v>
      </c>
      <c r="E166" s="30">
        <v>2016</v>
      </c>
      <c r="F166" s="30">
        <v>2017</v>
      </c>
      <c r="G166" s="30" t="s">
        <v>1435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f t="shared" si="19"/>
        <v>0</v>
      </c>
      <c r="Y166" s="27">
        <v>0</v>
      </c>
      <c r="Z166" s="27">
        <f t="shared" si="18"/>
        <v>0</v>
      </c>
      <c r="AA166" s="27">
        <v>0</v>
      </c>
      <c r="AB166" s="28">
        <v>0</v>
      </c>
      <c r="AC166" s="27">
        <v>0</v>
      </c>
      <c r="AD166" s="28">
        <v>0</v>
      </c>
      <c r="AE166" s="27">
        <v>0</v>
      </c>
      <c r="AF166" s="28">
        <v>0</v>
      </c>
      <c r="AG166" s="27">
        <v>0</v>
      </c>
      <c r="AH166" s="28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f t="shared" si="20"/>
        <v>0</v>
      </c>
      <c r="AN166" s="27">
        <f t="shared" si="17"/>
        <v>0</v>
      </c>
      <c r="AO166" s="34" t="s">
        <v>1485</v>
      </c>
    </row>
    <row r="167" spans="1:41" ht="52.5" customHeight="1" x14ac:dyDescent="0.25">
      <c r="A167" s="57" t="s">
        <v>70</v>
      </c>
      <c r="B167" s="37" t="s">
        <v>358</v>
      </c>
      <c r="C167" s="29" t="s">
        <v>1546</v>
      </c>
      <c r="D167" s="38" t="s">
        <v>1482</v>
      </c>
      <c r="E167" s="30">
        <v>2015</v>
      </c>
      <c r="F167" s="30">
        <v>2017</v>
      </c>
      <c r="G167" s="30" t="s">
        <v>1435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f t="shared" si="19"/>
        <v>0</v>
      </c>
      <c r="Y167" s="27">
        <v>0</v>
      </c>
      <c r="Z167" s="27">
        <f t="shared" si="18"/>
        <v>0</v>
      </c>
      <c r="AA167" s="27">
        <v>0</v>
      </c>
      <c r="AB167" s="28">
        <v>0</v>
      </c>
      <c r="AC167" s="27">
        <v>0</v>
      </c>
      <c r="AD167" s="28">
        <v>0</v>
      </c>
      <c r="AE167" s="27">
        <v>0</v>
      </c>
      <c r="AF167" s="28">
        <v>0</v>
      </c>
      <c r="AG167" s="27">
        <v>0</v>
      </c>
      <c r="AH167" s="28">
        <v>0</v>
      </c>
      <c r="AI167" s="27">
        <v>0</v>
      </c>
      <c r="AJ167" s="27">
        <v>0</v>
      </c>
      <c r="AK167" s="27">
        <v>0</v>
      </c>
      <c r="AL167" s="27">
        <v>0</v>
      </c>
      <c r="AM167" s="27">
        <f t="shared" si="20"/>
        <v>0</v>
      </c>
      <c r="AN167" s="27">
        <f t="shared" si="17"/>
        <v>0</v>
      </c>
      <c r="AO167" s="34" t="s">
        <v>1485</v>
      </c>
    </row>
    <row r="168" spans="1:41" ht="52.5" customHeight="1" x14ac:dyDescent="0.25">
      <c r="A168" s="57" t="s">
        <v>70</v>
      </c>
      <c r="B168" s="37" t="s">
        <v>359</v>
      </c>
      <c r="C168" s="29" t="s">
        <v>1547</v>
      </c>
      <c r="D168" s="38" t="s">
        <v>1482</v>
      </c>
      <c r="E168" s="30">
        <v>2015</v>
      </c>
      <c r="F168" s="30">
        <v>2017</v>
      </c>
      <c r="G168" s="30" t="s">
        <v>1435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f t="shared" si="19"/>
        <v>0</v>
      </c>
      <c r="Y168" s="27">
        <v>0</v>
      </c>
      <c r="Z168" s="27">
        <f t="shared" si="18"/>
        <v>0</v>
      </c>
      <c r="AA168" s="27">
        <v>0</v>
      </c>
      <c r="AB168" s="28">
        <v>0</v>
      </c>
      <c r="AC168" s="27">
        <v>0</v>
      </c>
      <c r="AD168" s="28">
        <v>0</v>
      </c>
      <c r="AE168" s="27">
        <v>0</v>
      </c>
      <c r="AF168" s="28">
        <v>0</v>
      </c>
      <c r="AG168" s="27">
        <v>0</v>
      </c>
      <c r="AH168" s="28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f t="shared" si="20"/>
        <v>0</v>
      </c>
      <c r="AN168" s="27">
        <f t="shared" si="17"/>
        <v>0</v>
      </c>
      <c r="AO168" s="34" t="s">
        <v>1485</v>
      </c>
    </row>
    <row r="169" spans="1:41" ht="52.5" customHeight="1" x14ac:dyDescent="0.25">
      <c r="A169" s="57" t="s">
        <v>70</v>
      </c>
      <c r="B169" s="37" t="s">
        <v>360</v>
      </c>
      <c r="C169" s="29" t="s">
        <v>1548</v>
      </c>
      <c r="D169" s="38" t="s">
        <v>1482</v>
      </c>
      <c r="E169" s="30">
        <v>2015</v>
      </c>
      <c r="F169" s="30">
        <v>2017</v>
      </c>
      <c r="G169" s="30" t="s">
        <v>1435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f t="shared" si="19"/>
        <v>0</v>
      </c>
      <c r="Y169" s="27">
        <v>0</v>
      </c>
      <c r="Z169" s="27">
        <f t="shared" si="18"/>
        <v>0</v>
      </c>
      <c r="AA169" s="27">
        <v>0</v>
      </c>
      <c r="AB169" s="28">
        <v>0</v>
      </c>
      <c r="AC169" s="27">
        <v>0</v>
      </c>
      <c r="AD169" s="28">
        <v>0</v>
      </c>
      <c r="AE169" s="27">
        <v>0</v>
      </c>
      <c r="AF169" s="28">
        <v>0</v>
      </c>
      <c r="AG169" s="27">
        <v>0</v>
      </c>
      <c r="AH169" s="28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f t="shared" si="20"/>
        <v>0</v>
      </c>
      <c r="AN169" s="27">
        <f t="shared" si="17"/>
        <v>0</v>
      </c>
      <c r="AO169" s="34" t="s">
        <v>1485</v>
      </c>
    </row>
    <row r="170" spans="1:41" ht="52.5" customHeight="1" x14ac:dyDescent="0.25">
      <c r="A170" s="57" t="s">
        <v>70</v>
      </c>
      <c r="B170" s="37" t="s">
        <v>361</v>
      </c>
      <c r="C170" s="29" t="s">
        <v>1549</v>
      </c>
      <c r="D170" s="38" t="s">
        <v>1482</v>
      </c>
      <c r="E170" s="30">
        <v>2015</v>
      </c>
      <c r="F170" s="30">
        <v>2017</v>
      </c>
      <c r="G170" s="30" t="s">
        <v>1435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f t="shared" si="19"/>
        <v>0</v>
      </c>
      <c r="Y170" s="27">
        <v>0</v>
      </c>
      <c r="Z170" s="27">
        <f t="shared" si="18"/>
        <v>0</v>
      </c>
      <c r="AA170" s="27">
        <v>0</v>
      </c>
      <c r="AB170" s="28">
        <v>0</v>
      </c>
      <c r="AC170" s="27">
        <v>0</v>
      </c>
      <c r="AD170" s="28">
        <v>0</v>
      </c>
      <c r="AE170" s="27">
        <v>0</v>
      </c>
      <c r="AF170" s="28">
        <v>0</v>
      </c>
      <c r="AG170" s="27">
        <v>0</v>
      </c>
      <c r="AH170" s="28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f t="shared" si="20"/>
        <v>0</v>
      </c>
      <c r="AN170" s="27">
        <f t="shared" si="17"/>
        <v>0</v>
      </c>
      <c r="AO170" s="34" t="s">
        <v>1485</v>
      </c>
    </row>
    <row r="171" spans="1:41" ht="52.5" customHeight="1" x14ac:dyDescent="0.25">
      <c r="A171" s="57" t="s">
        <v>70</v>
      </c>
      <c r="B171" s="37" t="s">
        <v>362</v>
      </c>
      <c r="C171" s="29" t="s">
        <v>1550</v>
      </c>
      <c r="D171" s="38" t="s">
        <v>1482</v>
      </c>
      <c r="E171" s="30">
        <v>2015</v>
      </c>
      <c r="F171" s="30">
        <v>2017</v>
      </c>
      <c r="G171" s="30" t="s">
        <v>1435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f t="shared" si="19"/>
        <v>0</v>
      </c>
      <c r="Y171" s="27">
        <v>0</v>
      </c>
      <c r="Z171" s="27">
        <f t="shared" si="18"/>
        <v>0</v>
      </c>
      <c r="AA171" s="27">
        <v>0</v>
      </c>
      <c r="AB171" s="28">
        <v>0</v>
      </c>
      <c r="AC171" s="27">
        <v>0</v>
      </c>
      <c r="AD171" s="28">
        <v>0</v>
      </c>
      <c r="AE171" s="27">
        <v>0</v>
      </c>
      <c r="AF171" s="28">
        <v>0</v>
      </c>
      <c r="AG171" s="27">
        <v>0</v>
      </c>
      <c r="AH171" s="28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f t="shared" si="20"/>
        <v>0</v>
      </c>
      <c r="AN171" s="27">
        <f t="shared" si="17"/>
        <v>0</v>
      </c>
      <c r="AO171" s="34" t="s">
        <v>1485</v>
      </c>
    </row>
    <row r="172" spans="1:41" ht="52.5" customHeight="1" x14ac:dyDescent="0.25">
      <c r="A172" s="57" t="s">
        <v>70</v>
      </c>
      <c r="B172" s="37" t="s">
        <v>363</v>
      </c>
      <c r="C172" s="29" t="s">
        <v>1551</v>
      </c>
      <c r="D172" s="38" t="s">
        <v>1483</v>
      </c>
      <c r="E172" s="30">
        <v>2016</v>
      </c>
      <c r="F172" s="30">
        <v>2017</v>
      </c>
      <c r="G172" s="30" t="s">
        <v>1435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f t="shared" si="19"/>
        <v>0</v>
      </c>
      <c r="Y172" s="27">
        <v>0</v>
      </c>
      <c r="Z172" s="27">
        <f t="shared" si="18"/>
        <v>0</v>
      </c>
      <c r="AA172" s="27">
        <v>0</v>
      </c>
      <c r="AB172" s="28">
        <v>0</v>
      </c>
      <c r="AC172" s="27">
        <v>0</v>
      </c>
      <c r="AD172" s="28">
        <v>0</v>
      </c>
      <c r="AE172" s="27">
        <v>0</v>
      </c>
      <c r="AF172" s="28">
        <v>0</v>
      </c>
      <c r="AG172" s="27">
        <v>0</v>
      </c>
      <c r="AH172" s="28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f t="shared" si="20"/>
        <v>0</v>
      </c>
      <c r="AN172" s="27">
        <f t="shared" si="17"/>
        <v>0</v>
      </c>
      <c r="AO172" s="34" t="s">
        <v>1485</v>
      </c>
    </row>
    <row r="173" spans="1:41" ht="52.5" customHeight="1" x14ac:dyDescent="0.25">
      <c r="A173" s="57" t="s">
        <v>70</v>
      </c>
      <c r="B173" s="37" t="s">
        <v>364</v>
      </c>
      <c r="C173" s="29" t="s">
        <v>1552</v>
      </c>
      <c r="D173" s="38" t="s">
        <v>1483</v>
      </c>
      <c r="E173" s="30">
        <v>2016</v>
      </c>
      <c r="F173" s="30">
        <v>2017</v>
      </c>
      <c r="G173" s="30" t="s">
        <v>1435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f t="shared" si="19"/>
        <v>0</v>
      </c>
      <c r="Y173" s="27">
        <v>0</v>
      </c>
      <c r="Z173" s="27">
        <f t="shared" si="18"/>
        <v>0</v>
      </c>
      <c r="AA173" s="27">
        <v>0</v>
      </c>
      <c r="AB173" s="28">
        <v>0</v>
      </c>
      <c r="AC173" s="27">
        <v>0</v>
      </c>
      <c r="AD173" s="28">
        <v>0</v>
      </c>
      <c r="AE173" s="27">
        <v>0</v>
      </c>
      <c r="AF173" s="28">
        <v>0</v>
      </c>
      <c r="AG173" s="27">
        <v>0</v>
      </c>
      <c r="AH173" s="28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f t="shared" si="20"/>
        <v>0</v>
      </c>
      <c r="AN173" s="27">
        <f t="shared" si="17"/>
        <v>0</v>
      </c>
      <c r="AO173" s="34" t="s">
        <v>1485</v>
      </c>
    </row>
    <row r="174" spans="1:41" ht="52.5" customHeight="1" x14ac:dyDescent="0.25">
      <c r="A174" s="57" t="s">
        <v>70</v>
      </c>
      <c r="B174" s="37" t="s">
        <v>365</v>
      </c>
      <c r="C174" s="29" t="s">
        <v>1553</v>
      </c>
      <c r="D174" s="38" t="s">
        <v>1482</v>
      </c>
      <c r="E174" s="30">
        <v>2014</v>
      </c>
      <c r="F174" s="30">
        <v>2018</v>
      </c>
      <c r="G174" s="30" t="s">
        <v>1435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f t="shared" si="19"/>
        <v>0</v>
      </c>
      <c r="Y174" s="27">
        <v>0</v>
      </c>
      <c r="Z174" s="27">
        <f t="shared" si="18"/>
        <v>0</v>
      </c>
      <c r="AA174" s="27">
        <v>0</v>
      </c>
      <c r="AB174" s="28">
        <v>0</v>
      </c>
      <c r="AC174" s="27">
        <v>0</v>
      </c>
      <c r="AD174" s="28">
        <v>0</v>
      </c>
      <c r="AE174" s="27">
        <v>0</v>
      </c>
      <c r="AF174" s="28">
        <v>0</v>
      </c>
      <c r="AG174" s="27">
        <v>0</v>
      </c>
      <c r="AH174" s="28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f t="shared" si="20"/>
        <v>0</v>
      </c>
      <c r="AN174" s="27">
        <f t="shared" si="17"/>
        <v>0</v>
      </c>
      <c r="AO174" s="34" t="s">
        <v>1485</v>
      </c>
    </row>
    <row r="175" spans="1:41" ht="52.5" customHeight="1" x14ac:dyDescent="0.25">
      <c r="A175" s="57" t="s">
        <v>70</v>
      </c>
      <c r="B175" s="37" t="s">
        <v>366</v>
      </c>
      <c r="C175" s="29" t="s">
        <v>1554</v>
      </c>
      <c r="D175" s="38" t="s">
        <v>1482</v>
      </c>
      <c r="E175" s="30">
        <v>2014</v>
      </c>
      <c r="F175" s="30">
        <v>2018</v>
      </c>
      <c r="G175" s="30" t="s">
        <v>1435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f t="shared" si="19"/>
        <v>0</v>
      </c>
      <c r="Y175" s="27">
        <v>0</v>
      </c>
      <c r="Z175" s="27">
        <f t="shared" si="18"/>
        <v>0</v>
      </c>
      <c r="AA175" s="27">
        <v>0</v>
      </c>
      <c r="AB175" s="28">
        <v>0</v>
      </c>
      <c r="AC175" s="27">
        <v>0</v>
      </c>
      <c r="AD175" s="28">
        <v>0</v>
      </c>
      <c r="AE175" s="27">
        <v>0</v>
      </c>
      <c r="AF175" s="28">
        <v>0</v>
      </c>
      <c r="AG175" s="27">
        <v>0</v>
      </c>
      <c r="AH175" s="28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f t="shared" si="20"/>
        <v>0</v>
      </c>
      <c r="AN175" s="27">
        <f t="shared" si="17"/>
        <v>0</v>
      </c>
      <c r="AO175" s="34" t="s">
        <v>1485</v>
      </c>
    </row>
    <row r="176" spans="1:41" ht="52.5" customHeight="1" x14ac:dyDescent="0.25">
      <c r="A176" s="57" t="s">
        <v>70</v>
      </c>
      <c r="B176" s="37" t="s">
        <v>367</v>
      </c>
      <c r="C176" s="29" t="s">
        <v>1555</v>
      </c>
      <c r="D176" s="38" t="s">
        <v>1482</v>
      </c>
      <c r="E176" s="30">
        <v>2014</v>
      </c>
      <c r="F176" s="30">
        <v>2018</v>
      </c>
      <c r="G176" s="30" t="s">
        <v>1435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f t="shared" si="19"/>
        <v>0</v>
      </c>
      <c r="Y176" s="27">
        <v>0</v>
      </c>
      <c r="Z176" s="27">
        <f t="shared" si="18"/>
        <v>0</v>
      </c>
      <c r="AA176" s="27">
        <v>0</v>
      </c>
      <c r="AB176" s="28">
        <v>0</v>
      </c>
      <c r="AC176" s="27">
        <v>0</v>
      </c>
      <c r="AD176" s="28">
        <v>0</v>
      </c>
      <c r="AE176" s="27">
        <v>0</v>
      </c>
      <c r="AF176" s="28">
        <v>0</v>
      </c>
      <c r="AG176" s="27">
        <v>0</v>
      </c>
      <c r="AH176" s="28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f t="shared" si="20"/>
        <v>0</v>
      </c>
      <c r="AN176" s="27">
        <f t="shared" si="17"/>
        <v>0</v>
      </c>
      <c r="AO176" s="34" t="s">
        <v>1485</v>
      </c>
    </row>
    <row r="177" spans="1:41" ht="52.5" customHeight="1" x14ac:dyDescent="0.25">
      <c r="A177" s="57" t="s">
        <v>70</v>
      </c>
      <c r="B177" s="37" t="s">
        <v>368</v>
      </c>
      <c r="C177" s="29" t="s">
        <v>1556</v>
      </c>
      <c r="D177" s="38" t="s">
        <v>1484</v>
      </c>
      <c r="E177" s="30">
        <v>2015</v>
      </c>
      <c r="F177" s="30">
        <v>2017</v>
      </c>
      <c r="G177" s="30" t="s">
        <v>1435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f t="shared" si="19"/>
        <v>0</v>
      </c>
      <c r="Y177" s="27">
        <v>0</v>
      </c>
      <c r="Z177" s="27">
        <f t="shared" si="18"/>
        <v>0</v>
      </c>
      <c r="AA177" s="27">
        <v>0</v>
      </c>
      <c r="AB177" s="28">
        <v>0</v>
      </c>
      <c r="AC177" s="27">
        <v>0</v>
      </c>
      <c r="AD177" s="28">
        <v>0</v>
      </c>
      <c r="AE177" s="27">
        <v>0</v>
      </c>
      <c r="AF177" s="28">
        <v>0</v>
      </c>
      <c r="AG177" s="27">
        <v>0</v>
      </c>
      <c r="AH177" s="28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f t="shared" si="20"/>
        <v>0</v>
      </c>
      <c r="AN177" s="27">
        <f t="shared" si="17"/>
        <v>0</v>
      </c>
      <c r="AO177" s="34" t="s">
        <v>1485</v>
      </c>
    </row>
    <row r="178" spans="1:41" ht="52.5" customHeight="1" x14ac:dyDescent="0.25">
      <c r="A178" s="57" t="s">
        <v>70</v>
      </c>
      <c r="B178" s="37" t="s">
        <v>369</v>
      </c>
      <c r="C178" s="29" t="s">
        <v>1557</v>
      </c>
      <c r="D178" s="38" t="s">
        <v>1484</v>
      </c>
      <c r="E178" s="30">
        <v>2015</v>
      </c>
      <c r="F178" s="30">
        <v>2017</v>
      </c>
      <c r="G178" s="30" t="s">
        <v>1435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f t="shared" si="19"/>
        <v>0</v>
      </c>
      <c r="Y178" s="27">
        <v>0</v>
      </c>
      <c r="Z178" s="27">
        <f t="shared" si="18"/>
        <v>0</v>
      </c>
      <c r="AA178" s="27">
        <v>0</v>
      </c>
      <c r="AB178" s="28">
        <v>0</v>
      </c>
      <c r="AC178" s="27">
        <v>0</v>
      </c>
      <c r="AD178" s="28">
        <v>0</v>
      </c>
      <c r="AE178" s="27">
        <v>0</v>
      </c>
      <c r="AF178" s="28">
        <v>0</v>
      </c>
      <c r="AG178" s="27">
        <v>0</v>
      </c>
      <c r="AH178" s="28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f t="shared" si="20"/>
        <v>0</v>
      </c>
      <c r="AN178" s="27">
        <f t="shared" si="17"/>
        <v>0</v>
      </c>
      <c r="AO178" s="34" t="s">
        <v>1485</v>
      </c>
    </row>
    <row r="179" spans="1:41" ht="52.5" customHeight="1" x14ac:dyDescent="0.25">
      <c r="A179" s="57" t="s">
        <v>70</v>
      </c>
      <c r="B179" s="37" t="s">
        <v>370</v>
      </c>
      <c r="C179" s="29" t="s">
        <v>1558</v>
      </c>
      <c r="D179" s="38" t="s">
        <v>1484</v>
      </c>
      <c r="E179" s="30">
        <v>2015</v>
      </c>
      <c r="F179" s="30">
        <v>2017</v>
      </c>
      <c r="G179" s="30" t="s">
        <v>1435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f t="shared" si="19"/>
        <v>0</v>
      </c>
      <c r="Y179" s="27">
        <v>0</v>
      </c>
      <c r="Z179" s="27">
        <f t="shared" si="18"/>
        <v>0</v>
      </c>
      <c r="AA179" s="27">
        <v>0</v>
      </c>
      <c r="AB179" s="28">
        <v>0</v>
      </c>
      <c r="AC179" s="27">
        <v>0</v>
      </c>
      <c r="AD179" s="28">
        <v>0</v>
      </c>
      <c r="AE179" s="27">
        <v>0</v>
      </c>
      <c r="AF179" s="28">
        <v>0</v>
      </c>
      <c r="AG179" s="27">
        <v>0</v>
      </c>
      <c r="AH179" s="28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f t="shared" si="20"/>
        <v>0</v>
      </c>
      <c r="AN179" s="27">
        <f t="shared" si="17"/>
        <v>0</v>
      </c>
      <c r="AO179" s="34" t="s">
        <v>1485</v>
      </c>
    </row>
    <row r="180" spans="1:41" ht="52.5" customHeight="1" x14ac:dyDescent="0.25">
      <c r="A180" s="57" t="s">
        <v>70</v>
      </c>
      <c r="B180" s="37" t="s">
        <v>371</v>
      </c>
      <c r="C180" s="29" t="s">
        <v>1559</v>
      </c>
      <c r="D180" s="38" t="s">
        <v>1484</v>
      </c>
      <c r="E180" s="30">
        <v>2015</v>
      </c>
      <c r="F180" s="30">
        <v>2017</v>
      </c>
      <c r="G180" s="30" t="s">
        <v>1435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f t="shared" si="19"/>
        <v>0</v>
      </c>
      <c r="Y180" s="27">
        <v>0</v>
      </c>
      <c r="Z180" s="27">
        <f t="shared" si="18"/>
        <v>0</v>
      </c>
      <c r="AA180" s="27">
        <v>0</v>
      </c>
      <c r="AB180" s="28">
        <v>0</v>
      </c>
      <c r="AC180" s="27">
        <v>0</v>
      </c>
      <c r="AD180" s="28">
        <v>0</v>
      </c>
      <c r="AE180" s="27">
        <v>0</v>
      </c>
      <c r="AF180" s="28">
        <v>0</v>
      </c>
      <c r="AG180" s="27">
        <v>0</v>
      </c>
      <c r="AH180" s="28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f t="shared" si="20"/>
        <v>0</v>
      </c>
      <c r="AN180" s="27">
        <f t="shared" si="17"/>
        <v>0</v>
      </c>
      <c r="AO180" s="34" t="s">
        <v>1485</v>
      </c>
    </row>
    <row r="181" spans="1:41" ht="52.5" customHeight="1" x14ac:dyDescent="0.25">
      <c r="A181" s="57" t="s">
        <v>70</v>
      </c>
      <c r="B181" s="37" t="s">
        <v>372</v>
      </c>
      <c r="C181" s="29" t="s">
        <v>1560</v>
      </c>
      <c r="D181" s="38" t="s">
        <v>1484</v>
      </c>
      <c r="E181" s="30">
        <v>2015</v>
      </c>
      <c r="F181" s="30">
        <v>2017</v>
      </c>
      <c r="G181" s="30" t="s">
        <v>1435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f t="shared" si="19"/>
        <v>0</v>
      </c>
      <c r="Y181" s="27">
        <v>0</v>
      </c>
      <c r="Z181" s="27">
        <f t="shared" si="18"/>
        <v>0</v>
      </c>
      <c r="AA181" s="27">
        <v>0</v>
      </c>
      <c r="AB181" s="28">
        <v>0</v>
      </c>
      <c r="AC181" s="27">
        <v>0</v>
      </c>
      <c r="AD181" s="28">
        <v>0</v>
      </c>
      <c r="AE181" s="27">
        <v>0</v>
      </c>
      <c r="AF181" s="28">
        <v>0</v>
      </c>
      <c r="AG181" s="27">
        <v>0</v>
      </c>
      <c r="AH181" s="28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f t="shared" si="20"/>
        <v>0</v>
      </c>
      <c r="AN181" s="27">
        <f t="shared" si="17"/>
        <v>0</v>
      </c>
      <c r="AO181" s="34" t="s">
        <v>1485</v>
      </c>
    </row>
    <row r="182" spans="1:41" ht="52.5" customHeight="1" x14ac:dyDescent="0.25">
      <c r="A182" s="57" t="s">
        <v>70</v>
      </c>
      <c r="B182" s="37" t="s">
        <v>373</v>
      </c>
      <c r="C182" s="29" t="s">
        <v>1561</v>
      </c>
      <c r="D182" s="38" t="s">
        <v>1484</v>
      </c>
      <c r="E182" s="30">
        <v>2015</v>
      </c>
      <c r="F182" s="30">
        <v>2017</v>
      </c>
      <c r="G182" s="30" t="s">
        <v>1435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f t="shared" si="19"/>
        <v>0</v>
      </c>
      <c r="Y182" s="27">
        <v>0</v>
      </c>
      <c r="Z182" s="27">
        <f t="shared" si="18"/>
        <v>0</v>
      </c>
      <c r="AA182" s="27">
        <v>0</v>
      </c>
      <c r="AB182" s="28">
        <v>0</v>
      </c>
      <c r="AC182" s="27">
        <v>0</v>
      </c>
      <c r="AD182" s="28">
        <v>0</v>
      </c>
      <c r="AE182" s="27">
        <v>0</v>
      </c>
      <c r="AF182" s="28">
        <v>0</v>
      </c>
      <c r="AG182" s="27">
        <v>0</v>
      </c>
      <c r="AH182" s="28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f t="shared" si="20"/>
        <v>0</v>
      </c>
      <c r="AN182" s="27">
        <f t="shared" si="17"/>
        <v>0</v>
      </c>
      <c r="AO182" s="34" t="s">
        <v>1485</v>
      </c>
    </row>
    <row r="183" spans="1:41" ht="52.5" customHeight="1" x14ac:dyDescent="0.25">
      <c r="A183" s="57" t="s">
        <v>70</v>
      </c>
      <c r="B183" s="37" t="s">
        <v>374</v>
      </c>
      <c r="C183" s="29" t="s">
        <v>1562</v>
      </c>
      <c r="D183" s="38" t="s">
        <v>1484</v>
      </c>
      <c r="E183" s="30">
        <v>2014</v>
      </c>
      <c r="F183" s="30">
        <v>2016</v>
      </c>
      <c r="G183" s="30" t="s">
        <v>1435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f t="shared" si="19"/>
        <v>0</v>
      </c>
      <c r="Y183" s="27">
        <v>0</v>
      </c>
      <c r="Z183" s="27">
        <f t="shared" si="18"/>
        <v>0</v>
      </c>
      <c r="AA183" s="27">
        <v>0</v>
      </c>
      <c r="AB183" s="28">
        <v>0</v>
      </c>
      <c r="AC183" s="27">
        <v>0</v>
      </c>
      <c r="AD183" s="28">
        <v>0</v>
      </c>
      <c r="AE183" s="27">
        <v>0</v>
      </c>
      <c r="AF183" s="28">
        <v>0</v>
      </c>
      <c r="AG183" s="27">
        <v>0</v>
      </c>
      <c r="AH183" s="28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f t="shared" si="20"/>
        <v>0</v>
      </c>
      <c r="AN183" s="27">
        <f t="shared" si="17"/>
        <v>0</v>
      </c>
      <c r="AO183" s="34" t="s">
        <v>1485</v>
      </c>
    </row>
    <row r="184" spans="1:41" ht="52.5" customHeight="1" x14ac:dyDescent="0.25">
      <c r="A184" s="57" t="s">
        <v>70</v>
      </c>
      <c r="B184" s="37" t="s">
        <v>375</v>
      </c>
      <c r="C184" s="29" t="s">
        <v>1563</v>
      </c>
      <c r="D184" s="38" t="s">
        <v>1484</v>
      </c>
      <c r="E184" s="30">
        <v>2014</v>
      </c>
      <c r="F184" s="30">
        <v>2016</v>
      </c>
      <c r="G184" s="30" t="s">
        <v>1435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f t="shared" si="19"/>
        <v>0</v>
      </c>
      <c r="Y184" s="27">
        <v>0</v>
      </c>
      <c r="Z184" s="27">
        <f t="shared" si="18"/>
        <v>0</v>
      </c>
      <c r="AA184" s="27">
        <v>0</v>
      </c>
      <c r="AB184" s="28">
        <v>0</v>
      </c>
      <c r="AC184" s="27">
        <v>0</v>
      </c>
      <c r="AD184" s="28">
        <v>0</v>
      </c>
      <c r="AE184" s="27">
        <v>0</v>
      </c>
      <c r="AF184" s="28">
        <v>0</v>
      </c>
      <c r="AG184" s="27">
        <v>0</v>
      </c>
      <c r="AH184" s="28">
        <v>0</v>
      </c>
      <c r="AI184" s="27">
        <v>0</v>
      </c>
      <c r="AJ184" s="27">
        <v>0</v>
      </c>
      <c r="AK184" s="27">
        <v>0</v>
      </c>
      <c r="AL184" s="27">
        <v>0</v>
      </c>
      <c r="AM184" s="27">
        <f t="shared" si="20"/>
        <v>0</v>
      </c>
      <c r="AN184" s="27">
        <f t="shared" si="17"/>
        <v>0</v>
      </c>
      <c r="AO184" s="34" t="s">
        <v>1485</v>
      </c>
    </row>
    <row r="185" spans="1:41" ht="52.5" customHeight="1" x14ac:dyDescent="0.25">
      <c r="A185" s="57" t="s">
        <v>70</v>
      </c>
      <c r="B185" s="37" t="s">
        <v>376</v>
      </c>
      <c r="C185" s="29" t="s">
        <v>1564</v>
      </c>
      <c r="D185" s="38" t="s">
        <v>1484</v>
      </c>
      <c r="E185" s="30">
        <v>2014</v>
      </c>
      <c r="F185" s="30">
        <v>2016</v>
      </c>
      <c r="G185" s="30" t="s">
        <v>1435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f t="shared" si="19"/>
        <v>0</v>
      </c>
      <c r="Y185" s="27">
        <v>0</v>
      </c>
      <c r="Z185" s="27">
        <f t="shared" si="18"/>
        <v>0</v>
      </c>
      <c r="AA185" s="27">
        <v>0</v>
      </c>
      <c r="AB185" s="28">
        <v>0</v>
      </c>
      <c r="AC185" s="27">
        <v>0</v>
      </c>
      <c r="AD185" s="28">
        <v>0</v>
      </c>
      <c r="AE185" s="27">
        <v>0</v>
      </c>
      <c r="AF185" s="28">
        <v>0</v>
      </c>
      <c r="AG185" s="27">
        <v>0</v>
      </c>
      <c r="AH185" s="28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f t="shared" si="20"/>
        <v>0</v>
      </c>
      <c r="AN185" s="27">
        <f t="shared" si="17"/>
        <v>0</v>
      </c>
      <c r="AO185" s="34" t="s">
        <v>1485</v>
      </c>
    </row>
    <row r="186" spans="1:41" ht="52.5" customHeight="1" x14ac:dyDescent="0.25">
      <c r="A186" s="57" t="s">
        <v>70</v>
      </c>
      <c r="B186" s="37" t="s">
        <v>377</v>
      </c>
      <c r="C186" s="29" t="s">
        <v>1565</v>
      </c>
      <c r="D186" s="38" t="s">
        <v>1484</v>
      </c>
      <c r="E186" s="30">
        <v>2015</v>
      </c>
      <c r="F186" s="30">
        <v>2017</v>
      </c>
      <c r="G186" s="30" t="s">
        <v>1435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f t="shared" si="19"/>
        <v>0</v>
      </c>
      <c r="Y186" s="27">
        <v>0</v>
      </c>
      <c r="Z186" s="27">
        <f t="shared" si="18"/>
        <v>0</v>
      </c>
      <c r="AA186" s="27">
        <v>0</v>
      </c>
      <c r="AB186" s="28">
        <v>0</v>
      </c>
      <c r="AC186" s="27">
        <v>0</v>
      </c>
      <c r="AD186" s="28">
        <v>0</v>
      </c>
      <c r="AE186" s="27">
        <v>0</v>
      </c>
      <c r="AF186" s="28">
        <v>0</v>
      </c>
      <c r="AG186" s="27">
        <v>0</v>
      </c>
      <c r="AH186" s="28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f t="shared" si="20"/>
        <v>0</v>
      </c>
      <c r="AN186" s="27">
        <f t="shared" si="17"/>
        <v>0</v>
      </c>
      <c r="AO186" s="34" t="s">
        <v>1485</v>
      </c>
    </row>
    <row r="187" spans="1:41" ht="52.5" customHeight="1" x14ac:dyDescent="0.25">
      <c r="A187" s="57" t="s">
        <v>70</v>
      </c>
      <c r="B187" s="37" t="s">
        <v>378</v>
      </c>
      <c r="C187" s="29" t="s">
        <v>1566</v>
      </c>
      <c r="D187" s="38" t="s">
        <v>1484</v>
      </c>
      <c r="E187" s="30">
        <v>2014</v>
      </c>
      <c r="F187" s="30">
        <v>2016</v>
      </c>
      <c r="G187" s="30" t="s">
        <v>1435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f t="shared" si="19"/>
        <v>0</v>
      </c>
      <c r="Y187" s="27">
        <v>0</v>
      </c>
      <c r="Z187" s="27">
        <f t="shared" si="18"/>
        <v>0</v>
      </c>
      <c r="AA187" s="27">
        <v>0</v>
      </c>
      <c r="AB187" s="28">
        <v>0</v>
      </c>
      <c r="AC187" s="27">
        <v>0</v>
      </c>
      <c r="AD187" s="28">
        <v>0</v>
      </c>
      <c r="AE187" s="27">
        <v>0</v>
      </c>
      <c r="AF187" s="28">
        <v>0</v>
      </c>
      <c r="AG187" s="27">
        <v>0</v>
      </c>
      <c r="AH187" s="28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f t="shared" si="20"/>
        <v>0</v>
      </c>
      <c r="AN187" s="27">
        <f t="shared" si="17"/>
        <v>0</v>
      </c>
      <c r="AO187" s="34" t="s">
        <v>1485</v>
      </c>
    </row>
    <row r="188" spans="1:41" ht="52.5" customHeight="1" x14ac:dyDescent="0.25">
      <c r="A188" s="57" t="s">
        <v>70</v>
      </c>
      <c r="B188" s="37" t="s">
        <v>379</v>
      </c>
      <c r="C188" s="29" t="s">
        <v>1567</v>
      </c>
      <c r="D188" s="38" t="s">
        <v>1484</v>
      </c>
      <c r="E188" s="30">
        <v>2015</v>
      </c>
      <c r="F188" s="30">
        <v>2017</v>
      </c>
      <c r="G188" s="30" t="s">
        <v>1435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f t="shared" si="19"/>
        <v>0</v>
      </c>
      <c r="Y188" s="27">
        <v>0</v>
      </c>
      <c r="Z188" s="27">
        <f t="shared" si="18"/>
        <v>0</v>
      </c>
      <c r="AA188" s="27">
        <v>0</v>
      </c>
      <c r="AB188" s="28">
        <v>0</v>
      </c>
      <c r="AC188" s="27">
        <v>0</v>
      </c>
      <c r="AD188" s="28">
        <v>0</v>
      </c>
      <c r="AE188" s="27">
        <v>0</v>
      </c>
      <c r="AF188" s="28">
        <v>0</v>
      </c>
      <c r="AG188" s="27">
        <v>0</v>
      </c>
      <c r="AH188" s="28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f t="shared" si="20"/>
        <v>0</v>
      </c>
      <c r="AN188" s="27">
        <f t="shared" si="17"/>
        <v>0</v>
      </c>
      <c r="AO188" s="34" t="s">
        <v>1485</v>
      </c>
    </row>
    <row r="189" spans="1:41" ht="31.5" customHeight="1" x14ac:dyDescent="0.25">
      <c r="A189" s="9" t="s">
        <v>72</v>
      </c>
      <c r="B189" s="10" t="s">
        <v>73</v>
      </c>
      <c r="C189" s="23" t="s">
        <v>48</v>
      </c>
      <c r="D189" s="36" t="s">
        <v>1435</v>
      </c>
      <c r="E189" s="24" t="s">
        <v>1435</v>
      </c>
      <c r="F189" s="24" t="s">
        <v>1435</v>
      </c>
      <c r="G189" s="24" t="s">
        <v>1435</v>
      </c>
      <c r="H189" s="25">
        <f>H190+H191</f>
        <v>0</v>
      </c>
      <c r="I189" s="25">
        <f>I190+I191</f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f>U190+U191</f>
        <v>0</v>
      </c>
      <c r="V189" s="25">
        <v>0</v>
      </c>
      <c r="W189" s="25">
        <f>W190+W191</f>
        <v>0</v>
      </c>
      <c r="X189" s="25">
        <f t="shared" si="19"/>
        <v>0</v>
      </c>
      <c r="Y189" s="25">
        <f>Y190+Y191</f>
        <v>0</v>
      </c>
      <c r="Z189" s="25">
        <f t="shared" si="18"/>
        <v>0</v>
      </c>
      <c r="AA189" s="25">
        <v>0</v>
      </c>
      <c r="AB189" s="26">
        <v>0</v>
      </c>
      <c r="AC189" s="25">
        <v>0</v>
      </c>
      <c r="AD189" s="26">
        <f>AD190+AD191</f>
        <v>0</v>
      </c>
      <c r="AE189" s="25">
        <f>AE190+AE191</f>
        <v>0</v>
      </c>
      <c r="AF189" s="26">
        <f>AF190+AF191</f>
        <v>0</v>
      </c>
      <c r="AG189" s="25">
        <v>0</v>
      </c>
      <c r="AH189" s="26">
        <f>AH190+AH191</f>
        <v>0</v>
      </c>
      <c r="AI189" s="25">
        <v>0</v>
      </c>
      <c r="AJ189" s="25">
        <v>0</v>
      </c>
      <c r="AK189" s="25">
        <f>AK190+AK191</f>
        <v>0</v>
      </c>
      <c r="AL189" s="25">
        <v>0</v>
      </c>
      <c r="AM189" s="25">
        <f t="shared" si="20"/>
        <v>0</v>
      </c>
      <c r="AN189" s="25">
        <f t="shared" si="17"/>
        <v>0</v>
      </c>
      <c r="AO189" s="3" t="s">
        <v>1435</v>
      </c>
    </row>
    <row r="190" spans="1:41" ht="31.5" customHeight="1" x14ac:dyDescent="0.25">
      <c r="A190" s="9" t="s">
        <v>74</v>
      </c>
      <c r="B190" s="10" t="s">
        <v>75</v>
      </c>
      <c r="C190" s="23" t="s">
        <v>48</v>
      </c>
      <c r="D190" s="36" t="s">
        <v>1435</v>
      </c>
      <c r="E190" s="24" t="s">
        <v>1435</v>
      </c>
      <c r="F190" s="24" t="s">
        <v>1435</v>
      </c>
      <c r="G190" s="24" t="s">
        <v>1435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f t="shared" si="20"/>
        <v>0</v>
      </c>
      <c r="AN190" s="25">
        <f t="shared" si="17"/>
        <v>0</v>
      </c>
      <c r="AO190" s="3" t="s">
        <v>1435</v>
      </c>
    </row>
    <row r="191" spans="1:41" ht="31.5" customHeight="1" x14ac:dyDescent="0.25">
      <c r="A191" s="9" t="s">
        <v>76</v>
      </c>
      <c r="B191" s="10" t="s">
        <v>77</v>
      </c>
      <c r="C191" s="23" t="s">
        <v>48</v>
      </c>
      <c r="D191" s="36" t="s">
        <v>1435</v>
      </c>
      <c r="E191" s="24" t="s">
        <v>1435</v>
      </c>
      <c r="F191" s="24" t="s">
        <v>1435</v>
      </c>
      <c r="G191" s="24" t="s">
        <v>1435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f t="shared" si="20"/>
        <v>0</v>
      </c>
      <c r="AN191" s="25">
        <f t="shared" si="17"/>
        <v>0</v>
      </c>
      <c r="AO191" s="3" t="s">
        <v>1435</v>
      </c>
    </row>
    <row r="192" spans="1:41" ht="31.5" customHeight="1" x14ac:dyDescent="0.25">
      <c r="A192" s="9" t="s">
        <v>78</v>
      </c>
      <c r="B192" s="10" t="s">
        <v>79</v>
      </c>
      <c r="C192" s="23" t="s">
        <v>48</v>
      </c>
      <c r="D192" s="36" t="s">
        <v>1435</v>
      </c>
      <c r="E192" s="24" t="s">
        <v>1435</v>
      </c>
      <c r="F192" s="24" t="s">
        <v>1435</v>
      </c>
      <c r="G192" s="24" t="s">
        <v>1435</v>
      </c>
      <c r="H192" s="25">
        <f>H193+H197</f>
        <v>0</v>
      </c>
      <c r="I192" s="25">
        <f>I193+I197</f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f>U193+U197</f>
        <v>0</v>
      </c>
      <c r="V192" s="25">
        <v>0</v>
      </c>
      <c r="W192" s="25">
        <f>W193+W197</f>
        <v>0</v>
      </c>
      <c r="X192" s="25">
        <f>AG192+AI192+AK192</f>
        <v>0</v>
      </c>
      <c r="Y192" s="25">
        <f>Y193+Y197</f>
        <v>0</v>
      </c>
      <c r="Z192" s="25">
        <f t="shared" si="18"/>
        <v>0</v>
      </c>
      <c r="AA192" s="25">
        <v>0</v>
      </c>
      <c r="AB192" s="26">
        <v>0</v>
      </c>
      <c r="AC192" s="25">
        <v>0</v>
      </c>
      <c r="AD192" s="26">
        <f>AD193+AD197</f>
        <v>0</v>
      </c>
      <c r="AE192" s="25">
        <f>AE193+AE197</f>
        <v>0</v>
      </c>
      <c r="AF192" s="26">
        <f>AF193+AF197</f>
        <v>0</v>
      </c>
      <c r="AG192" s="25">
        <v>0</v>
      </c>
      <c r="AH192" s="26">
        <f>AH193+AH197</f>
        <v>0</v>
      </c>
      <c r="AI192" s="25">
        <f>AI193+AI197</f>
        <v>0</v>
      </c>
      <c r="AJ192" s="25">
        <v>0</v>
      </c>
      <c r="AK192" s="25">
        <f>AK193+AK197</f>
        <v>0</v>
      </c>
      <c r="AL192" s="25">
        <v>0</v>
      </c>
      <c r="AM192" s="25">
        <f t="shared" si="20"/>
        <v>0</v>
      </c>
      <c r="AN192" s="25">
        <f t="shared" si="17"/>
        <v>0</v>
      </c>
      <c r="AO192" s="3" t="s">
        <v>1435</v>
      </c>
    </row>
    <row r="193" spans="1:41" ht="31.5" customHeight="1" x14ac:dyDescent="0.25">
      <c r="A193" s="9" t="s">
        <v>380</v>
      </c>
      <c r="B193" s="10" t="s">
        <v>381</v>
      </c>
      <c r="C193" s="23" t="s">
        <v>48</v>
      </c>
      <c r="D193" s="36" t="s">
        <v>1435</v>
      </c>
      <c r="E193" s="24" t="s">
        <v>1435</v>
      </c>
      <c r="F193" s="24" t="s">
        <v>1435</v>
      </c>
      <c r="G193" s="24" t="s">
        <v>1435</v>
      </c>
      <c r="H193" s="25">
        <f>H194+H195+H196</f>
        <v>0</v>
      </c>
      <c r="I193" s="25">
        <f>I194+I195+I196</f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f>U194+U195+U196</f>
        <v>0</v>
      </c>
      <c r="V193" s="25">
        <v>0</v>
      </c>
      <c r="W193" s="25">
        <f>W194+W195+W196</f>
        <v>0</v>
      </c>
      <c r="X193" s="25">
        <f>AG193+AI193+AK193</f>
        <v>0</v>
      </c>
      <c r="Y193" s="25">
        <f>Y194+Y195+Y196</f>
        <v>0</v>
      </c>
      <c r="Z193" s="25">
        <f t="shared" si="18"/>
        <v>0</v>
      </c>
      <c r="AA193" s="25">
        <v>0</v>
      </c>
      <c r="AB193" s="26">
        <v>0</v>
      </c>
      <c r="AC193" s="25">
        <v>0</v>
      </c>
      <c r="AD193" s="26">
        <f>AD194+AD195+AD196</f>
        <v>0</v>
      </c>
      <c r="AE193" s="25">
        <f>AE194+AE195+AE196</f>
        <v>0</v>
      </c>
      <c r="AF193" s="26">
        <f>AF194+AF195+AF196</f>
        <v>0</v>
      </c>
      <c r="AG193" s="25">
        <v>0</v>
      </c>
      <c r="AH193" s="26">
        <f>AH194+AH195+AH196</f>
        <v>0</v>
      </c>
      <c r="AI193" s="25">
        <f>AI194+AI195+AI196</f>
        <v>0</v>
      </c>
      <c r="AJ193" s="25">
        <v>0</v>
      </c>
      <c r="AK193" s="25">
        <f>AK194+AK195+AK196</f>
        <v>0</v>
      </c>
      <c r="AL193" s="25">
        <v>0</v>
      </c>
      <c r="AM193" s="25">
        <f t="shared" si="20"/>
        <v>0</v>
      </c>
      <c r="AN193" s="25">
        <f t="shared" si="17"/>
        <v>0</v>
      </c>
      <c r="AO193" s="3" t="s">
        <v>1435</v>
      </c>
    </row>
    <row r="194" spans="1:41" ht="31.5" customHeight="1" x14ac:dyDescent="0.25">
      <c r="A194" s="9" t="s">
        <v>380</v>
      </c>
      <c r="B194" s="10" t="s">
        <v>382</v>
      </c>
      <c r="C194" s="23" t="s">
        <v>48</v>
      </c>
      <c r="D194" s="36" t="s">
        <v>1435</v>
      </c>
      <c r="E194" s="24" t="s">
        <v>1435</v>
      </c>
      <c r="F194" s="24" t="s">
        <v>1435</v>
      </c>
      <c r="G194" s="24" t="s">
        <v>1435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f t="shared" si="20"/>
        <v>0</v>
      </c>
      <c r="AN194" s="25">
        <f t="shared" si="17"/>
        <v>0</v>
      </c>
      <c r="AO194" s="3" t="s">
        <v>1435</v>
      </c>
    </row>
    <row r="195" spans="1:41" ht="31.5" customHeight="1" x14ac:dyDescent="0.25">
      <c r="A195" s="9" t="s">
        <v>380</v>
      </c>
      <c r="B195" s="10" t="s">
        <v>383</v>
      </c>
      <c r="C195" s="23" t="s">
        <v>48</v>
      </c>
      <c r="D195" s="36" t="s">
        <v>1435</v>
      </c>
      <c r="E195" s="24" t="s">
        <v>1435</v>
      </c>
      <c r="F195" s="24" t="s">
        <v>1435</v>
      </c>
      <c r="G195" s="24" t="s">
        <v>1435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f t="shared" si="20"/>
        <v>0</v>
      </c>
      <c r="AN195" s="25">
        <f t="shared" si="17"/>
        <v>0</v>
      </c>
      <c r="AO195" s="3" t="s">
        <v>1435</v>
      </c>
    </row>
    <row r="196" spans="1:41" ht="31.5" customHeight="1" x14ac:dyDescent="0.25">
      <c r="A196" s="9" t="s">
        <v>380</v>
      </c>
      <c r="B196" s="10" t="s">
        <v>384</v>
      </c>
      <c r="C196" s="23" t="s">
        <v>48</v>
      </c>
      <c r="D196" s="36" t="s">
        <v>1435</v>
      </c>
      <c r="E196" s="24" t="s">
        <v>1435</v>
      </c>
      <c r="F196" s="24" t="s">
        <v>1435</v>
      </c>
      <c r="G196" s="24" t="s">
        <v>1435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f t="shared" si="20"/>
        <v>0</v>
      </c>
      <c r="AN196" s="25">
        <f t="shared" si="17"/>
        <v>0</v>
      </c>
      <c r="AO196" s="3" t="s">
        <v>1435</v>
      </c>
    </row>
    <row r="197" spans="1:41" ht="31.5" customHeight="1" x14ac:dyDescent="0.25">
      <c r="A197" s="9" t="s">
        <v>385</v>
      </c>
      <c r="B197" s="10" t="s">
        <v>381</v>
      </c>
      <c r="C197" s="23" t="s">
        <v>48</v>
      </c>
      <c r="D197" s="36" t="s">
        <v>1435</v>
      </c>
      <c r="E197" s="24" t="s">
        <v>1435</v>
      </c>
      <c r="F197" s="24" t="s">
        <v>1435</v>
      </c>
      <c r="G197" s="24" t="s">
        <v>1435</v>
      </c>
      <c r="H197" s="25">
        <f>H198+H199+H200</f>
        <v>0</v>
      </c>
      <c r="I197" s="25">
        <f>I198+I199+I200</f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f>U198+U199+U200</f>
        <v>0</v>
      </c>
      <c r="V197" s="25">
        <v>0</v>
      </c>
      <c r="W197" s="25">
        <f>W198+W199+W200</f>
        <v>0</v>
      </c>
      <c r="X197" s="25">
        <f>AG197+AI197+AK197</f>
        <v>0</v>
      </c>
      <c r="Y197" s="25">
        <f>Y198+Y199+Y200</f>
        <v>0</v>
      </c>
      <c r="Z197" s="25">
        <f t="shared" si="18"/>
        <v>0</v>
      </c>
      <c r="AA197" s="25">
        <v>0</v>
      </c>
      <c r="AB197" s="26">
        <v>0</v>
      </c>
      <c r="AC197" s="25">
        <v>0</v>
      </c>
      <c r="AD197" s="26">
        <f>AD198+AD199+AD200</f>
        <v>0</v>
      </c>
      <c r="AE197" s="25">
        <f>AE198+AE199+AE200</f>
        <v>0</v>
      </c>
      <c r="AF197" s="26">
        <f>AF198+AF199+AF200</f>
        <v>0</v>
      </c>
      <c r="AG197" s="25">
        <v>0</v>
      </c>
      <c r="AH197" s="26">
        <f>AH198+AH199+AH200</f>
        <v>0</v>
      </c>
      <c r="AI197" s="25">
        <f>AI198+AI199+AI200</f>
        <v>0</v>
      </c>
      <c r="AJ197" s="25">
        <v>0</v>
      </c>
      <c r="AK197" s="25">
        <f>AK198+AK199+AK200</f>
        <v>0</v>
      </c>
      <c r="AL197" s="25">
        <v>0</v>
      </c>
      <c r="AM197" s="25">
        <f t="shared" si="20"/>
        <v>0</v>
      </c>
      <c r="AN197" s="25">
        <f t="shared" si="17"/>
        <v>0</v>
      </c>
      <c r="AO197" s="3" t="s">
        <v>1435</v>
      </c>
    </row>
    <row r="198" spans="1:41" ht="31.5" customHeight="1" x14ac:dyDescent="0.25">
      <c r="A198" s="9" t="s">
        <v>385</v>
      </c>
      <c r="B198" s="10" t="s">
        <v>382</v>
      </c>
      <c r="C198" s="23" t="s">
        <v>48</v>
      </c>
      <c r="D198" s="36" t="s">
        <v>1435</v>
      </c>
      <c r="E198" s="24" t="s">
        <v>1435</v>
      </c>
      <c r="F198" s="24" t="s">
        <v>1435</v>
      </c>
      <c r="G198" s="24" t="s">
        <v>1435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f t="shared" si="20"/>
        <v>0</v>
      </c>
      <c r="AN198" s="25">
        <f t="shared" si="17"/>
        <v>0</v>
      </c>
      <c r="AO198" s="3" t="s">
        <v>1435</v>
      </c>
    </row>
    <row r="199" spans="1:41" ht="31.5" customHeight="1" x14ac:dyDescent="0.25">
      <c r="A199" s="9" t="s">
        <v>385</v>
      </c>
      <c r="B199" s="10" t="s">
        <v>383</v>
      </c>
      <c r="C199" s="23" t="s">
        <v>48</v>
      </c>
      <c r="D199" s="36" t="s">
        <v>1435</v>
      </c>
      <c r="E199" s="24" t="s">
        <v>1435</v>
      </c>
      <c r="F199" s="24" t="s">
        <v>1435</v>
      </c>
      <c r="G199" s="24" t="s">
        <v>1435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f t="shared" si="20"/>
        <v>0</v>
      </c>
      <c r="AN199" s="25">
        <f t="shared" si="17"/>
        <v>0</v>
      </c>
      <c r="AO199" s="3" t="s">
        <v>1435</v>
      </c>
    </row>
    <row r="200" spans="1:41" ht="31.5" customHeight="1" x14ac:dyDescent="0.25">
      <c r="A200" s="9" t="s">
        <v>385</v>
      </c>
      <c r="B200" s="10" t="s">
        <v>386</v>
      </c>
      <c r="C200" s="23" t="s">
        <v>48</v>
      </c>
      <c r="D200" s="36" t="s">
        <v>1435</v>
      </c>
      <c r="E200" s="24" t="s">
        <v>1435</v>
      </c>
      <c r="F200" s="24" t="s">
        <v>1435</v>
      </c>
      <c r="G200" s="24" t="s">
        <v>1435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f t="shared" si="20"/>
        <v>0</v>
      </c>
      <c r="AN200" s="25">
        <f t="shared" si="17"/>
        <v>0</v>
      </c>
      <c r="AO200" s="3" t="s">
        <v>1435</v>
      </c>
    </row>
    <row r="201" spans="1:41" ht="31.5" customHeight="1" x14ac:dyDescent="0.25">
      <c r="A201" s="9" t="s">
        <v>80</v>
      </c>
      <c r="B201" s="10" t="s">
        <v>81</v>
      </c>
      <c r="C201" s="23" t="s">
        <v>48</v>
      </c>
      <c r="D201" s="36" t="s">
        <v>1435</v>
      </c>
      <c r="E201" s="24" t="s">
        <v>1435</v>
      </c>
      <c r="F201" s="24" t="s">
        <v>1435</v>
      </c>
      <c r="G201" s="24" t="s">
        <v>1435</v>
      </c>
      <c r="H201" s="25">
        <f>H202+H219</f>
        <v>2.0165944767291442</v>
      </c>
      <c r="I201" s="25">
        <f>I202+I219</f>
        <v>2.2331784288300836</v>
      </c>
      <c r="J201" s="25">
        <v>0</v>
      </c>
      <c r="K201" s="25">
        <v>14.479148342915256</v>
      </c>
      <c r="L201" s="25">
        <v>0.71521659999999998</v>
      </c>
      <c r="M201" s="25">
        <v>6.6177411180000005</v>
      </c>
      <c r="N201" s="25">
        <v>7.1445969000000007</v>
      </c>
      <c r="O201" s="25">
        <v>0</v>
      </c>
      <c r="P201" s="25">
        <v>16.034221119000001</v>
      </c>
      <c r="Q201" s="25">
        <v>0.66486475</v>
      </c>
      <c r="R201" s="25">
        <v>6.7361261390000005</v>
      </c>
      <c r="S201" s="25">
        <v>8.6319191800000006</v>
      </c>
      <c r="T201" s="25">
        <v>0</v>
      </c>
      <c r="U201" s="25">
        <f>U202+U219</f>
        <v>2.0165944767291442</v>
      </c>
      <c r="V201" s="25">
        <v>14.479148342915256</v>
      </c>
      <c r="W201" s="25">
        <f>W202+W219</f>
        <v>8.5286736629526461E-2</v>
      </c>
      <c r="X201" s="25">
        <f t="shared" ref="X201:X264" si="21">AG201+AI201+AK201</f>
        <v>0.61235876899999997</v>
      </c>
      <c r="Y201" s="25">
        <f>Y202+Y219</f>
        <v>1.0757233062674096</v>
      </c>
      <c r="Z201" s="25">
        <f t="shared" ref="Z201:Z259" si="22">AH201</f>
        <v>7.7236933390000013</v>
      </c>
      <c r="AA201" s="25">
        <f t="shared" ref="AA201:AI201" si="23">AA202+AA219</f>
        <v>0</v>
      </c>
      <c r="AB201" s="26">
        <v>0</v>
      </c>
      <c r="AC201" s="25">
        <f>AC202+AC219</f>
        <v>0.85618400000000006</v>
      </c>
      <c r="AD201" s="26">
        <f>AD202+AD219</f>
        <v>2.8749838900000002</v>
      </c>
      <c r="AE201" s="25">
        <f t="shared" si="23"/>
        <v>5.2869122349152544</v>
      </c>
      <c r="AF201" s="26">
        <f t="shared" si="23"/>
        <v>5.4355438900000008</v>
      </c>
      <c r="AG201" s="25">
        <f t="shared" si="23"/>
        <v>0.61235876899999997</v>
      </c>
      <c r="AH201" s="26">
        <f t="shared" si="23"/>
        <v>7.7236933390000013</v>
      </c>
      <c r="AI201" s="25">
        <f t="shared" si="23"/>
        <v>0</v>
      </c>
      <c r="AJ201" s="25">
        <v>0</v>
      </c>
      <c r="AK201" s="25">
        <f>AK202+AK219</f>
        <v>0</v>
      </c>
      <c r="AL201" s="25">
        <v>0</v>
      </c>
      <c r="AM201" s="25">
        <f t="shared" si="20"/>
        <v>8.9228865490000011</v>
      </c>
      <c r="AN201" s="25">
        <f t="shared" si="17"/>
        <v>16.034221119000001</v>
      </c>
      <c r="AO201" s="3" t="s">
        <v>1435</v>
      </c>
    </row>
    <row r="202" spans="1:41" ht="31.5" customHeight="1" x14ac:dyDescent="0.25">
      <c r="A202" s="9" t="s">
        <v>82</v>
      </c>
      <c r="B202" s="10" t="s">
        <v>83</v>
      </c>
      <c r="C202" s="23" t="s">
        <v>48</v>
      </c>
      <c r="D202" s="36" t="s">
        <v>1435</v>
      </c>
      <c r="E202" s="24" t="s">
        <v>1435</v>
      </c>
      <c r="F202" s="24" t="s">
        <v>1435</v>
      </c>
      <c r="G202" s="24" t="s">
        <v>1435</v>
      </c>
      <c r="H202" s="25">
        <f>SUM(H203:H218)</f>
        <v>1.5200298437325908</v>
      </c>
      <c r="I202" s="25">
        <f>SUM(I203:I218)</f>
        <v>1.4484198633704737</v>
      </c>
      <c r="J202" s="25">
        <v>0</v>
      </c>
      <c r="K202" s="25">
        <v>10.913814278000002</v>
      </c>
      <c r="L202" s="25">
        <v>0.71521659999999998</v>
      </c>
      <c r="M202" s="25">
        <v>6.3112539180000002</v>
      </c>
      <c r="N202" s="25">
        <v>3.8873437600000003</v>
      </c>
      <c r="O202" s="25">
        <v>0</v>
      </c>
      <c r="P202" s="25">
        <v>10.399654619000003</v>
      </c>
      <c r="Q202" s="25">
        <v>0.66486475</v>
      </c>
      <c r="R202" s="25">
        <v>6.1432943689999995</v>
      </c>
      <c r="S202" s="25">
        <v>3.5914954999999997</v>
      </c>
      <c r="T202" s="25">
        <v>0</v>
      </c>
      <c r="U202" s="25">
        <f>SUM(U203:U218)</f>
        <v>1.5200298437325908</v>
      </c>
      <c r="V202" s="25">
        <v>10.913814278000002</v>
      </c>
      <c r="W202" s="25">
        <f>SUM(W203:W218)</f>
        <v>8.5286736629526461E-2</v>
      </c>
      <c r="X202" s="25">
        <f t="shared" si="21"/>
        <v>0.61235876899999997</v>
      </c>
      <c r="Y202" s="25">
        <f>SUM(Y203:Y218)</f>
        <v>0.74437653328690812</v>
      </c>
      <c r="Z202" s="25">
        <f t="shared" si="22"/>
        <v>5.3446235090000016</v>
      </c>
      <c r="AA202" s="25">
        <f>SUM(AA203:AA212)</f>
        <v>0</v>
      </c>
      <c r="AB202" s="26">
        <v>0</v>
      </c>
      <c r="AC202" s="25">
        <f>SUM(AC203:AC212)</f>
        <v>0</v>
      </c>
      <c r="AD202" s="26">
        <f>SUM(AD203:AD212)</f>
        <v>0</v>
      </c>
      <c r="AE202" s="25">
        <f>SUM(AE203:AE212)</f>
        <v>4.9568320000000003</v>
      </c>
      <c r="AF202" s="26">
        <f>SUM(AF203:AF218)</f>
        <v>5.0550311100000007</v>
      </c>
      <c r="AG202" s="25">
        <f>0.72258334742/1.18</f>
        <v>0.61235876899999997</v>
      </c>
      <c r="AH202" s="26">
        <f>SUM(AH203:AH218)</f>
        <v>5.3446235090000016</v>
      </c>
      <c r="AI202" s="25">
        <f>SUM(AI203:AI218)</f>
        <v>0</v>
      </c>
      <c r="AJ202" s="25">
        <v>0</v>
      </c>
      <c r="AK202" s="25">
        <f>SUM(AK203:AK218)</f>
        <v>0</v>
      </c>
      <c r="AL202" s="25">
        <v>0</v>
      </c>
      <c r="AM202" s="25">
        <f t="shared" si="20"/>
        <v>5.6673898790000008</v>
      </c>
      <c r="AN202" s="25">
        <f t="shared" si="17"/>
        <v>10.399654619000003</v>
      </c>
      <c r="AO202" s="3" t="s">
        <v>1435</v>
      </c>
    </row>
    <row r="203" spans="1:41" ht="31.5" customHeight="1" x14ac:dyDescent="0.25">
      <c r="A203" s="8" t="s">
        <v>82</v>
      </c>
      <c r="B203" s="39" t="s">
        <v>387</v>
      </c>
      <c r="C203" s="29" t="s">
        <v>388</v>
      </c>
      <c r="D203" s="38" t="s">
        <v>1481</v>
      </c>
      <c r="E203" s="30">
        <v>2016</v>
      </c>
      <c r="F203" s="30">
        <v>2016</v>
      </c>
      <c r="G203" s="30" t="s">
        <v>1435</v>
      </c>
      <c r="H203" s="27">
        <v>4.0853481894150424E-2</v>
      </c>
      <c r="I203" s="27">
        <v>4.0853675487465185E-2</v>
      </c>
      <c r="J203" s="27">
        <v>0</v>
      </c>
      <c r="K203" s="27">
        <v>0.29332800000000003</v>
      </c>
      <c r="L203" s="27">
        <v>8.8420000000000009E-3</v>
      </c>
      <c r="M203" s="27">
        <v>0.17441300000000001</v>
      </c>
      <c r="N203" s="27">
        <v>0.11007299999999999</v>
      </c>
      <c r="O203" s="27">
        <v>0</v>
      </c>
      <c r="P203" s="27">
        <v>0.29332939000000002</v>
      </c>
      <c r="Q203" s="27">
        <v>8.842909999999999E-3</v>
      </c>
      <c r="R203" s="27">
        <v>0.17441410999999998</v>
      </c>
      <c r="S203" s="27">
        <v>0.11007237</v>
      </c>
      <c r="T203" s="27">
        <v>0</v>
      </c>
      <c r="U203" s="27">
        <v>4.0853481894150424E-2</v>
      </c>
      <c r="V203" s="27">
        <v>0.29332800000000003</v>
      </c>
      <c r="W203" s="27">
        <v>0</v>
      </c>
      <c r="X203" s="27">
        <f t="shared" si="21"/>
        <v>0</v>
      </c>
      <c r="Y203" s="27">
        <v>0</v>
      </c>
      <c r="Z203" s="27">
        <f t="shared" si="22"/>
        <v>0</v>
      </c>
      <c r="AA203" s="27">
        <v>0</v>
      </c>
      <c r="AB203" s="28">
        <v>0</v>
      </c>
      <c r="AC203" s="27">
        <v>0</v>
      </c>
      <c r="AD203" s="28">
        <v>0</v>
      </c>
      <c r="AE203" s="27">
        <f>0.34612704/1.18</f>
        <v>0.29332800000000003</v>
      </c>
      <c r="AF203" s="28">
        <f>0.3461286802/1.18</f>
        <v>0.29332939000000002</v>
      </c>
      <c r="AG203" s="27">
        <v>0</v>
      </c>
      <c r="AH203" s="28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f t="shared" si="20"/>
        <v>0.29332939000000002</v>
      </c>
      <c r="AN203" s="27">
        <f t="shared" si="17"/>
        <v>0.29332939000000002</v>
      </c>
      <c r="AO203" s="34" t="s">
        <v>1435</v>
      </c>
    </row>
    <row r="204" spans="1:41" ht="31.5" customHeight="1" x14ac:dyDescent="0.25">
      <c r="A204" s="8" t="s">
        <v>82</v>
      </c>
      <c r="B204" s="39" t="s">
        <v>389</v>
      </c>
      <c r="C204" s="29" t="s">
        <v>390</v>
      </c>
      <c r="D204" s="38" t="s">
        <v>1481</v>
      </c>
      <c r="E204" s="30">
        <v>2016</v>
      </c>
      <c r="F204" s="30">
        <v>2016</v>
      </c>
      <c r="G204" s="30" t="s">
        <v>1435</v>
      </c>
      <c r="H204" s="27">
        <v>4.1056128133704739E-2</v>
      </c>
      <c r="I204" s="27">
        <v>4.1056289693593317E-2</v>
      </c>
      <c r="J204" s="27">
        <v>0</v>
      </c>
      <c r="K204" s="27">
        <v>0.29478300000000002</v>
      </c>
      <c r="L204" s="27">
        <v>1.0897E-2</v>
      </c>
      <c r="M204" s="27">
        <v>0.193247</v>
      </c>
      <c r="N204" s="27">
        <v>9.0638999999999997E-2</v>
      </c>
      <c r="O204" s="27">
        <v>0</v>
      </c>
      <c r="P204" s="27">
        <v>0.29478416000000002</v>
      </c>
      <c r="Q204" s="27">
        <v>1.0895120000000001E-2</v>
      </c>
      <c r="R204" s="27">
        <v>0.19325169</v>
      </c>
      <c r="S204" s="27">
        <v>9.0637349999999992E-2</v>
      </c>
      <c r="T204" s="27">
        <v>0</v>
      </c>
      <c r="U204" s="27">
        <v>4.1056128133704739E-2</v>
      </c>
      <c r="V204" s="27">
        <v>0.29478300000000002</v>
      </c>
      <c r="W204" s="27">
        <v>0</v>
      </c>
      <c r="X204" s="27">
        <f t="shared" si="21"/>
        <v>0</v>
      </c>
      <c r="Y204" s="27">
        <v>0</v>
      </c>
      <c r="Z204" s="27">
        <f t="shared" si="22"/>
        <v>0</v>
      </c>
      <c r="AA204" s="27">
        <v>0</v>
      </c>
      <c r="AB204" s="28">
        <v>0</v>
      </c>
      <c r="AC204" s="27">
        <v>0</v>
      </c>
      <c r="AD204" s="28">
        <v>0</v>
      </c>
      <c r="AE204" s="27">
        <f>0.34784394/1.18</f>
        <v>0.29478300000000002</v>
      </c>
      <c r="AF204" s="28">
        <f>0.3478453088/1.18</f>
        <v>0.29478416000000002</v>
      </c>
      <c r="AG204" s="27">
        <v>0</v>
      </c>
      <c r="AH204" s="28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f t="shared" si="20"/>
        <v>0.29478416000000002</v>
      </c>
      <c r="AN204" s="27">
        <f t="shared" si="17"/>
        <v>0.29478416000000002</v>
      </c>
      <c r="AO204" s="34" t="s">
        <v>1435</v>
      </c>
    </row>
    <row r="205" spans="1:41" ht="31.5" customHeight="1" x14ac:dyDescent="0.25">
      <c r="A205" s="8" t="s">
        <v>82</v>
      </c>
      <c r="B205" s="39" t="s">
        <v>391</v>
      </c>
      <c r="C205" s="29" t="s">
        <v>392</v>
      </c>
      <c r="D205" s="38" t="s">
        <v>1481</v>
      </c>
      <c r="E205" s="30">
        <v>2016</v>
      </c>
      <c r="F205" s="30">
        <v>2016</v>
      </c>
      <c r="G205" s="30" t="s">
        <v>1435</v>
      </c>
      <c r="H205" s="27">
        <v>1.7907381615598891E-2</v>
      </c>
      <c r="I205" s="27">
        <v>1.7906977715877442E-2</v>
      </c>
      <c r="J205" s="27">
        <v>0</v>
      </c>
      <c r="K205" s="27">
        <v>0.12857500000000002</v>
      </c>
      <c r="L205" s="27">
        <v>7.9400000000000009E-3</v>
      </c>
      <c r="M205" s="27">
        <v>7.2776999999999994E-2</v>
      </c>
      <c r="N205" s="27">
        <v>4.7857999999999998E-2</v>
      </c>
      <c r="O205" s="27">
        <v>0</v>
      </c>
      <c r="P205" s="27">
        <v>0.12857210000000002</v>
      </c>
      <c r="Q205" s="27">
        <v>7.9445699999999998E-3</v>
      </c>
      <c r="R205" s="27">
        <v>7.2764030000000007E-2</v>
      </c>
      <c r="S205" s="27">
        <v>4.7863500000000003E-2</v>
      </c>
      <c r="T205" s="27">
        <v>0</v>
      </c>
      <c r="U205" s="27">
        <v>1.7907381615598891E-2</v>
      </c>
      <c r="V205" s="27">
        <v>0.12857500000000002</v>
      </c>
      <c r="W205" s="27">
        <v>0</v>
      </c>
      <c r="X205" s="27">
        <f t="shared" si="21"/>
        <v>0</v>
      </c>
      <c r="Y205" s="27">
        <v>0</v>
      </c>
      <c r="Z205" s="27">
        <f t="shared" si="22"/>
        <v>0</v>
      </c>
      <c r="AA205" s="27">
        <v>0</v>
      </c>
      <c r="AB205" s="28">
        <v>0</v>
      </c>
      <c r="AC205" s="27">
        <v>0</v>
      </c>
      <c r="AD205" s="28">
        <v>0</v>
      </c>
      <c r="AE205" s="27">
        <f>0.1517185/1.18</f>
        <v>0.12857500000000002</v>
      </c>
      <c r="AF205" s="28">
        <f>0.151715078/1.18</f>
        <v>0.12857210000000002</v>
      </c>
      <c r="AG205" s="27">
        <v>0</v>
      </c>
      <c r="AH205" s="28">
        <v>0</v>
      </c>
      <c r="AI205" s="27">
        <v>0</v>
      </c>
      <c r="AJ205" s="27">
        <v>0</v>
      </c>
      <c r="AK205" s="27">
        <v>0</v>
      </c>
      <c r="AL205" s="27">
        <v>0</v>
      </c>
      <c r="AM205" s="27">
        <f t="shared" si="20"/>
        <v>0.12857210000000002</v>
      </c>
      <c r="AN205" s="27">
        <f t="shared" si="17"/>
        <v>0.12857210000000002</v>
      </c>
      <c r="AO205" s="34" t="s">
        <v>1435</v>
      </c>
    </row>
    <row r="206" spans="1:41" ht="31.5" customHeight="1" x14ac:dyDescent="0.25">
      <c r="A206" s="8" t="s">
        <v>82</v>
      </c>
      <c r="B206" s="39" t="s">
        <v>393</v>
      </c>
      <c r="C206" s="29" t="s">
        <v>394</v>
      </c>
      <c r="D206" s="38" t="s">
        <v>1481</v>
      </c>
      <c r="E206" s="30">
        <v>2016</v>
      </c>
      <c r="F206" s="30">
        <v>2016</v>
      </c>
      <c r="G206" s="30" t="s">
        <v>1435</v>
      </c>
      <c r="H206" s="27">
        <v>3.3295682451253486E-2</v>
      </c>
      <c r="I206" s="27">
        <v>3.3295449860724233E-2</v>
      </c>
      <c r="J206" s="27">
        <v>0</v>
      </c>
      <c r="K206" s="27">
        <v>0.23906300000000003</v>
      </c>
      <c r="L206" s="27">
        <v>1.6140000000000002E-2</v>
      </c>
      <c r="M206" s="27">
        <v>9.648000000000001E-2</v>
      </c>
      <c r="N206" s="27">
        <v>0.126443</v>
      </c>
      <c r="O206" s="27">
        <v>0</v>
      </c>
      <c r="P206" s="27">
        <v>0.23906132999999999</v>
      </c>
      <c r="Q206" s="27">
        <v>1.6138459999999997E-2</v>
      </c>
      <c r="R206" s="27">
        <v>9.6478380000000002E-2</v>
      </c>
      <c r="S206" s="27">
        <v>0.12644448999999999</v>
      </c>
      <c r="T206" s="27">
        <v>0</v>
      </c>
      <c r="U206" s="27">
        <v>3.3295682451253486E-2</v>
      </c>
      <c r="V206" s="27">
        <v>0.23906300000000003</v>
      </c>
      <c r="W206" s="27">
        <v>0</v>
      </c>
      <c r="X206" s="27">
        <f t="shared" si="21"/>
        <v>0</v>
      </c>
      <c r="Y206" s="27">
        <v>0</v>
      </c>
      <c r="Z206" s="27">
        <f t="shared" si="22"/>
        <v>0</v>
      </c>
      <c r="AA206" s="27">
        <v>0</v>
      </c>
      <c r="AB206" s="28">
        <v>0</v>
      </c>
      <c r="AC206" s="27">
        <v>0</v>
      </c>
      <c r="AD206" s="28">
        <v>0</v>
      </c>
      <c r="AE206" s="27">
        <f>0.28209434/1.18</f>
        <v>0.23906300000000003</v>
      </c>
      <c r="AF206" s="28">
        <f>0.2820923694/1.18</f>
        <v>0.23906132999999999</v>
      </c>
      <c r="AG206" s="27">
        <v>0</v>
      </c>
      <c r="AH206" s="28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f t="shared" si="20"/>
        <v>0.23906132999999999</v>
      </c>
      <c r="AN206" s="27">
        <f t="shared" si="17"/>
        <v>0.23906132999999999</v>
      </c>
      <c r="AO206" s="34" t="s">
        <v>1435</v>
      </c>
    </row>
    <row r="207" spans="1:41" ht="31.5" customHeight="1" x14ac:dyDescent="0.25">
      <c r="A207" s="8" t="s">
        <v>82</v>
      </c>
      <c r="B207" s="39" t="s">
        <v>395</v>
      </c>
      <c r="C207" s="29" t="s">
        <v>396</v>
      </c>
      <c r="D207" s="38" t="s">
        <v>1481</v>
      </c>
      <c r="E207" s="30">
        <v>2016</v>
      </c>
      <c r="F207" s="30">
        <v>2016</v>
      </c>
      <c r="G207" s="30" t="s">
        <v>1435</v>
      </c>
      <c r="H207" s="27">
        <v>3.4441643454039002E-2</v>
      </c>
      <c r="I207" s="27">
        <v>3.4441789693593315E-2</v>
      </c>
      <c r="J207" s="27">
        <v>0</v>
      </c>
      <c r="K207" s="27">
        <v>0.24729100000000001</v>
      </c>
      <c r="L207" s="27">
        <v>1.4282999999999999E-2</v>
      </c>
      <c r="M207" s="27">
        <v>0.10918699999999999</v>
      </c>
      <c r="N207" s="27">
        <v>0.123821</v>
      </c>
      <c r="O207" s="27">
        <v>0</v>
      </c>
      <c r="P207" s="27">
        <v>0.24729205000000001</v>
      </c>
      <c r="Q207" s="27">
        <v>1.428171E-2</v>
      </c>
      <c r="R207" s="27">
        <v>0.12381851000000001</v>
      </c>
      <c r="S207" s="27">
        <v>0.10919182999999999</v>
      </c>
      <c r="T207" s="27">
        <v>0</v>
      </c>
      <c r="U207" s="27">
        <v>3.4441643454039002E-2</v>
      </c>
      <c r="V207" s="27">
        <v>0.24729100000000001</v>
      </c>
      <c r="W207" s="27">
        <v>0</v>
      </c>
      <c r="X207" s="27">
        <f t="shared" si="21"/>
        <v>0</v>
      </c>
      <c r="Y207" s="27">
        <v>0</v>
      </c>
      <c r="Z207" s="27">
        <f t="shared" si="22"/>
        <v>0</v>
      </c>
      <c r="AA207" s="27">
        <v>0</v>
      </c>
      <c r="AB207" s="28">
        <v>0</v>
      </c>
      <c r="AC207" s="27">
        <v>0</v>
      </c>
      <c r="AD207" s="28">
        <v>0</v>
      </c>
      <c r="AE207" s="27">
        <f>0.29180338/1.18</f>
        <v>0.24729100000000001</v>
      </c>
      <c r="AF207" s="28">
        <f>0.291804619/1.18</f>
        <v>0.24729205000000001</v>
      </c>
      <c r="AG207" s="27">
        <v>0</v>
      </c>
      <c r="AH207" s="28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f t="shared" si="20"/>
        <v>0.24729205000000001</v>
      </c>
      <c r="AN207" s="27">
        <f t="shared" si="17"/>
        <v>0.24729205000000001</v>
      </c>
      <c r="AO207" s="34" t="s">
        <v>1435</v>
      </c>
    </row>
    <row r="208" spans="1:41" ht="31.5" customHeight="1" x14ac:dyDescent="0.25">
      <c r="A208" s="8" t="s">
        <v>82</v>
      </c>
      <c r="B208" s="39" t="s">
        <v>397</v>
      </c>
      <c r="C208" s="29" t="s">
        <v>398</v>
      </c>
      <c r="D208" s="38" t="s">
        <v>1481</v>
      </c>
      <c r="E208" s="30">
        <v>2016</v>
      </c>
      <c r="F208" s="30">
        <v>2016</v>
      </c>
      <c r="G208" s="30" t="s">
        <v>1435</v>
      </c>
      <c r="H208" s="27">
        <v>3.8686211699164343E-2</v>
      </c>
      <c r="I208" s="27">
        <v>4.8884268802228417E-2</v>
      </c>
      <c r="J208" s="27">
        <v>0</v>
      </c>
      <c r="K208" s="27">
        <v>0.27776699999999999</v>
      </c>
      <c r="L208" s="27">
        <v>1.0447E-2</v>
      </c>
      <c r="M208" s="27">
        <v>0.127667</v>
      </c>
      <c r="N208" s="27">
        <v>0.139653</v>
      </c>
      <c r="O208" s="27">
        <v>0</v>
      </c>
      <c r="P208" s="27">
        <v>0.35098905000000002</v>
      </c>
      <c r="Q208" s="27">
        <v>1.0445119999999999E-2</v>
      </c>
      <c r="R208" s="27">
        <v>0.18170788999999998</v>
      </c>
      <c r="S208" s="27">
        <v>0.15883603999999998</v>
      </c>
      <c r="T208" s="27">
        <v>0</v>
      </c>
      <c r="U208" s="27">
        <v>3.8686211699164343E-2</v>
      </c>
      <c r="V208" s="27">
        <v>0.27776699999999999</v>
      </c>
      <c r="W208" s="27">
        <v>0</v>
      </c>
      <c r="X208" s="27">
        <f t="shared" si="21"/>
        <v>0</v>
      </c>
      <c r="Y208" s="27">
        <v>0</v>
      </c>
      <c r="Z208" s="27">
        <f t="shared" si="22"/>
        <v>0</v>
      </c>
      <c r="AA208" s="27">
        <v>0</v>
      </c>
      <c r="AB208" s="28">
        <v>0</v>
      </c>
      <c r="AC208" s="27">
        <v>0</v>
      </c>
      <c r="AD208" s="28">
        <v>0</v>
      </c>
      <c r="AE208" s="27">
        <f>0.32776506/1.18</f>
        <v>0.27776699999999999</v>
      </c>
      <c r="AF208" s="28">
        <f>0.414167079/1.18</f>
        <v>0.35098905000000002</v>
      </c>
      <c r="AG208" s="27">
        <v>0</v>
      </c>
      <c r="AH208" s="28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f t="shared" si="20"/>
        <v>0.35098905000000002</v>
      </c>
      <c r="AN208" s="27">
        <f t="shared" si="17"/>
        <v>0.35098905000000002</v>
      </c>
      <c r="AO208" s="35" t="s">
        <v>1486</v>
      </c>
    </row>
    <row r="209" spans="1:41" ht="31.5" customHeight="1" x14ac:dyDescent="0.25">
      <c r="A209" s="8" t="s">
        <v>82</v>
      </c>
      <c r="B209" s="39" t="s">
        <v>399</v>
      </c>
      <c r="C209" s="29" t="s">
        <v>400</v>
      </c>
      <c r="D209" s="38" t="s">
        <v>1481</v>
      </c>
      <c r="E209" s="30">
        <v>2016</v>
      </c>
      <c r="F209" s="30">
        <v>2016</v>
      </c>
      <c r="G209" s="30" t="s">
        <v>1435</v>
      </c>
      <c r="H209" s="27">
        <v>8.1342200557103075E-2</v>
      </c>
      <c r="I209" s="27">
        <v>9.4822841225626744E-2</v>
      </c>
      <c r="J209" s="27">
        <v>0</v>
      </c>
      <c r="K209" s="27">
        <v>0.58403700000000003</v>
      </c>
      <c r="L209" s="27">
        <v>2.0160000000000001E-2</v>
      </c>
      <c r="M209" s="27">
        <v>0.37644</v>
      </c>
      <c r="N209" s="27">
        <v>0.18743700000000002</v>
      </c>
      <c r="O209" s="27">
        <v>0</v>
      </c>
      <c r="P209" s="27">
        <v>0.68082799999999999</v>
      </c>
      <c r="Q209" s="27">
        <v>8.5673779999999991E-2</v>
      </c>
      <c r="R209" s="27">
        <v>0.41370217999999997</v>
      </c>
      <c r="S209" s="27">
        <v>0.18145204000000001</v>
      </c>
      <c r="T209" s="27">
        <v>0</v>
      </c>
      <c r="U209" s="27">
        <v>8.1342200557103075E-2</v>
      </c>
      <c r="V209" s="27">
        <v>0.58403700000000003</v>
      </c>
      <c r="W209" s="27">
        <v>0</v>
      </c>
      <c r="X209" s="27">
        <f t="shared" si="21"/>
        <v>0</v>
      </c>
      <c r="Y209" s="27">
        <v>0</v>
      </c>
      <c r="Z209" s="27">
        <f t="shared" si="22"/>
        <v>0</v>
      </c>
      <c r="AA209" s="27">
        <v>0</v>
      </c>
      <c r="AB209" s="28">
        <v>0</v>
      </c>
      <c r="AC209" s="27">
        <v>0</v>
      </c>
      <c r="AD209" s="28">
        <v>0</v>
      </c>
      <c r="AE209" s="27">
        <f>0.68916366/1.18</f>
        <v>0.58403700000000003</v>
      </c>
      <c r="AF209" s="28">
        <f>0.80337704/1.18</f>
        <v>0.68082799999999999</v>
      </c>
      <c r="AG209" s="27">
        <v>0</v>
      </c>
      <c r="AH209" s="28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f t="shared" si="20"/>
        <v>0.68082799999999999</v>
      </c>
      <c r="AN209" s="27">
        <f t="shared" si="17"/>
        <v>0.68082799999999999</v>
      </c>
      <c r="AO209" s="35" t="s">
        <v>1486</v>
      </c>
    </row>
    <row r="210" spans="1:41" ht="31.5" customHeight="1" x14ac:dyDescent="0.25">
      <c r="A210" s="8" t="s">
        <v>82</v>
      </c>
      <c r="B210" s="39" t="s">
        <v>401</v>
      </c>
      <c r="C210" s="29" t="s">
        <v>402</v>
      </c>
      <c r="D210" s="38" t="s">
        <v>1481</v>
      </c>
      <c r="E210" s="30">
        <v>2016</v>
      </c>
      <c r="F210" s="30">
        <v>2016</v>
      </c>
      <c r="G210" s="30" t="s">
        <v>1435</v>
      </c>
      <c r="H210" s="27">
        <v>0.3875048746518106</v>
      </c>
      <c r="I210" s="27">
        <v>0.37198254178272983</v>
      </c>
      <c r="J210" s="27">
        <v>0</v>
      </c>
      <c r="K210" s="27">
        <v>2.7822849999999999</v>
      </c>
      <c r="L210" s="27">
        <v>2.1246999999999999E-2</v>
      </c>
      <c r="M210" s="27">
        <v>1.83571</v>
      </c>
      <c r="N210" s="27">
        <v>0.92532799999999993</v>
      </c>
      <c r="O210" s="27">
        <v>0</v>
      </c>
      <c r="P210" s="27">
        <v>2.6708346500000002</v>
      </c>
      <c r="Q210" s="27">
        <v>1.9462779999999999E-2</v>
      </c>
      <c r="R210" s="27">
        <v>1.8420226900000001</v>
      </c>
      <c r="S210" s="27">
        <v>0.80934918</v>
      </c>
      <c r="T210" s="27">
        <v>0</v>
      </c>
      <c r="U210" s="27">
        <v>0.3875048746518106</v>
      </c>
      <c r="V210" s="27">
        <v>2.7822849999999999</v>
      </c>
      <c r="W210" s="27">
        <v>0</v>
      </c>
      <c r="X210" s="27">
        <f t="shared" si="21"/>
        <v>0</v>
      </c>
      <c r="Y210" s="27">
        <v>0</v>
      </c>
      <c r="Z210" s="27">
        <f t="shared" si="22"/>
        <v>0</v>
      </c>
      <c r="AA210" s="27">
        <v>0</v>
      </c>
      <c r="AB210" s="28">
        <v>0</v>
      </c>
      <c r="AC210" s="27">
        <v>0</v>
      </c>
      <c r="AD210" s="28">
        <v>0</v>
      </c>
      <c r="AE210" s="27">
        <f>3.2830963/1.18</f>
        <v>2.7822849999999999</v>
      </c>
      <c r="AF210" s="28">
        <f>3.151584887/1.18</f>
        <v>2.6708346500000002</v>
      </c>
      <c r="AG210" s="27">
        <v>0</v>
      </c>
      <c r="AH210" s="28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f t="shared" si="20"/>
        <v>2.6708346500000002</v>
      </c>
      <c r="AN210" s="27">
        <f t="shared" si="17"/>
        <v>2.6708346500000002</v>
      </c>
      <c r="AO210" s="35" t="s">
        <v>1486</v>
      </c>
    </row>
    <row r="211" spans="1:41" ht="31.5" customHeight="1" x14ac:dyDescent="0.25">
      <c r="A211" s="8" t="s">
        <v>82</v>
      </c>
      <c r="B211" s="39" t="s">
        <v>403</v>
      </c>
      <c r="C211" s="29" t="s">
        <v>404</v>
      </c>
      <c r="D211" s="38" t="s">
        <v>1481</v>
      </c>
      <c r="E211" s="30">
        <v>2016</v>
      </c>
      <c r="F211" s="30">
        <v>2016</v>
      </c>
      <c r="G211" s="30" t="s">
        <v>1435</v>
      </c>
      <c r="H211" s="27">
        <v>4.9126740947075219E-3</v>
      </c>
      <c r="I211" s="27">
        <v>4.9128384401114214E-3</v>
      </c>
      <c r="J211" s="27">
        <v>0</v>
      </c>
      <c r="K211" s="27">
        <v>3.5273000000000006E-2</v>
      </c>
      <c r="L211" s="27">
        <v>0</v>
      </c>
      <c r="M211" s="27">
        <v>2.1582999999999998E-2</v>
      </c>
      <c r="N211" s="27">
        <v>1.3689999999999999E-2</v>
      </c>
      <c r="O211" s="27">
        <v>0</v>
      </c>
      <c r="P211" s="27">
        <v>3.5274180000000002E-2</v>
      </c>
      <c r="Q211" s="27">
        <v>0</v>
      </c>
      <c r="R211" s="27">
        <v>2.1583110000000003E-2</v>
      </c>
      <c r="S211" s="27">
        <v>1.369107E-2</v>
      </c>
      <c r="T211" s="27">
        <v>0</v>
      </c>
      <c r="U211" s="27">
        <v>4.9126740947075219E-3</v>
      </c>
      <c r="V211" s="27">
        <v>3.5273000000000006E-2</v>
      </c>
      <c r="W211" s="27">
        <v>0</v>
      </c>
      <c r="X211" s="27">
        <f t="shared" si="21"/>
        <v>0</v>
      </c>
      <c r="Y211" s="27">
        <v>0</v>
      </c>
      <c r="Z211" s="27">
        <f t="shared" si="22"/>
        <v>0</v>
      </c>
      <c r="AA211" s="27">
        <v>0</v>
      </c>
      <c r="AB211" s="28">
        <v>0</v>
      </c>
      <c r="AC211" s="27">
        <v>0</v>
      </c>
      <c r="AD211" s="28">
        <v>0</v>
      </c>
      <c r="AE211" s="27">
        <f>0.04162214/1.18</f>
        <v>3.5273000000000006E-2</v>
      </c>
      <c r="AF211" s="28">
        <f>0.0416235324/1.18</f>
        <v>3.5274180000000002E-2</v>
      </c>
      <c r="AG211" s="27">
        <v>0</v>
      </c>
      <c r="AH211" s="28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f t="shared" si="20"/>
        <v>3.5274180000000002E-2</v>
      </c>
      <c r="AN211" s="27">
        <f t="shared" ref="AN211:AN274" si="24">AD211+AF211+AH211</f>
        <v>3.5274180000000002E-2</v>
      </c>
      <c r="AO211" s="34"/>
    </row>
    <row r="212" spans="1:41" ht="31.5" customHeight="1" x14ac:dyDescent="0.25">
      <c r="A212" s="8" t="s">
        <v>82</v>
      </c>
      <c r="B212" s="39" t="s">
        <v>405</v>
      </c>
      <c r="C212" s="29" t="s">
        <v>406</v>
      </c>
      <c r="D212" s="38" t="s">
        <v>1481</v>
      </c>
      <c r="E212" s="30">
        <v>2016</v>
      </c>
      <c r="F212" s="30">
        <v>2016</v>
      </c>
      <c r="G212" s="30" t="s">
        <v>1435</v>
      </c>
      <c r="H212" s="27">
        <v>1.0366295264623957E-2</v>
      </c>
      <c r="I212" s="27">
        <v>1.0366419220055713E-2</v>
      </c>
      <c r="J212" s="27">
        <v>0</v>
      </c>
      <c r="K212" s="27">
        <v>7.443000000000001E-2</v>
      </c>
      <c r="L212" s="27">
        <v>0</v>
      </c>
      <c r="M212" s="27">
        <v>5.1830000000000001E-2</v>
      </c>
      <c r="N212" s="27">
        <v>2.2600000000000002E-2</v>
      </c>
      <c r="O212" s="27">
        <v>0</v>
      </c>
      <c r="P212" s="27">
        <v>7.4430890000000013E-2</v>
      </c>
      <c r="Q212" s="27">
        <v>0</v>
      </c>
      <c r="R212" s="27">
        <v>5.1833289999999997E-2</v>
      </c>
      <c r="S212" s="27">
        <v>2.2597599999999999E-2</v>
      </c>
      <c r="T212" s="27">
        <v>0</v>
      </c>
      <c r="U212" s="27">
        <v>1.0366295264623957E-2</v>
      </c>
      <c r="V212" s="27">
        <v>7.443000000000001E-2</v>
      </c>
      <c r="W212" s="27">
        <v>0</v>
      </c>
      <c r="X212" s="27">
        <f t="shared" si="21"/>
        <v>0</v>
      </c>
      <c r="Y212" s="27">
        <v>0</v>
      </c>
      <c r="Z212" s="27">
        <f t="shared" si="22"/>
        <v>0</v>
      </c>
      <c r="AA212" s="27">
        <v>0</v>
      </c>
      <c r="AB212" s="28">
        <v>0</v>
      </c>
      <c r="AC212" s="27">
        <v>0</v>
      </c>
      <c r="AD212" s="28">
        <v>0</v>
      </c>
      <c r="AE212" s="27">
        <f>0.0878274/1.18</f>
        <v>7.443000000000001E-2</v>
      </c>
      <c r="AF212" s="28">
        <f>0.0878284502/1.18</f>
        <v>7.4430890000000013E-2</v>
      </c>
      <c r="AG212" s="27">
        <v>0</v>
      </c>
      <c r="AH212" s="28">
        <v>0</v>
      </c>
      <c r="AI212" s="27">
        <v>0</v>
      </c>
      <c r="AJ212" s="27">
        <v>0</v>
      </c>
      <c r="AK212" s="27">
        <v>0</v>
      </c>
      <c r="AL212" s="27">
        <v>0</v>
      </c>
      <c r="AM212" s="27">
        <f t="shared" si="20"/>
        <v>7.4430890000000013E-2</v>
      </c>
      <c r="AN212" s="27">
        <f t="shared" si="24"/>
        <v>7.4430890000000013E-2</v>
      </c>
      <c r="AO212" s="34"/>
    </row>
    <row r="213" spans="1:41" ht="31.5" customHeight="1" x14ac:dyDescent="0.25">
      <c r="A213" s="8" t="s">
        <v>82</v>
      </c>
      <c r="B213" s="39" t="s">
        <v>1475</v>
      </c>
      <c r="C213" s="29" t="s">
        <v>1476</v>
      </c>
      <c r="D213" s="38" t="s">
        <v>1481</v>
      </c>
      <c r="E213" s="30">
        <v>2016</v>
      </c>
      <c r="F213" s="30">
        <v>2016</v>
      </c>
      <c r="G213" s="30" t="s">
        <v>1435</v>
      </c>
      <c r="H213" s="27">
        <v>0</v>
      </c>
      <c r="I213" s="27">
        <v>5.520238161559889E-3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3.963531E-2</v>
      </c>
      <c r="Q213" s="27">
        <v>0</v>
      </c>
      <c r="R213" s="27">
        <v>1.558904E-2</v>
      </c>
      <c r="S213" s="27">
        <v>2.4046270000000002E-2</v>
      </c>
      <c r="T213" s="27">
        <v>0</v>
      </c>
      <c r="U213" s="27">
        <v>0</v>
      </c>
      <c r="V213" s="27">
        <v>0</v>
      </c>
      <c r="W213" s="27">
        <v>0</v>
      </c>
      <c r="X213" s="27">
        <f t="shared" si="21"/>
        <v>0</v>
      </c>
      <c r="Y213" s="27">
        <v>0</v>
      </c>
      <c r="Z213" s="27">
        <f t="shared" si="22"/>
        <v>0</v>
      </c>
      <c r="AA213" s="27">
        <v>0</v>
      </c>
      <c r="AB213" s="28">
        <v>0</v>
      </c>
      <c r="AC213" s="27">
        <v>0</v>
      </c>
      <c r="AD213" s="28">
        <v>0</v>
      </c>
      <c r="AE213" s="27">
        <v>0</v>
      </c>
      <c r="AF213" s="28">
        <v>3.963531E-2</v>
      </c>
      <c r="AG213" s="27">
        <v>0</v>
      </c>
      <c r="AH213" s="28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f t="shared" si="20"/>
        <v>3.963531E-2</v>
      </c>
      <c r="AN213" s="27">
        <f t="shared" si="24"/>
        <v>3.963531E-2</v>
      </c>
      <c r="AO213" s="34" t="s">
        <v>1485</v>
      </c>
    </row>
    <row r="214" spans="1:41" ht="31.5" customHeight="1" x14ac:dyDescent="0.25">
      <c r="A214" s="8" t="s">
        <v>82</v>
      </c>
      <c r="B214" s="39" t="s">
        <v>407</v>
      </c>
      <c r="C214" s="29" t="s">
        <v>408</v>
      </c>
      <c r="D214" s="38" t="s">
        <v>1482</v>
      </c>
      <c r="E214" s="30">
        <v>2017</v>
      </c>
      <c r="F214" s="30">
        <v>2017</v>
      </c>
      <c r="G214" s="30">
        <v>2017</v>
      </c>
      <c r="H214" s="27">
        <v>0.17278933844011143</v>
      </c>
      <c r="I214" s="27">
        <v>0.17278933844011143</v>
      </c>
      <c r="J214" s="27">
        <v>0</v>
      </c>
      <c r="K214" s="27">
        <v>1.2406274500000001</v>
      </c>
      <c r="L214" s="27">
        <v>8.4699999999999998E-2</v>
      </c>
      <c r="M214" s="27">
        <v>0.52474576000000006</v>
      </c>
      <c r="N214" s="27">
        <v>0.63118169000000002</v>
      </c>
      <c r="O214" s="27">
        <v>0</v>
      </c>
      <c r="P214" s="27">
        <v>1.2406274500000001</v>
      </c>
      <c r="Q214" s="27">
        <v>8.4699999999999998E-2</v>
      </c>
      <c r="R214" s="27">
        <v>0.52474576000000006</v>
      </c>
      <c r="S214" s="27">
        <v>0.63118169000000002</v>
      </c>
      <c r="T214" s="27">
        <v>0</v>
      </c>
      <c r="U214" s="27">
        <v>0.17278933844011143</v>
      </c>
      <c r="V214" s="27">
        <v>1.2406274500000001</v>
      </c>
      <c r="W214" s="27">
        <v>0</v>
      </c>
      <c r="X214" s="27">
        <f t="shared" si="21"/>
        <v>0</v>
      </c>
      <c r="Y214" s="27">
        <v>0.17278933844011143</v>
      </c>
      <c r="Z214" s="27">
        <f t="shared" si="22"/>
        <v>1.2406274500000001</v>
      </c>
      <c r="AA214" s="27">
        <v>0</v>
      </c>
      <c r="AB214" s="28">
        <v>0</v>
      </c>
      <c r="AC214" s="27">
        <v>0</v>
      </c>
      <c r="AD214" s="28">
        <v>0</v>
      </c>
      <c r="AE214" s="27">
        <v>0</v>
      </c>
      <c r="AF214" s="28">
        <v>0</v>
      </c>
      <c r="AG214" s="27">
        <v>0</v>
      </c>
      <c r="AH214" s="27">
        <f>1.463940391/1.18</f>
        <v>1.2406274500000001</v>
      </c>
      <c r="AI214" s="27">
        <v>0</v>
      </c>
      <c r="AJ214" s="27">
        <v>0</v>
      </c>
      <c r="AK214" s="27">
        <v>0</v>
      </c>
      <c r="AL214" s="27">
        <v>0</v>
      </c>
      <c r="AM214" s="27">
        <f t="shared" si="20"/>
        <v>0</v>
      </c>
      <c r="AN214" s="27">
        <f t="shared" si="24"/>
        <v>1.2406274500000001</v>
      </c>
      <c r="AO214" s="34" t="s">
        <v>1487</v>
      </c>
    </row>
    <row r="215" spans="1:41" ht="31.5" customHeight="1" x14ac:dyDescent="0.25">
      <c r="A215" s="8" t="s">
        <v>82</v>
      </c>
      <c r="B215" s="39" t="s">
        <v>409</v>
      </c>
      <c r="C215" s="29" t="s">
        <v>410</v>
      </c>
      <c r="D215" s="38" t="s">
        <v>1482</v>
      </c>
      <c r="E215" s="30">
        <v>2017</v>
      </c>
      <c r="F215" s="30">
        <v>2017</v>
      </c>
      <c r="G215" s="30">
        <v>2017</v>
      </c>
      <c r="H215" s="27">
        <v>0.48630045821727025</v>
      </c>
      <c r="I215" s="27">
        <v>0.48630045821727025</v>
      </c>
      <c r="J215" s="27">
        <v>0</v>
      </c>
      <c r="K215" s="27">
        <v>3.4916372900000003</v>
      </c>
      <c r="L215" s="27">
        <v>0.29239999999999999</v>
      </c>
      <c r="M215" s="27">
        <v>2.1355932200000001</v>
      </c>
      <c r="N215" s="27">
        <v>1.0636440700000001</v>
      </c>
      <c r="O215" s="27">
        <v>0</v>
      </c>
      <c r="P215" s="27">
        <v>3.4916372900000003</v>
      </c>
      <c r="Q215" s="27">
        <v>0.29239999999999999</v>
      </c>
      <c r="R215" s="27">
        <v>2.1355932200000001</v>
      </c>
      <c r="S215" s="27">
        <v>1.0636440700000001</v>
      </c>
      <c r="T215" s="27">
        <v>0</v>
      </c>
      <c r="U215" s="27">
        <v>0.48630045821727025</v>
      </c>
      <c r="V215" s="27">
        <v>3.4916372900000003</v>
      </c>
      <c r="W215" s="27">
        <v>0</v>
      </c>
      <c r="X215" s="27">
        <f t="shared" si="21"/>
        <v>0</v>
      </c>
      <c r="Y215" s="27">
        <v>0.48630045821727025</v>
      </c>
      <c r="Z215" s="27">
        <f t="shared" si="22"/>
        <v>3.4916372900000003</v>
      </c>
      <c r="AA215" s="27">
        <v>0</v>
      </c>
      <c r="AB215" s="28">
        <v>0</v>
      </c>
      <c r="AC215" s="27">
        <v>0</v>
      </c>
      <c r="AD215" s="28">
        <v>0</v>
      </c>
      <c r="AE215" s="27">
        <v>0</v>
      </c>
      <c r="AF215" s="28">
        <v>0</v>
      </c>
      <c r="AG215" s="27">
        <v>0</v>
      </c>
      <c r="AH215" s="28">
        <f>4.1201320022/1.18</f>
        <v>3.4916372900000003</v>
      </c>
      <c r="AI215" s="27">
        <v>0</v>
      </c>
      <c r="AJ215" s="27">
        <v>0</v>
      </c>
      <c r="AK215" s="27">
        <v>0</v>
      </c>
      <c r="AL215" s="27">
        <v>0</v>
      </c>
      <c r="AM215" s="27">
        <f t="shared" si="20"/>
        <v>0</v>
      </c>
      <c r="AN215" s="27">
        <f t="shared" si="24"/>
        <v>3.4916372900000003</v>
      </c>
      <c r="AO215" s="34" t="s">
        <v>1487</v>
      </c>
    </row>
    <row r="216" spans="1:41" ht="31.5" customHeight="1" x14ac:dyDescent="0.25">
      <c r="A216" s="8" t="s">
        <v>82</v>
      </c>
      <c r="B216" s="39" t="s">
        <v>411</v>
      </c>
      <c r="C216" s="29" t="s">
        <v>412</v>
      </c>
      <c r="D216" s="38" t="s">
        <v>1482</v>
      </c>
      <c r="E216" s="30">
        <v>2017</v>
      </c>
      <c r="F216" s="30">
        <v>2017</v>
      </c>
      <c r="G216" s="30">
        <v>2017</v>
      </c>
      <c r="H216" s="27">
        <v>0.1008273816155989</v>
      </c>
      <c r="I216" s="27">
        <v>5.0413690807799449E-2</v>
      </c>
      <c r="J216" s="27">
        <v>0</v>
      </c>
      <c r="K216" s="27">
        <v>0.72394060000000005</v>
      </c>
      <c r="L216" s="27">
        <v>0.10136060000000001</v>
      </c>
      <c r="M216" s="27">
        <v>0.4</v>
      </c>
      <c r="N216" s="27">
        <v>0.22258</v>
      </c>
      <c r="O216" s="27">
        <v>0</v>
      </c>
      <c r="P216" s="27">
        <v>0.36197030000000002</v>
      </c>
      <c r="Q216" s="27">
        <v>5.0680300000000005E-2</v>
      </c>
      <c r="R216" s="27">
        <v>0.2</v>
      </c>
      <c r="S216" s="27">
        <v>0.11129</v>
      </c>
      <c r="T216" s="27">
        <v>0</v>
      </c>
      <c r="U216" s="27">
        <v>0.1008273816155989</v>
      </c>
      <c r="V216" s="27">
        <v>0.72394060000000005</v>
      </c>
      <c r="W216" s="27">
        <v>5.0413690807799449E-2</v>
      </c>
      <c r="X216" s="27">
        <f t="shared" si="21"/>
        <v>0.36197030000000002</v>
      </c>
      <c r="Y216" s="27">
        <v>5.0413690807799449E-2</v>
      </c>
      <c r="Z216" s="27">
        <f t="shared" si="22"/>
        <v>0.36197030000000002</v>
      </c>
      <c r="AA216" s="27">
        <v>0</v>
      </c>
      <c r="AB216" s="28">
        <v>0</v>
      </c>
      <c r="AC216" s="27">
        <v>0</v>
      </c>
      <c r="AD216" s="28">
        <v>0</v>
      </c>
      <c r="AE216" s="27">
        <v>0</v>
      </c>
      <c r="AF216" s="28">
        <v>0</v>
      </c>
      <c r="AG216" s="27">
        <f>0.427124954/1.18</f>
        <v>0.36197030000000002</v>
      </c>
      <c r="AH216" s="28">
        <f>0.427124954/1.18</f>
        <v>0.36197030000000002</v>
      </c>
      <c r="AI216" s="27">
        <v>0</v>
      </c>
      <c r="AJ216" s="27">
        <v>0</v>
      </c>
      <c r="AK216" s="27">
        <v>0</v>
      </c>
      <c r="AL216" s="27">
        <v>0</v>
      </c>
      <c r="AM216" s="27">
        <f t="shared" si="20"/>
        <v>0.36197030000000002</v>
      </c>
      <c r="AN216" s="27">
        <f t="shared" si="24"/>
        <v>0.36197030000000002</v>
      </c>
      <c r="AO216" s="34" t="s">
        <v>1435</v>
      </c>
    </row>
    <row r="217" spans="1:41" ht="31.5" customHeight="1" x14ac:dyDescent="0.25">
      <c r="A217" s="8" t="s">
        <v>82</v>
      </c>
      <c r="B217" s="39" t="s">
        <v>413</v>
      </c>
      <c r="C217" s="29" t="s">
        <v>414</v>
      </c>
      <c r="D217" s="38" t="s">
        <v>1482</v>
      </c>
      <c r="E217" s="30">
        <v>2017</v>
      </c>
      <c r="F217" s="30">
        <v>2017</v>
      </c>
      <c r="G217" s="30">
        <v>2017</v>
      </c>
      <c r="H217" s="27">
        <v>5.130863509749304E-2</v>
      </c>
      <c r="I217" s="27">
        <v>2.565431754874652E-2</v>
      </c>
      <c r="J217" s="27">
        <v>0</v>
      </c>
      <c r="K217" s="27">
        <v>0.368396</v>
      </c>
      <c r="L217" s="27">
        <v>6.1799999999999994E-2</v>
      </c>
      <c r="M217" s="27">
        <v>0.17627000000000001</v>
      </c>
      <c r="N217" s="27">
        <v>0.130326</v>
      </c>
      <c r="O217" s="27">
        <v>0</v>
      </c>
      <c r="P217" s="27">
        <v>0.184198</v>
      </c>
      <c r="Q217" s="27">
        <v>3.0899999999999997E-2</v>
      </c>
      <c r="R217" s="27">
        <v>8.8135000000000005E-2</v>
      </c>
      <c r="S217" s="27">
        <v>6.5162999999999999E-2</v>
      </c>
      <c r="T217" s="27">
        <v>0</v>
      </c>
      <c r="U217" s="27">
        <v>5.130863509749304E-2</v>
      </c>
      <c r="V217" s="27">
        <v>0.368396</v>
      </c>
      <c r="W217" s="27">
        <v>2.565431754874652E-2</v>
      </c>
      <c r="X217" s="27">
        <f t="shared" si="21"/>
        <v>0.184198</v>
      </c>
      <c r="Y217" s="27">
        <v>2.565431754874652E-2</v>
      </c>
      <c r="Z217" s="27">
        <f t="shared" si="22"/>
        <v>0.184198</v>
      </c>
      <c r="AA217" s="27">
        <v>0</v>
      </c>
      <c r="AB217" s="28">
        <v>0</v>
      </c>
      <c r="AC217" s="27">
        <v>0</v>
      </c>
      <c r="AD217" s="28">
        <v>0</v>
      </c>
      <c r="AE217" s="27">
        <v>0</v>
      </c>
      <c r="AF217" s="28">
        <v>0</v>
      </c>
      <c r="AG217" s="27">
        <f>0.21735364/1.18</f>
        <v>0.184198</v>
      </c>
      <c r="AH217" s="28">
        <f>0.21735364/1.18</f>
        <v>0.184198</v>
      </c>
      <c r="AI217" s="27">
        <v>0</v>
      </c>
      <c r="AJ217" s="27">
        <v>0</v>
      </c>
      <c r="AK217" s="27">
        <v>0</v>
      </c>
      <c r="AL217" s="27">
        <v>0</v>
      </c>
      <c r="AM217" s="27">
        <f t="shared" si="20"/>
        <v>0.184198</v>
      </c>
      <c r="AN217" s="27">
        <f t="shared" si="24"/>
        <v>0.184198</v>
      </c>
      <c r="AO217" s="34" t="s">
        <v>1435</v>
      </c>
    </row>
    <row r="218" spans="1:41" ht="31.5" customHeight="1" x14ac:dyDescent="0.25">
      <c r="A218" s="8" t="s">
        <v>82</v>
      </c>
      <c r="B218" s="39" t="s">
        <v>415</v>
      </c>
      <c r="C218" s="29" t="s">
        <v>416</v>
      </c>
      <c r="D218" s="38" t="s">
        <v>1482</v>
      </c>
      <c r="E218" s="30">
        <v>2017</v>
      </c>
      <c r="F218" s="30">
        <v>2017</v>
      </c>
      <c r="G218" s="30">
        <v>2017</v>
      </c>
      <c r="H218" s="27">
        <v>1.8437456545961003E-2</v>
      </c>
      <c r="I218" s="27">
        <v>9.2187282729805017E-3</v>
      </c>
      <c r="J218" s="27">
        <v>0</v>
      </c>
      <c r="K218" s="27">
        <v>0.132380938</v>
      </c>
      <c r="L218" s="27">
        <v>6.5000000000000002E-2</v>
      </c>
      <c r="M218" s="27">
        <v>1.5310938E-2</v>
      </c>
      <c r="N218" s="27">
        <v>5.2069999999999998E-2</v>
      </c>
      <c r="O218" s="27">
        <v>0</v>
      </c>
      <c r="P218" s="27">
        <v>6.6190469000000002E-2</v>
      </c>
      <c r="Q218" s="27">
        <v>3.2500000000000001E-2</v>
      </c>
      <c r="R218" s="27">
        <v>7.6554689999999998E-3</v>
      </c>
      <c r="S218" s="27">
        <v>2.6034999999999999E-2</v>
      </c>
      <c r="T218" s="27">
        <v>0</v>
      </c>
      <c r="U218" s="27">
        <v>1.8437456545961003E-2</v>
      </c>
      <c r="V218" s="27">
        <v>0.132380938</v>
      </c>
      <c r="W218" s="27">
        <v>9.2187282729805017E-3</v>
      </c>
      <c r="X218" s="27">
        <f t="shared" si="21"/>
        <v>6.6190469000000002E-2</v>
      </c>
      <c r="Y218" s="27">
        <v>9.2187282729805017E-3</v>
      </c>
      <c r="Z218" s="27">
        <f t="shared" si="22"/>
        <v>6.6190469000000002E-2</v>
      </c>
      <c r="AA218" s="27">
        <v>0</v>
      </c>
      <c r="AB218" s="28">
        <v>0</v>
      </c>
      <c r="AC218" s="27">
        <v>0</v>
      </c>
      <c r="AD218" s="28">
        <v>0</v>
      </c>
      <c r="AE218" s="27">
        <v>0</v>
      </c>
      <c r="AF218" s="28">
        <v>0</v>
      </c>
      <c r="AG218" s="27">
        <f>0.07810475342/1.18</f>
        <v>6.6190469000000002E-2</v>
      </c>
      <c r="AH218" s="28">
        <f>0.07810475342/1.18</f>
        <v>6.6190469000000002E-2</v>
      </c>
      <c r="AI218" s="27">
        <v>0</v>
      </c>
      <c r="AJ218" s="27">
        <v>0</v>
      </c>
      <c r="AK218" s="27">
        <v>0</v>
      </c>
      <c r="AL218" s="27">
        <v>0</v>
      </c>
      <c r="AM218" s="27">
        <f t="shared" si="20"/>
        <v>6.6190469000000002E-2</v>
      </c>
      <c r="AN218" s="27">
        <f t="shared" si="24"/>
        <v>6.6190469000000002E-2</v>
      </c>
      <c r="AO218" s="34" t="s">
        <v>1435</v>
      </c>
    </row>
    <row r="219" spans="1:41" ht="31.5" customHeight="1" x14ac:dyDescent="0.25">
      <c r="A219" s="9" t="s">
        <v>84</v>
      </c>
      <c r="B219" s="10" t="s">
        <v>85</v>
      </c>
      <c r="C219" s="23" t="s">
        <v>48</v>
      </c>
      <c r="D219" s="36" t="s">
        <v>1435</v>
      </c>
      <c r="E219" s="24" t="s">
        <v>1435</v>
      </c>
      <c r="F219" s="24" t="s">
        <v>1435</v>
      </c>
      <c r="G219" s="24" t="s">
        <v>1435</v>
      </c>
      <c r="H219" s="25">
        <f>SUM(H220:H265)</f>
        <v>0.49656463299655351</v>
      </c>
      <c r="I219" s="25">
        <f>SUM(I220:I265)</f>
        <v>0.78475856545960998</v>
      </c>
      <c r="J219" s="25">
        <v>0</v>
      </c>
      <c r="K219" s="25">
        <v>3.5653340649152541</v>
      </c>
      <c r="L219" s="25">
        <v>0</v>
      </c>
      <c r="M219" s="25">
        <v>0.30648719999999996</v>
      </c>
      <c r="N219" s="25">
        <v>3.2572531400000004</v>
      </c>
      <c r="O219" s="25">
        <v>0</v>
      </c>
      <c r="P219" s="25">
        <v>5.6345665</v>
      </c>
      <c r="Q219" s="25">
        <v>0</v>
      </c>
      <c r="R219" s="25">
        <v>0.59283176999999998</v>
      </c>
      <c r="S219" s="25">
        <v>5.04042368</v>
      </c>
      <c r="T219" s="25">
        <v>0</v>
      </c>
      <c r="U219" s="25">
        <f>SUM(U220:U265)</f>
        <v>0.49656463299655351</v>
      </c>
      <c r="V219" s="25">
        <v>3.5653340649152541</v>
      </c>
      <c r="W219" s="25">
        <f>SUM(W220:W265)</f>
        <v>0</v>
      </c>
      <c r="X219" s="25">
        <f t="shared" si="21"/>
        <v>0</v>
      </c>
      <c r="Y219" s="25">
        <f>SUM(Y220:Y265)</f>
        <v>0.33134677298050141</v>
      </c>
      <c r="Z219" s="25">
        <f t="shared" si="22"/>
        <v>2.3790698299999997</v>
      </c>
      <c r="AA219" s="25">
        <f>SUM(AA220:AA265)</f>
        <v>0</v>
      </c>
      <c r="AB219" s="26">
        <v>0</v>
      </c>
      <c r="AC219" s="25">
        <f>SUM(AC220:AC265)</f>
        <v>0.85618400000000006</v>
      </c>
      <c r="AD219" s="26">
        <f>SUM(AD220:AD227)</f>
        <v>2.8749838900000002</v>
      </c>
      <c r="AE219" s="25">
        <f>SUM(AE220:AE265)</f>
        <v>0.33008023491525423</v>
      </c>
      <c r="AF219" s="26">
        <f>SUM(AF220:AF265)</f>
        <v>0.38051277999999999</v>
      </c>
      <c r="AG219" s="25">
        <f>SUM(AG220:AG265)</f>
        <v>0</v>
      </c>
      <c r="AH219" s="26">
        <f>SUM(AH220:AH265)</f>
        <v>2.3790698299999997</v>
      </c>
      <c r="AI219" s="25">
        <f>SUM(AI220:AI265)</f>
        <v>0</v>
      </c>
      <c r="AJ219" s="25">
        <v>0</v>
      </c>
      <c r="AK219" s="25">
        <f>SUM(AK220:AK265)</f>
        <v>0</v>
      </c>
      <c r="AL219" s="25">
        <v>0</v>
      </c>
      <c r="AM219" s="25">
        <f t="shared" ref="AM219:AM282" si="25">AD219+AF219+AG219+AI219+AK219</f>
        <v>3.2554966700000003</v>
      </c>
      <c r="AN219" s="25">
        <f t="shared" si="24"/>
        <v>5.6345665</v>
      </c>
      <c r="AO219" s="3" t="s">
        <v>1435</v>
      </c>
    </row>
    <row r="220" spans="1:41" ht="31.5" customHeight="1" x14ac:dyDescent="0.25">
      <c r="A220" s="8" t="s">
        <v>417</v>
      </c>
      <c r="B220" s="39" t="s">
        <v>418</v>
      </c>
      <c r="C220" s="29" t="s">
        <v>419</v>
      </c>
      <c r="D220" s="38" t="s">
        <v>1481</v>
      </c>
      <c r="E220" s="30">
        <v>2015</v>
      </c>
      <c r="F220" s="30">
        <v>2015</v>
      </c>
      <c r="G220" s="30" t="s">
        <v>1435</v>
      </c>
      <c r="H220" s="27">
        <v>1.0849303621169917E-2</v>
      </c>
      <c r="I220" s="27">
        <v>5.5640551532033435E-2</v>
      </c>
      <c r="J220" s="27">
        <v>0</v>
      </c>
      <c r="K220" s="27">
        <v>7.7897999999999995E-2</v>
      </c>
      <c r="L220" s="27">
        <v>0</v>
      </c>
      <c r="M220" s="27">
        <v>3.1167E-2</v>
      </c>
      <c r="N220" s="27">
        <v>4.6731000000000002E-2</v>
      </c>
      <c r="O220" s="27">
        <v>0</v>
      </c>
      <c r="P220" s="27">
        <v>0.39949916000000002</v>
      </c>
      <c r="Q220" s="27">
        <v>0</v>
      </c>
      <c r="R220" s="27">
        <v>0.11732962000000001</v>
      </c>
      <c r="S220" s="27">
        <v>0.28216954</v>
      </c>
      <c r="T220" s="27">
        <v>0</v>
      </c>
      <c r="U220" s="27">
        <v>1.0849303621169917E-2</v>
      </c>
      <c r="V220" s="27">
        <v>7.7897999999999995E-2</v>
      </c>
      <c r="W220" s="27">
        <v>0</v>
      </c>
      <c r="X220" s="27">
        <f t="shared" si="21"/>
        <v>0</v>
      </c>
      <c r="Y220" s="27">
        <v>0</v>
      </c>
      <c r="Z220" s="27">
        <f t="shared" si="22"/>
        <v>0</v>
      </c>
      <c r="AA220" s="27">
        <v>0</v>
      </c>
      <c r="AB220" s="28">
        <v>0</v>
      </c>
      <c r="AC220" s="27">
        <f>0.09191964/1.18</f>
        <v>7.7897999999999995E-2</v>
      </c>
      <c r="AD220" s="28">
        <f>0.4714090088/1.18</f>
        <v>0.39949916000000002</v>
      </c>
      <c r="AE220" s="27">
        <v>0</v>
      </c>
      <c r="AF220" s="28">
        <v>0</v>
      </c>
      <c r="AG220" s="27">
        <v>0</v>
      </c>
      <c r="AH220" s="28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f t="shared" si="25"/>
        <v>0.39949916000000002</v>
      </c>
      <c r="AN220" s="27">
        <f t="shared" si="24"/>
        <v>0.39949916000000002</v>
      </c>
      <c r="AO220" s="35" t="s">
        <v>1486</v>
      </c>
    </row>
    <row r="221" spans="1:41" ht="31.5" customHeight="1" x14ac:dyDescent="0.25">
      <c r="A221" s="8" t="s">
        <v>417</v>
      </c>
      <c r="B221" s="39" t="s">
        <v>420</v>
      </c>
      <c r="C221" s="29" t="s">
        <v>421</v>
      </c>
      <c r="D221" s="38" t="s">
        <v>1481</v>
      </c>
      <c r="E221" s="30">
        <v>2015</v>
      </c>
      <c r="F221" s="30">
        <v>2015</v>
      </c>
      <c r="G221" s="30" t="s">
        <v>1435</v>
      </c>
      <c r="H221" s="27">
        <v>2.1926183844011146E-3</v>
      </c>
      <c r="I221" s="27">
        <v>2.1917910863509752E-3</v>
      </c>
      <c r="J221" s="27">
        <v>0</v>
      </c>
      <c r="K221" s="27">
        <v>1.5743000000000004E-2</v>
      </c>
      <c r="L221" s="27">
        <v>0</v>
      </c>
      <c r="M221" s="27">
        <v>6.8099999999999992E-3</v>
      </c>
      <c r="N221" s="27">
        <v>8.9300000000000004E-3</v>
      </c>
      <c r="O221" s="27">
        <v>0</v>
      </c>
      <c r="P221" s="27">
        <v>1.5737060000000001E-2</v>
      </c>
      <c r="Q221" s="27">
        <v>0</v>
      </c>
      <c r="R221" s="27">
        <v>6.80812E-3</v>
      </c>
      <c r="S221" s="27">
        <v>8.9289400000000015E-3</v>
      </c>
      <c r="T221" s="27">
        <v>0</v>
      </c>
      <c r="U221" s="27">
        <v>2.1926183844011146E-3</v>
      </c>
      <c r="V221" s="27">
        <v>1.5743000000000004E-2</v>
      </c>
      <c r="W221" s="27">
        <v>0</v>
      </c>
      <c r="X221" s="27">
        <f t="shared" si="21"/>
        <v>0</v>
      </c>
      <c r="Y221" s="27">
        <v>0</v>
      </c>
      <c r="Z221" s="27">
        <f t="shared" si="22"/>
        <v>0</v>
      </c>
      <c r="AA221" s="27">
        <v>0</v>
      </c>
      <c r="AB221" s="28">
        <v>0</v>
      </c>
      <c r="AC221" s="27">
        <f>0.01857674/1.18</f>
        <v>1.5743000000000004E-2</v>
      </c>
      <c r="AD221" s="28">
        <f>0.0185697308/1.18</f>
        <v>1.5737060000000001E-2</v>
      </c>
      <c r="AE221" s="27">
        <v>0</v>
      </c>
      <c r="AF221" s="28">
        <v>0</v>
      </c>
      <c r="AG221" s="27">
        <v>0</v>
      </c>
      <c r="AH221" s="28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f t="shared" si="25"/>
        <v>1.5737060000000001E-2</v>
      </c>
      <c r="AN221" s="27">
        <f t="shared" si="24"/>
        <v>1.5737060000000001E-2</v>
      </c>
      <c r="AO221" s="35" t="s">
        <v>1486</v>
      </c>
    </row>
    <row r="222" spans="1:41" ht="57" customHeight="1" x14ac:dyDescent="0.25">
      <c r="A222" s="8" t="s">
        <v>417</v>
      </c>
      <c r="B222" s="39" t="s">
        <v>422</v>
      </c>
      <c r="C222" s="29" t="s">
        <v>423</v>
      </c>
      <c r="D222" s="38" t="s">
        <v>1481</v>
      </c>
      <c r="E222" s="30">
        <v>2015</v>
      </c>
      <c r="F222" s="30">
        <v>2015</v>
      </c>
      <c r="G222" s="30" t="s">
        <v>1435</v>
      </c>
      <c r="H222" s="27">
        <v>0.10620376044568247</v>
      </c>
      <c r="I222" s="27">
        <v>0.2393193022284123</v>
      </c>
      <c r="J222" s="27">
        <v>0</v>
      </c>
      <c r="K222" s="27">
        <v>0.76254300000000008</v>
      </c>
      <c r="L222" s="27">
        <v>0</v>
      </c>
      <c r="M222" s="27">
        <v>1.1599999999999999E-2</v>
      </c>
      <c r="N222" s="27">
        <v>0.75094000000000005</v>
      </c>
      <c r="O222" s="27">
        <v>0</v>
      </c>
      <c r="P222" s="27">
        <v>1.7183125900000003</v>
      </c>
      <c r="Q222" s="27">
        <v>0</v>
      </c>
      <c r="R222" s="27">
        <v>3.8048800000000001E-2</v>
      </c>
      <c r="S222" s="27">
        <v>1.6802637899999999</v>
      </c>
      <c r="T222" s="27">
        <v>0</v>
      </c>
      <c r="U222" s="27">
        <v>0.10620376044568247</v>
      </c>
      <c r="V222" s="27">
        <v>0.76254300000000008</v>
      </c>
      <c r="W222" s="27">
        <v>0</v>
      </c>
      <c r="X222" s="27">
        <f t="shared" si="21"/>
        <v>0</v>
      </c>
      <c r="Y222" s="27">
        <v>0</v>
      </c>
      <c r="Z222" s="27">
        <f t="shared" si="22"/>
        <v>0</v>
      </c>
      <c r="AA222" s="27">
        <v>0</v>
      </c>
      <c r="AB222" s="28">
        <v>0</v>
      </c>
      <c r="AC222" s="27">
        <f>0.89980074/1.18</f>
        <v>0.76254300000000008</v>
      </c>
      <c r="AD222" s="28">
        <f>2.0276088562/1.18</f>
        <v>1.7183125900000003</v>
      </c>
      <c r="AE222" s="27">
        <v>0</v>
      </c>
      <c r="AF222" s="28">
        <v>0</v>
      </c>
      <c r="AG222" s="27">
        <v>0</v>
      </c>
      <c r="AH222" s="28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f t="shared" si="25"/>
        <v>1.7183125900000003</v>
      </c>
      <c r="AN222" s="27">
        <f t="shared" si="24"/>
        <v>1.7183125900000003</v>
      </c>
      <c r="AO222" s="35" t="s">
        <v>1486</v>
      </c>
    </row>
    <row r="223" spans="1:41" ht="36" customHeight="1" x14ac:dyDescent="0.25">
      <c r="A223" s="8" t="s">
        <v>417</v>
      </c>
      <c r="B223" s="39" t="s">
        <v>866</v>
      </c>
      <c r="C223" s="29" t="s">
        <v>867</v>
      </c>
      <c r="D223" s="38" t="s">
        <v>1481</v>
      </c>
      <c r="E223" s="30">
        <v>2015</v>
      </c>
      <c r="F223" s="30">
        <v>2015</v>
      </c>
      <c r="G223" s="30" t="s">
        <v>1435</v>
      </c>
      <c r="H223" s="27">
        <v>0</v>
      </c>
      <c r="I223" s="27">
        <v>3.7654867688022287E-2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0.27036195000000002</v>
      </c>
      <c r="Q223" s="27">
        <v>0</v>
      </c>
      <c r="R223" s="27">
        <v>8.3727090000000004E-2</v>
      </c>
      <c r="S223" s="27">
        <v>0.18663486000000001</v>
      </c>
      <c r="T223" s="27">
        <v>0</v>
      </c>
      <c r="U223" s="27">
        <v>0</v>
      </c>
      <c r="V223" s="27">
        <v>0</v>
      </c>
      <c r="W223" s="27">
        <v>0</v>
      </c>
      <c r="X223" s="27">
        <f t="shared" si="21"/>
        <v>0</v>
      </c>
      <c r="Y223" s="27">
        <v>0</v>
      </c>
      <c r="Z223" s="27">
        <f t="shared" si="22"/>
        <v>0</v>
      </c>
      <c r="AA223" s="27">
        <v>0</v>
      </c>
      <c r="AB223" s="28">
        <v>0</v>
      </c>
      <c r="AC223" s="27">
        <v>0</v>
      </c>
      <c r="AD223" s="28">
        <v>0.27036195000000002</v>
      </c>
      <c r="AE223" s="27">
        <v>0</v>
      </c>
      <c r="AF223" s="28">
        <v>0</v>
      </c>
      <c r="AG223" s="27">
        <v>0</v>
      </c>
      <c r="AH223" s="28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f t="shared" si="25"/>
        <v>0.27036195000000002</v>
      </c>
      <c r="AN223" s="27">
        <f t="shared" si="24"/>
        <v>0.27036195000000002</v>
      </c>
      <c r="AO223" s="35" t="s">
        <v>1488</v>
      </c>
    </row>
    <row r="224" spans="1:41" ht="36" customHeight="1" x14ac:dyDescent="0.25">
      <c r="A224" s="8" t="s">
        <v>417</v>
      </c>
      <c r="B224" s="39" t="s">
        <v>868</v>
      </c>
      <c r="C224" s="29" t="s">
        <v>869</v>
      </c>
      <c r="D224" s="38" t="s">
        <v>1481</v>
      </c>
      <c r="E224" s="30">
        <v>2015</v>
      </c>
      <c r="F224" s="30">
        <v>2015</v>
      </c>
      <c r="G224" s="30" t="s">
        <v>1435</v>
      </c>
      <c r="H224" s="27">
        <v>0</v>
      </c>
      <c r="I224" s="27">
        <v>8.2100083565459624E-3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5.8947860000000005E-2</v>
      </c>
      <c r="Q224" s="27">
        <v>0</v>
      </c>
      <c r="R224" s="27">
        <v>2.3707350000000002E-2</v>
      </c>
      <c r="S224" s="27">
        <v>3.5240510000000003E-2</v>
      </c>
      <c r="T224" s="27">
        <v>0</v>
      </c>
      <c r="U224" s="27">
        <v>0</v>
      </c>
      <c r="V224" s="27">
        <v>0</v>
      </c>
      <c r="W224" s="27">
        <v>0</v>
      </c>
      <c r="X224" s="27">
        <f t="shared" si="21"/>
        <v>0</v>
      </c>
      <c r="Y224" s="27">
        <v>0</v>
      </c>
      <c r="Z224" s="27">
        <f t="shared" si="22"/>
        <v>0</v>
      </c>
      <c r="AA224" s="27">
        <v>0</v>
      </c>
      <c r="AB224" s="28">
        <v>0</v>
      </c>
      <c r="AC224" s="27">
        <v>0</v>
      </c>
      <c r="AD224" s="28">
        <v>5.8947860000000005E-2</v>
      </c>
      <c r="AE224" s="27">
        <v>0</v>
      </c>
      <c r="AF224" s="28">
        <v>0</v>
      </c>
      <c r="AG224" s="27">
        <v>0</v>
      </c>
      <c r="AH224" s="28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f t="shared" si="25"/>
        <v>5.8947860000000005E-2</v>
      </c>
      <c r="AN224" s="27">
        <f t="shared" si="24"/>
        <v>5.8947860000000005E-2</v>
      </c>
      <c r="AO224" s="35" t="s">
        <v>1488</v>
      </c>
    </row>
    <row r="225" spans="1:41" ht="36" customHeight="1" x14ac:dyDescent="0.25">
      <c r="A225" s="8" t="s">
        <v>417</v>
      </c>
      <c r="B225" s="39" t="s">
        <v>1401</v>
      </c>
      <c r="C225" s="29" t="s">
        <v>1402</v>
      </c>
      <c r="D225" s="38" t="s">
        <v>1481</v>
      </c>
      <c r="E225" s="30">
        <v>2015</v>
      </c>
      <c r="F225" s="30">
        <v>2015</v>
      </c>
      <c r="G225" s="30" t="s">
        <v>1435</v>
      </c>
      <c r="H225" s="27">
        <v>0</v>
      </c>
      <c r="I225" s="27">
        <v>3.9943676880222845E-3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2.8679560000000003E-2</v>
      </c>
      <c r="Q225" s="27">
        <v>0</v>
      </c>
      <c r="R225" s="27">
        <v>1.366294E-2</v>
      </c>
      <c r="S225" s="27">
        <v>1.501662E-2</v>
      </c>
      <c r="T225" s="27">
        <v>0</v>
      </c>
      <c r="U225" s="27">
        <v>0</v>
      </c>
      <c r="V225" s="27">
        <v>0</v>
      </c>
      <c r="W225" s="27">
        <v>0</v>
      </c>
      <c r="X225" s="27">
        <f t="shared" si="21"/>
        <v>0</v>
      </c>
      <c r="Y225" s="27">
        <v>0</v>
      </c>
      <c r="Z225" s="27">
        <f t="shared" si="22"/>
        <v>0</v>
      </c>
      <c r="AA225" s="27">
        <v>0</v>
      </c>
      <c r="AB225" s="28">
        <v>0</v>
      </c>
      <c r="AC225" s="27">
        <v>0</v>
      </c>
      <c r="AD225" s="28">
        <v>2.8679560000000003E-2</v>
      </c>
      <c r="AE225" s="27">
        <v>0</v>
      </c>
      <c r="AF225" s="28">
        <v>0</v>
      </c>
      <c r="AG225" s="27">
        <v>0</v>
      </c>
      <c r="AH225" s="28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f t="shared" si="25"/>
        <v>2.8679560000000003E-2</v>
      </c>
      <c r="AN225" s="27">
        <f t="shared" si="24"/>
        <v>2.8679560000000003E-2</v>
      </c>
      <c r="AO225" s="35" t="s">
        <v>1488</v>
      </c>
    </row>
    <row r="226" spans="1:41" ht="31.5" customHeight="1" x14ac:dyDescent="0.25">
      <c r="A226" s="8" t="s">
        <v>417</v>
      </c>
      <c r="B226" s="39" t="s">
        <v>1397</v>
      </c>
      <c r="C226" s="29" t="s">
        <v>1398</v>
      </c>
      <c r="D226" s="38" t="s">
        <v>1481</v>
      </c>
      <c r="E226" s="30">
        <v>2015</v>
      </c>
      <c r="F226" s="30">
        <v>2015</v>
      </c>
      <c r="G226" s="30" t="s">
        <v>1435</v>
      </c>
      <c r="H226" s="27">
        <v>0</v>
      </c>
      <c r="I226" s="27">
        <v>1.6507424791086352E-2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0.11852331000000001</v>
      </c>
      <c r="Q226" s="27">
        <v>0</v>
      </c>
      <c r="R226" s="27">
        <v>1.0360989999999999E-2</v>
      </c>
      <c r="S226" s="27">
        <v>0.10816231999999999</v>
      </c>
      <c r="T226" s="27">
        <v>0</v>
      </c>
      <c r="U226" s="27">
        <v>0</v>
      </c>
      <c r="V226" s="27">
        <v>0</v>
      </c>
      <c r="W226" s="27">
        <v>0</v>
      </c>
      <c r="X226" s="27">
        <f t="shared" si="21"/>
        <v>0</v>
      </c>
      <c r="Y226" s="27">
        <v>0</v>
      </c>
      <c r="Z226" s="27">
        <f t="shared" si="22"/>
        <v>0</v>
      </c>
      <c r="AA226" s="27">
        <v>0</v>
      </c>
      <c r="AB226" s="28">
        <v>0</v>
      </c>
      <c r="AC226" s="27">
        <v>0</v>
      </c>
      <c r="AD226" s="28">
        <f>0.1398575058/1.18</f>
        <v>0.11852331000000001</v>
      </c>
      <c r="AE226" s="27">
        <v>0</v>
      </c>
      <c r="AF226" s="28">
        <v>0</v>
      </c>
      <c r="AG226" s="27">
        <v>0</v>
      </c>
      <c r="AH226" s="28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f t="shared" si="25"/>
        <v>0.11852331000000001</v>
      </c>
      <c r="AN226" s="27">
        <f t="shared" si="24"/>
        <v>0.11852331000000001</v>
      </c>
      <c r="AO226" s="35" t="s">
        <v>1485</v>
      </c>
    </row>
    <row r="227" spans="1:41" ht="48.75" customHeight="1" x14ac:dyDescent="0.25">
      <c r="A227" s="8" t="s">
        <v>417</v>
      </c>
      <c r="B227" s="39" t="s">
        <v>1399</v>
      </c>
      <c r="C227" s="29" t="s">
        <v>1400</v>
      </c>
      <c r="D227" s="38" t="s">
        <v>1481</v>
      </c>
      <c r="E227" s="30">
        <v>2015</v>
      </c>
      <c r="F227" s="30">
        <v>2015</v>
      </c>
      <c r="G227" s="30" t="s">
        <v>1435</v>
      </c>
      <c r="H227" s="27">
        <v>0</v>
      </c>
      <c r="I227" s="27">
        <v>3.6897270194986072E-2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0.2649224</v>
      </c>
      <c r="Q227" s="27">
        <v>0</v>
      </c>
      <c r="R227" s="27">
        <v>1.225767E-2</v>
      </c>
      <c r="S227" s="27">
        <v>0.25266473</v>
      </c>
      <c r="T227" s="27">
        <v>0</v>
      </c>
      <c r="U227" s="27">
        <v>0</v>
      </c>
      <c r="V227" s="27">
        <v>0</v>
      </c>
      <c r="W227" s="27">
        <v>0</v>
      </c>
      <c r="X227" s="27">
        <f t="shared" si="21"/>
        <v>0</v>
      </c>
      <c r="Y227" s="27">
        <v>0</v>
      </c>
      <c r="Z227" s="27">
        <f t="shared" si="22"/>
        <v>0</v>
      </c>
      <c r="AA227" s="27">
        <v>0</v>
      </c>
      <c r="AB227" s="28">
        <v>0</v>
      </c>
      <c r="AC227" s="27">
        <v>0</v>
      </c>
      <c r="AD227" s="28">
        <f>0.312608432/1.18</f>
        <v>0.2649224</v>
      </c>
      <c r="AE227" s="27">
        <v>0</v>
      </c>
      <c r="AF227" s="28">
        <v>0</v>
      </c>
      <c r="AG227" s="27">
        <v>0</v>
      </c>
      <c r="AH227" s="28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f t="shared" si="25"/>
        <v>0.2649224</v>
      </c>
      <c r="AN227" s="27">
        <f t="shared" si="24"/>
        <v>0.2649224</v>
      </c>
      <c r="AO227" s="35" t="s">
        <v>1485</v>
      </c>
    </row>
    <row r="228" spans="1:41" s="2" customFormat="1" ht="31.5" customHeight="1" x14ac:dyDescent="0.25">
      <c r="A228" s="8" t="s">
        <v>417</v>
      </c>
      <c r="B228" s="39" t="s">
        <v>424</v>
      </c>
      <c r="C228" s="29" t="s">
        <v>425</v>
      </c>
      <c r="D228" s="36" t="s">
        <v>1481</v>
      </c>
      <c r="E228" s="30">
        <v>2016</v>
      </c>
      <c r="F228" s="30">
        <v>2016</v>
      </c>
      <c r="G228" s="30" t="s">
        <v>1435</v>
      </c>
      <c r="H228" s="27">
        <v>1.0626740947075209E-3</v>
      </c>
      <c r="I228" s="27">
        <v>1.0627701949860724E-3</v>
      </c>
      <c r="J228" s="27">
        <v>0</v>
      </c>
      <c r="K228" s="27">
        <v>7.6300000000000005E-3</v>
      </c>
      <c r="L228" s="27">
        <v>0</v>
      </c>
      <c r="M228" s="27">
        <v>5.7099999999999998E-3</v>
      </c>
      <c r="N228" s="27">
        <v>1.9199999999999998E-3</v>
      </c>
      <c r="O228" s="27">
        <v>0</v>
      </c>
      <c r="P228" s="27">
        <v>7.6306899999999999E-3</v>
      </c>
      <c r="Q228" s="27">
        <v>0</v>
      </c>
      <c r="R228" s="27">
        <v>5.7081299999999996E-3</v>
      </c>
      <c r="S228" s="27">
        <v>1.92256E-3</v>
      </c>
      <c r="T228" s="27">
        <v>0</v>
      </c>
      <c r="U228" s="27">
        <v>1.0626740947075209E-3</v>
      </c>
      <c r="V228" s="27">
        <v>7.6300000000000005E-3</v>
      </c>
      <c r="W228" s="27">
        <v>0</v>
      </c>
      <c r="X228" s="27">
        <f t="shared" si="21"/>
        <v>0</v>
      </c>
      <c r="Y228" s="27">
        <v>0</v>
      </c>
      <c r="Z228" s="27">
        <f t="shared" si="22"/>
        <v>0</v>
      </c>
      <c r="AA228" s="27">
        <v>0</v>
      </c>
      <c r="AB228" s="28">
        <v>0</v>
      </c>
      <c r="AC228" s="27">
        <v>0</v>
      </c>
      <c r="AD228" s="28">
        <v>0</v>
      </c>
      <c r="AE228" s="27">
        <f>0.0090034/1.18</f>
        <v>7.6300000000000005E-3</v>
      </c>
      <c r="AF228" s="28">
        <f>0.0090042142/1.18</f>
        <v>7.6306899999999999E-3</v>
      </c>
      <c r="AG228" s="27">
        <v>0</v>
      </c>
      <c r="AH228" s="28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f t="shared" si="25"/>
        <v>7.6306899999999999E-3</v>
      </c>
      <c r="AN228" s="27">
        <f t="shared" si="24"/>
        <v>7.6306899999999999E-3</v>
      </c>
      <c r="AO228" s="35" t="s">
        <v>1485</v>
      </c>
    </row>
    <row r="229" spans="1:41" s="2" customFormat="1" ht="31.5" customHeight="1" x14ac:dyDescent="0.25">
      <c r="A229" s="8" t="s">
        <v>417</v>
      </c>
      <c r="B229" s="39" t="s">
        <v>426</v>
      </c>
      <c r="C229" s="29" t="s">
        <v>427</v>
      </c>
      <c r="D229" s="36" t="s">
        <v>1481</v>
      </c>
      <c r="E229" s="30">
        <v>2016</v>
      </c>
      <c r="F229" s="30">
        <v>2016</v>
      </c>
      <c r="G229" s="30" t="s">
        <v>1435</v>
      </c>
      <c r="H229" s="27">
        <v>8.9874651810584964E-4</v>
      </c>
      <c r="I229" s="27">
        <v>8.9858217270194995E-4</v>
      </c>
      <c r="J229" s="27">
        <v>0</v>
      </c>
      <c r="K229" s="27">
        <v>6.4530000000000004E-3</v>
      </c>
      <c r="L229" s="27">
        <v>0</v>
      </c>
      <c r="M229" s="27">
        <v>2.15E-3</v>
      </c>
      <c r="N229" s="27">
        <v>4.3029999999999995E-3</v>
      </c>
      <c r="O229" s="27">
        <v>0</v>
      </c>
      <c r="P229" s="27">
        <v>6.4518200000000005E-3</v>
      </c>
      <c r="Q229" s="27">
        <v>0</v>
      </c>
      <c r="R229" s="27">
        <v>2.1503500000000001E-3</v>
      </c>
      <c r="S229" s="27">
        <v>4.3014699999999999E-3</v>
      </c>
      <c r="T229" s="27">
        <v>0</v>
      </c>
      <c r="U229" s="27">
        <v>8.9874651810584964E-4</v>
      </c>
      <c r="V229" s="27">
        <v>6.4530000000000004E-3</v>
      </c>
      <c r="W229" s="27">
        <v>0</v>
      </c>
      <c r="X229" s="27">
        <f t="shared" si="21"/>
        <v>0</v>
      </c>
      <c r="Y229" s="27">
        <v>0</v>
      </c>
      <c r="Z229" s="27">
        <f t="shared" si="22"/>
        <v>0</v>
      </c>
      <c r="AA229" s="27">
        <v>0</v>
      </c>
      <c r="AB229" s="28">
        <v>0</v>
      </c>
      <c r="AC229" s="27">
        <v>0</v>
      </c>
      <c r="AD229" s="28">
        <v>0</v>
      </c>
      <c r="AE229" s="27">
        <f>0.00761454/1.18</f>
        <v>6.4530000000000004E-3</v>
      </c>
      <c r="AF229" s="28">
        <f>0.0076131476/1.18</f>
        <v>6.4518200000000005E-3</v>
      </c>
      <c r="AG229" s="27">
        <v>0</v>
      </c>
      <c r="AH229" s="28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f t="shared" si="25"/>
        <v>6.4518200000000005E-3</v>
      </c>
      <c r="AN229" s="27">
        <f t="shared" si="24"/>
        <v>6.4518200000000005E-3</v>
      </c>
      <c r="AO229" s="35" t="s">
        <v>1485</v>
      </c>
    </row>
    <row r="230" spans="1:41" s="2" customFormat="1" ht="31.5" customHeight="1" x14ac:dyDescent="0.25">
      <c r="A230" s="8" t="s">
        <v>417</v>
      </c>
      <c r="B230" s="39" t="s">
        <v>428</v>
      </c>
      <c r="C230" s="29" t="s">
        <v>429</v>
      </c>
      <c r="D230" s="36" t="s">
        <v>1481</v>
      </c>
      <c r="E230" s="30">
        <v>2016</v>
      </c>
      <c r="F230" s="30">
        <v>2016</v>
      </c>
      <c r="G230" s="30" t="s">
        <v>1435</v>
      </c>
      <c r="H230" s="27">
        <v>1.0298050139275767E-3</v>
      </c>
      <c r="I230" s="27">
        <v>1.0298746518105852E-3</v>
      </c>
      <c r="J230" s="27">
        <v>0</v>
      </c>
      <c r="K230" s="27">
        <v>7.3940000000000013E-3</v>
      </c>
      <c r="L230" s="27">
        <v>0</v>
      </c>
      <c r="M230" s="27">
        <v>4.3540000000000002E-3</v>
      </c>
      <c r="N230" s="27">
        <v>3.0400000000000002E-3</v>
      </c>
      <c r="O230" s="27">
        <v>0</v>
      </c>
      <c r="P230" s="27">
        <v>7.3945000000000009E-3</v>
      </c>
      <c r="Q230" s="27">
        <v>0</v>
      </c>
      <c r="R230" s="27">
        <v>4.3547799999999999E-3</v>
      </c>
      <c r="S230" s="27">
        <v>3.0397200000000001E-3</v>
      </c>
      <c r="T230" s="27">
        <v>0</v>
      </c>
      <c r="U230" s="27">
        <v>1.0298050139275767E-3</v>
      </c>
      <c r="V230" s="27">
        <v>7.3940000000000013E-3</v>
      </c>
      <c r="W230" s="27">
        <v>0</v>
      </c>
      <c r="X230" s="27">
        <f t="shared" si="21"/>
        <v>0</v>
      </c>
      <c r="Y230" s="27">
        <v>0</v>
      </c>
      <c r="Z230" s="27">
        <f t="shared" si="22"/>
        <v>0</v>
      </c>
      <c r="AA230" s="27">
        <v>0</v>
      </c>
      <c r="AB230" s="28">
        <v>0</v>
      </c>
      <c r="AC230" s="27">
        <v>0</v>
      </c>
      <c r="AD230" s="28">
        <v>0</v>
      </c>
      <c r="AE230" s="27">
        <f>0.00872492/1.18</f>
        <v>7.3940000000000013E-3</v>
      </c>
      <c r="AF230" s="28">
        <f>0.00872551/1.18</f>
        <v>7.3945000000000009E-3</v>
      </c>
      <c r="AG230" s="27">
        <v>0</v>
      </c>
      <c r="AH230" s="28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f t="shared" si="25"/>
        <v>7.3945000000000009E-3</v>
      </c>
      <c r="AN230" s="27">
        <f t="shared" si="24"/>
        <v>7.3945000000000009E-3</v>
      </c>
      <c r="AO230" s="35" t="s">
        <v>1485</v>
      </c>
    </row>
    <row r="231" spans="1:41" s="2" customFormat="1" ht="31.5" customHeight="1" x14ac:dyDescent="0.25">
      <c r="A231" s="8" t="s">
        <v>417</v>
      </c>
      <c r="B231" s="39" t="s">
        <v>430</v>
      </c>
      <c r="C231" s="29" t="s">
        <v>431</v>
      </c>
      <c r="D231" s="36" t="s">
        <v>1481</v>
      </c>
      <c r="E231" s="30">
        <v>2016</v>
      </c>
      <c r="F231" s="30">
        <v>2016</v>
      </c>
      <c r="G231" s="30" t="s">
        <v>1435</v>
      </c>
      <c r="H231" s="27">
        <v>8.3175487465181059E-4</v>
      </c>
      <c r="I231" s="27">
        <v>8.3141782729805025E-4</v>
      </c>
      <c r="J231" s="27">
        <v>0</v>
      </c>
      <c r="K231" s="27">
        <v>5.9719999999999999E-3</v>
      </c>
      <c r="L231" s="27">
        <v>0</v>
      </c>
      <c r="M231" s="27">
        <v>3.9500000000000004E-3</v>
      </c>
      <c r="N231" s="27">
        <v>2.0219999999999999E-3</v>
      </c>
      <c r="O231" s="27">
        <v>0</v>
      </c>
      <c r="P231" s="27">
        <v>5.9695800000000004E-3</v>
      </c>
      <c r="Q231" s="27">
        <v>0</v>
      </c>
      <c r="R231" s="27">
        <v>3.9525699999999999E-3</v>
      </c>
      <c r="S231" s="27">
        <v>2.0170100000000001E-3</v>
      </c>
      <c r="T231" s="27">
        <v>0</v>
      </c>
      <c r="U231" s="27">
        <v>8.3175487465181059E-4</v>
      </c>
      <c r="V231" s="27">
        <v>5.9719999999999999E-3</v>
      </c>
      <c r="W231" s="27">
        <v>0</v>
      </c>
      <c r="X231" s="27">
        <f t="shared" si="21"/>
        <v>0</v>
      </c>
      <c r="Y231" s="27">
        <v>0</v>
      </c>
      <c r="Z231" s="27">
        <f t="shared" si="22"/>
        <v>0</v>
      </c>
      <c r="AA231" s="27">
        <v>0</v>
      </c>
      <c r="AB231" s="28">
        <v>0</v>
      </c>
      <c r="AC231" s="27">
        <v>0</v>
      </c>
      <c r="AD231" s="28">
        <v>0</v>
      </c>
      <c r="AE231" s="27">
        <f>0.00704696/1.18</f>
        <v>5.9719999999999999E-3</v>
      </c>
      <c r="AF231" s="28">
        <f>0.0070441044/1.18</f>
        <v>5.9695800000000004E-3</v>
      </c>
      <c r="AG231" s="27">
        <v>0</v>
      </c>
      <c r="AH231" s="28">
        <v>0</v>
      </c>
      <c r="AI231" s="27">
        <v>0</v>
      </c>
      <c r="AJ231" s="27">
        <v>0</v>
      </c>
      <c r="AK231" s="27">
        <v>0</v>
      </c>
      <c r="AL231" s="27">
        <v>0</v>
      </c>
      <c r="AM231" s="27">
        <f t="shared" si="25"/>
        <v>5.9695800000000004E-3</v>
      </c>
      <c r="AN231" s="27">
        <f t="shared" si="24"/>
        <v>5.9695800000000004E-3</v>
      </c>
      <c r="AO231" s="35" t="s">
        <v>1485</v>
      </c>
    </row>
    <row r="232" spans="1:41" s="2" customFormat="1" ht="31.5" customHeight="1" x14ac:dyDescent="0.25">
      <c r="A232" s="8" t="s">
        <v>417</v>
      </c>
      <c r="B232" s="39" t="s">
        <v>432</v>
      </c>
      <c r="C232" s="29" t="s">
        <v>433</v>
      </c>
      <c r="D232" s="36" t="s">
        <v>1481</v>
      </c>
      <c r="E232" s="30">
        <v>2016</v>
      </c>
      <c r="F232" s="30">
        <v>2016</v>
      </c>
      <c r="G232" s="30" t="s">
        <v>1435</v>
      </c>
      <c r="H232" s="27">
        <v>9.582172701949861E-4</v>
      </c>
      <c r="I232" s="27">
        <v>9.5823119777158777E-4</v>
      </c>
      <c r="J232" s="27">
        <v>0</v>
      </c>
      <c r="K232" s="27">
        <v>6.8799999999999998E-3</v>
      </c>
      <c r="L232" s="27">
        <v>0</v>
      </c>
      <c r="M232" s="27">
        <v>3.9900000000000005E-3</v>
      </c>
      <c r="N232" s="27">
        <v>2.8900000000000002E-3</v>
      </c>
      <c r="O232" s="27">
        <v>0</v>
      </c>
      <c r="P232" s="27">
        <v>6.8801000000000001E-3</v>
      </c>
      <c r="Q232" s="27">
        <v>0</v>
      </c>
      <c r="R232" s="27">
        <v>3.9945800000000002E-3</v>
      </c>
      <c r="S232" s="27">
        <v>2.8855199999999999E-3</v>
      </c>
      <c r="T232" s="27">
        <v>0</v>
      </c>
      <c r="U232" s="27">
        <v>9.582172701949861E-4</v>
      </c>
      <c r="V232" s="27">
        <v>6.8799999999999998E-3</v>
      </c>
      <c r="W232" s="27">
        <v>0</v>
      </c>
      <c r="X232" s="27">
        <f t="shared" si="21"/>
        <v>0</v>
      </c>
      <c r="Y232" s="27">
        <v>0</v>
      </c>
      <c r="Z232" s="27">
        <f t="shared" si="22"/>
        <v>0</v>
      </c>
      <c r="AA232" s="27">
        <v>0</v>
      </c>
      <c r="AB232" s="28">
        <v>0</v>
      </c>
      <c r="AC232" s="27">
        <v>0</v>
      </c>
      <c r="AD232" s="28">
        <v>0</v>
      </c>
      <c r="AE232" s="27">
        <f>0.0081184/1.18</f>
        <v>6.8799999999999998E-3</v>
      </c>
      <c r="AF232" s="28">
        <f>0.008118518/1.18</f>
        <v>6.8801000000000001E-3</v>
      </c>
      <c r="AG232" s="27">
        <v>0</v>
      </c>
      <c r="AH232" s="28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f t="shared" si="25"/>
        <v>6.8801000000000001E-3</v>
      </c>
      <c r="AN232" s="27">
        <f t="shared" si="24"/>
        <v>6.8801000000000001E-3</v>
      </c>
      <c r="AO232" s="35" t="s">
        <v>1485</v>
      </c>
    </row>
    <row r="233" spans="1:41" s="2" customFormat="1" ht="31.5" customHeight="1" x14ac:dyDescent="0.25">
      <c r="A233" s="8" t="s">
        <v>417</v>
      </c>
      <c r="B233" s="39" t="s">
        <v>434</v>
      </c>
      <c r="C233" s="29" t="s">
        <v>435</v>
      </c>
      <c r="D233" s="36" t="s">
        <v>1481</v>
      </c>
      <c r="E233" s="30">
        <v>2016</v>
      </c>
      <c r="F233" s="30">
        <v>2016</v>
      </c>
      <c r="G233" s="30" t="s">
        <v>1435</v>
      </c>
      <c r="H233" s="27">
        <v>5.0996378830083563E-4</v>
      </c>
      <c r="I233" s="27">
        <v>4.3225069637883011E-4</v>
      </c>
      <c r="J233" s="27">
        <v>0</v>
      </c>
      <c r="K233" s="27">
        <v>3.66154E-3</v>
      </c>
      <c r="L233" s="27">
        <v>0</v>
      </c>
      <c r="M233" s="27">
        <v>1.183E-3</v>
      </c>
      <c r="N233" s="27">
        <v>1.9199999999999998E-3</v>
      </c>
      <c r="O233" s="27">
        <v>0</v>
      </c>
      <c r="P233" s="27">
        <v>3.10356E-3</v>
      </c>
      <c r="Q233" s="27">
        <v>0</v>
      </c>
      <c r="R233" s="27">
        <v>1.181E-3</v>
      </c>
      <c r="S233" s="27">
        <v>1.92256E-3</v>
      </c>
      <c r="T233" s="27">
        <v>0</v>
      </c>
      <c r="U233" s="27">
        <v>5.0996378830083563E-4</v>
      </c>
      <c r="V233" s="27">
        <v>3.66154E-3</v>
      </c>
      <c r="W233" s="27">
        <v>0</v>
      </c>
      <c r="X233" s="27">
        <f t="shared" si="21"/>
        <v>0</v>
      </c>
      <c r="Y233" s="27">
        <v>0</v>
      </c>
      <c r="Z233" s="27">
        <f t="shared" si="22"/>
        <v>0</v>
      </c>
      <c r="AA233" s="27">
        <v>0</v>
      </c>
      <c r="AB233" s="28">
        <v>0</v>
      </c>
      <c r="AC233" s="27">
        <v>0</v>
      </c>
      <c r="AD233" s="28">
        <v>0</v>
      </c>
      <c r="AE233" s="27">
        <v>3.66154E-3</v>
      </c>
      <c r="AF233" s="28">
        <f>0.0036622008/1.18</f>
        <v>3.10356E-3</v>
      </c>
      <c r="AG233" s="27">
        <v>0</v>
      </c>
      <c r="AH233" s="28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f t="shared" si="25"/>
        <v>3.10356E-3</v>
      </c>
      <c r="AN233" s="27">
        <f t="shared" si="24"/>
        <v>3.10356E-3</v>
      </c>
      <c r="AO233" s="35" t="s">
        <v>1485</v>
      </c>
    </row>
    <row r="234" spans="1:41" s="2" customFormat="1" ht="31.5" customHeight="1" x14ac:dyDescent="0.25">
      <c r="A234" s="8" t="s">
        <v>417</v>
      </c>
      <c r="B234" s="39" t="s">
        <v>436</v>
      </c>
      <c r="C234" s="29" t="s">
        <v>437</v>
      </c>
      <c r="D234" s="36" t="s">
        <v>1481</v>
      </c>
      <c r="E234" s="30">
        <v>2016</v>
      </c>
      <c r="F234" s="30">
        <v>2016</v>
      </c>
      <c r="G234" s="30" t="s">
        <v>1435</v>
      </c>
      <c r="H234" s="27">
        <v>6.8696378830083559E-4</v>
      </c>
      <c r="I234" s="27">
        <v>5.8183844011142061E-4</v>
      </c>
      <c r="J234" s="27">
        <v>0</v>
      </c>
      <c r="K234" s="27">
        <v>4.9323999999999991E-3</v>
      </c>
      <c r="L234" s="27">
        <v>0</v>
      </c>
      <c r="M234" s="27">
        <v>2.3700000000000001E-3</v>
      </c>
      <c r="N234" s="27">
        <v>1.81E-3</v>
      </c>
      <c r="O234" s="27">
        <v>0</v>
      </c>
      <c r="P234" s="27">
        <v>4.1776000000000001E-3</v>
      </c>
      <c r="Q234" s="27">
        <v>0</v>
      </c>
      <c r="R234" s="27">
        <v>2.3668000000000001E-3</v>
      </c>
      <c r="S234" s="27">
        <v>1.8108E-3</v>
      </c>
      <c r="T234" s="27">
        <v>0</v>
      </c>
      <c r="U234" s="27">
        <v>6.8696378830083559E-4</v>
      </c>
      <c r="V234" s="27">
        <v>4.9323999999999991E-3</v>
      </c>
      <c r="W234" s="27">
        <v>0</v>
      </c>
      <c r="X234" s="27">
        <f t="shared" si="21"/>
        <v>0</v>
      </c>
      <c r="Y234" s="27">
        <v>0</v>
      </c>
      <c r="Z234" s="27">
        <f t="shared" si="22"/>
        <v>0</v>
      </c>
      <c r="AA234" s="27">
        <v>0</v>
      </c>
      <c r="AB234" s="28">
        <v>0</v>
      </c>
      <c r="AC234" s="27">
        <v>0</v>
      </c>
      <c r="AD234" s="28">
        <v>0</v>
      </c>
      <c r="AE234" s="27">
        <v>4.9323999999999991E-3</v>
      </c>
      <c r="AF234" s="28">
        <f>0.004929568/1.18</f>
        <v>4.1776000000000001E-3</v>
      </c>
      <c r="AG234" s="27">
        <v>0</v>
      </c>
      <c r="AH234" s="28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f t="shared" si="25"/>
        <v>4.1776000000000001E-3</v>
      </c>
      <c r="AN234" s="27">
        <f t="shared" si="24"/>
        <v>4.1776000000000001E-3</v>
      </c>
      <c r="AO234" s="35" t="s">
        <v>1485</v>
      </c>
    </row>
    <row r="235" spans="1:41" s="2" customFormat="1" ht="31.5" customHeight="1" x14ac:dyDescent="0.25">
      <c r="A235" s="8" t="s">
        <v>417</v>
      </c>
      <c r="B235" s="39" t="s">
        <v>438</v>
      </c>
      <c r="C235" s="29" t="s">
        <v>439</v>
      </c>
      <c r="D235" s="36" t="s">
        <v>1481</v>
      </c>
      <c r="E235" s="30">
        <v>2016</v>
      </c>
      <c r="F235" s="30">
        <v>2016</v>
      </c>
      <c r="G235" s="30" t="s">
        <v>1435</v>
      </c>
      <c r="H235" s="27">
        <v>4.963231197771588E-4</v>
      </c>
      <c r="I235" s="27">
        <v>4.2125069637883011E-4</v>
      </c>
      <c r="J235" s="27">
        <v>0</v>
      </c>
      <c r="K235" s="27">
        <v>3.5635999999999997E-3</v>
      </c>
      <c r="L235" s="27">
        <v>0</v>
      </c>
      <c r="M235" s="27">
        <v>1.1899999999999999E-3</v>
      </c>
      <c r="N235" s="27">
        <v>1.83E-3</v>
      </c>
      <c r="O235" s="27">
        <v>0</v>
      </c>
      <c r="P235" s="27">
        <v>3.0245800000000002E-3</v>
      </c>
      <c r="Q235" s="27">
        <v>0</v>
      </c>
      <c r="R235" s="27">
        <v>1.1919599999999999E-3</v>
      </c>
      <c r="S235" s="27">
        <v>1.8326199999999999E-3</v>
      </c>
      <c r="T235" s="27">
        <v>0</v>
      </c>
      <c r="U235" s="27">
        <v>4.963231197771588E-4</v>
      </c>
      <c r="V235" s="27">
        <v>3.5635999999999997E-3</v>
      </c>
      <c r="W235" s="27">
        <v>0</v>
      </c>
      <c r="X235" s="27">
        <f t="shared" si="21"/>
        <v>0</v>
      </c>
      <c r="Y235" s="27">
        <v>0</v>
      </c>
      <c r="Z235" s="27">
        <f t="shared" si="22"/>
        <v>0</v>
      </c>
      <c r="AA235" s="27">
        <v>0</v>
      </c>
      <c r="AB235" s="28">
        <v>0</v>
      </c>
      <c r="AC235" s="27">
        <v>0</v>
      </c>
      <c r="AD235" s="28">
        <v>0</v>
      </c>
      <c r="AE235" s="27">
        <v>3.5635999999999997E-3</v>
      </c>
      <c r="AF235" s="28">
        <f>0.0035690044/1.18</f>
        <v>3.0245800000000002E-3</v>
      </c>
      <c r="AG235" s="27">
        <v>0</v>
      </c>
      <c r="AH235" s="28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f t="shared" si="25"/>
        <v>3.0245800000000002E-3</v>
      </c>
      <c r="AN235" s="27">
        <f t="shared" si="24"/>
        <v>3.0245800000000002E-3</v>
      </c>
      <c r="AO235" s="35" t="s">
        <v>1485</v>
      </c>
    </row>
    <row r="236" spans="1:41" s="2" customFormat="1" ht="31.5" customHeight="1" x14ac:dyDescent="0.25">
      <c r="A236" s="8" t="s">
        <v>417</v>
      </c>
      <c r="B236" s="39" t="s">
        <v>440</v>
      </c>
      <c r="C236" s="29" t="s">
        <v>441</v>
      </c>
      <c r="D236" s="36" t="s">
        <v>1481</v>
      </c>
      <c r="E236" s="30">
        <v>2016</v>
      </c>
      <c r="F236" s="30">
        <v>2016</v>
      </c>
      <c r="G236" s="30" t="s">
        <v>1435</v>
      </c>
      <c r="H236" s="27">
        <v>7.0947075208913654E-4</v>
      </c>
      <c r="I236" s="27">
        <v>7.0918384401114207E-4</v>
      </c>
      <c r="J236" s="27">
        <v>0</v>
      </c>
      <c r="K236" s="27">
        <v>5.0940000000000004E-3</v>
      </c>
      <c r="L236" s="27">
        <v>0</v>
      </c>
      <c r="M236" s="27">
        <v>2.3670000000000002E-3</v>
      </c>
      <c r="N236" s="27">
        <v>2.7269999999999998E-3</v>
      </c>
      <c r="O236" s="27">
        <v>0</v>
      </c>
      <c r="P236" s="27">
        <v>5.0919399999999997E-3</v>
      </c>
      <c r="Q236" s="27">
        <v>0</v>
      </c>
      <c r="R236" s="27">
        <v>2.3668000000000001E-3</v>
      </c>
      <c r="S236" s="27">
        <v>2.72514E-3</v>
      </c>
      <c r="T236" s="27">
        <v>0</v>
      </c>
      <c r="U236" s="27">
        <v>7.0947075208913654E-4</v>
      </c>
      <c r="V236" s="27">
        <v>5.0940000000000004E-3</v>
      </c>
      <c r="W236" s="27">
        <v>0</v>
      </c>
      <c r="X236" s="27">
        <f t="shared" si="21"/>
        <v>0</v>
      </c>
      <c r="Y236" s="27">
        <v>0</v>
      </c>
      <c r="Z236" s="27">
        <f t="shared" si="22"/>
        <v>0</v>
      </c>
      <c r="AA236" s="27">
        <v>0</v>
      </c>
      <c r="AB236" s="28">
        <v>0</v>
      </c>
      <c r="AC236" s="27">
        <v>0</v>
      </c>
      <c r="AD236" s="28">
        <v>0</v>
      </c>
      <c r="AE236" s="27">
        <f>0.00601092/1.18</f>
        <v>5.0940000000000004E-3</v>
      </c>
      <c r="AF236" s="28">
        <f>0.0060084892/1.18</f>
        <v>5.0919399999999997E-3</v>
      </c>
      <c r="AG236" s="27">
        <v>0</v>
      </c>
      <c r="AH236" s="28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f t="shared" si="25"/>
        <v>5.0919399999999997E-3</v>
      </c>
      <c r="AN236" s="27">
        <f t="shared" si="24"/>
        <v>5.0919399999999997E-3</v>
      </c>
      <c r="AO236" s="35" t="s">
        <v>1485</v>
      </c>
    </row>
    <row r="237" spans="1:41" s="2" customFormat="1" ht="31.5" customHeight="1" x14ac:dyDescent="0.25">
      <c r="A237" s="8" t="s">
        <v>417</v>
      </c>
      <c r="B237" s="39" t="s">
        <v>442</v>
      </c>
      <c r="C237" s="29" t="s">
        <v>443</v>
      </c>
      <c r="D237" s="36" t="s">
        <v>1481</v>
      </c>
      <c r="E237" s="30">
        <v>2016</v>
      </c>
      <c r="F237" s="30">
        <v>2016</v>
      </c>
      <c r="G237" s="30" t="s">
        <v>1435</v>
      </c>
      <c r="H237" s="27">
        <v>1.3305981776120107E-3</v>
      </c>
      <c r="I237" s="27">
        <v>1.368132311977716E-3</v>
      </c>
      <c r="J237" s="27">
        <v>0</v>
      </c>
      <c r="K237" s="27">
        <v>9.5536949152542367E-3</v>
      </c>
      <c r="L237" s="27">
        <v>0</v>
      </c>
      <c r="M237" s="27">
        <v>6.7199999999999994E-3</v>
      </c>
      <c r="N237" s="27">
        <v>3.0999999999999999E-3</v>
      </c>
      <c r="O237" s="27">
        <v>0</v>
      </c>
      <c r="P237" s="27">
        <v>9.8231900000000007E-3</v>
      </c>
      <c r="Q237" s="27">
        <v>0</v>
      </c>
      <c r="R237" s="27">
        <v>6.7241200000000001E-3</v>
      </c>
      <c r="S237" s="27">
        <v>3.0990700000000002E-3</v>
      </c>
      <c r="T237" s="27">
        <v>0</v>
      </c>
      <c r="U237" s="27">
        <v>1.3305981776120107E-3</v>
      </c>
      <c r="V237" s="27">
        <v>9.5536949152542367E-3</v>
      </c>
      <c r="W237" s="27">
        <v>0</v>
      </c>
      <c r="X237" s="27">
        <f t="shared" si="21"/>
        <v>0</v>
      </c>
      <c r="Y237" s="27">
        <v>0</v>
      </c>
      <c r="Z237" s="27">
        <f t="shared" si="22"/>
        <v>0</v>
      </c>
      <c r="AA237" s="27">
        <v>0</v>
      </c>
      <c r="AB237" s="28">
        <v>0</v>
      </c>
      <c r="AC237" s="27">
        <v>0</v>
      </c>
      <c r="AD237" s="28">
        <v>0</v>
      </c>
      <c r="AE237" s="27">
        <f>0.01127336/1.18</f>
        <v>9.5536949152542367E-3</v>
      </c>
      <c r="AF237" s="28">
        <f>0.0115913642/1.18</f>
        <v>9.8231900000000007E-3</v>
      </c>
      <c r="AG237" s="27">
        <v>0</v>
      </c>
      <c r="AH237" s="28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f t="shared" si="25"/>
        <v>9.8231900000000007E-3</v>
      </c>
      <c r="AN237" s="27">
        <f t="shared" si="24"/>
        <v>9.8231900000000007E-3</v>
      </c>
      <c r="AO237" s="35" t="s">
        <v>1485</v>
      </c>
    </row>
    <row r="238" spans="1:41" ht="31.5" customHeight="1" x14ac:dyDescent="0.25">
      <c r="A238" s="8" t="s">
        <v>417</v>
      </c>
      <c r="B238" s="39" t="s">
        <v>444</v>
      </c>
      <c r="C238" s="29" t="s">
        <v>445</v>
      </c>
      <c r="D238" s="38" t="s">
        <v>1481</v>
      </c>
      <c r="E238" s="30">
        <v>2016</v>
      </c>
      <c r="F238" s="30">
        <v>2016</v>
      </c>
      <c r="G238" s="30" t="s">
        <v>1435</v>
      </c>
      <c r="H238" s="27">
        <v>9.9498607242339845E-4</v>
      </c>
      <c r="I238" s="27">
        <v>4.2057200557103066E-3</v>
      </c>
      <c r="J238" s="27">
        <v>0</v>
      </c>
      <c r="K238" s="27">
        <v>7.144000000000001E-3</v>
      </c>
      <c r="L238" s="27">
        <v>0</v>
      </c>
      <c r="M238" s="27">
        <v>4.2969999999999996E-3</v>
      </c>
      <c r="N238" s="27">
        <v>2.8470000000000001E-3</v>
      </c>
      <c r="O238" s="27">
        <v>0</v>
      </c>
      <c r="P238" s="27">
        <v>3.0197069999999999E-2</v>
      </c>
      <c r="Q238" s="27">
        <v>0</v>
      </c>
      <c r="R238" s="27">
        <v>1.346604E-2</v>
      </c>
      <c r="S238" s="27">
        <v>1.6731030000000001E-2</v>
      </c>
      <c r="T238" s="27">
        <v>0</v>
      </c>
      <c r="U238" s="27">
        <v>9.9498607242339845E-4</v>
      </c>
      <c r="V238" s="27">
        <v>7.144000000000001E-3</v>
      </c>
      <c r="W238" s="27">
        <v>0</v>
      </c>
      <c r="X238" s="27">
        <f t="shared" si="21"/>
        <v>0</v>
      </c>
      <c r="Y238" s="27">
        <v>0</v>
      </c>
      <c r="Z238" s="27">
        <f t="shared" si="22"/>
        <v>0</v>
      </c>
      <c r="AA238" s="27">
        <v>0</v>
      </c>
      <c r="AB238" s="28">
        <v>0</v>
      </c>
      <c r="AC238" s="27">
        <v>0</v>
      </c>
      <c r="AD238" s="28">
        <v>0</v>
      </c>
      <c r="AE238" s="27">
        <f>0.00842992/1.18</f>
        <v>7.144000000000001E-3</v>
      </c>
      <c r="AF238" s="28">
        <f>0.0356325426/1.18</f>
        <v>3.0197069999999999E-2</v>
      </c>
      <c r="AG238" s="27">
        <v>0</v>
      </c>
      <c r="AH238" s="28">
        <v>0</v>
      </c>
      <c r="AI238" s="27">
        <v>0</v>
      </c>
      <c r="AJ238" s="27">
        <v>0</v>
      </c>
      <c r="AK238" s="27">
        <v>0</v>
      </c>
      <c r="AL238" s="27">
        <v>0</v>
      </c>
      <c r="AM238" s="27">
        <f t="shared" si="25"/>
        <v>3.0197069999999999E-2</v>
      </c>
      <c r="AN238" s="27">
        <f t="shared" si="24"/>
        <v>3.0197069999999999E-2</v>
      </c>
      <c r="AO238" s="35" t="s">
        <v>1485</v>
      </c>
    </row>
    <row r="239" spans="1:41" ht="31.5" customHeight="1" x14ac:dyDescent="0.25">
      <c r="A239" s="8" t="s">
        <v>417</v>
      </c>
      <c r="B239" s="39" t="s">
        <v>446</v>
      </c>
      <c r="C239" s="29" t="s">
        <v>447</v>
      </c>
      <c r="D239" s="38" t="s">
        <v>1481</v>
      </c>
      <c r="E239" s="30">
        <v>2016</v>
      </c>
      <c r="F239" s="30">
        <v>2016</v>
      </c>
      <c r="G239" s="30" t="s">
        <v>1435</v>
      </c>
      <c r="H239" s="27">
        <v>5.6406685236768815E-4</v>
      </c>
      <c r="I239" s="27">
        <v>5.6423816155988862E-4</v>
      </c>
      <c r="J239" s="27">
        <v>0</v>
      </c>
      <c r="K239" s="27">
        <v>4.0500000000000006E-3</v>
      </c>
      <c r="L239" s="27">
        <v>0</v>
      </c>
      <c r="M239" s="27">
        <v>1.9299999999999999E-3</v>
      </c>
      <c r="N239" s="27">
        <v>2.1199999999999999E-3</v>
      </c>
      <c r="O239" s="27">
        <v>0</v>
      </c>
      <c r="P239" s="27">
        <v>4.0512300000000003E-3</v>
      </c>
      <c r="Q239" s="27">
        <v>0</v>
      </c>
      <c r="R239" s="27">
        <v>1.9298100000000001E-3</v>
      </c>
      <c r="S239" s="27">
        <v>2.1214200000000002E-3</v>
      </c>
      <c r="T239" s="27">
        <v>0</v>
      </c>
      <c r="U239" s="27">
        <v>5.6406685236768815E-4</v>
      </c>
      <c r="V239" s="27">
        <v>4.0500000000000006E-3</v>
      </c>
      <c r="W239" s="27">
        <v>0</v>
      </c>
      <c r="X239" s="27">
        <f t="shared" si="21"/>
        <v>0</v>
      </c>
      <c r="Y239" s="27">
        <v>0</v>
      </c>
      <c r="Z239" s="27">
        <f t="shared" si="22"/>
        <v>0</v>
      </c>
      <c r="AA239" s="27">
        <v>0</v>
      </c>
      <c r="AB239" s="28">
        <v>0</v>
      </c>
      <c r="AC239" s="27">
        <v>0</v>
      </c>
      <c r="AD239" s="28">
        <v>0</v>
      </c>
      <c r="AE239" s="27">
        <f>0.004779/1.18</f>
        <v>4.0500000000000006E-3</v>
      </c>
      <c r="AF239" s="28">
        <f>0.0047804514/1.18</f>
        <v>4.0512300000000003E-3</v>
      </c>
      <c r="AG239" s="27">
        <v>0</v>
      </c>
      <c r="AH239" s="28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f t="shared" si="25"/>
        <v>4.0512300000000003E-3</v>
      </c>
      <c r="AN239" s="27">
        <f t="shared" si="24"/>
        <v>4.0512300000000003E-3</v>
      </c>
      <c r="AO239" s="35" t="s">
        <v>1485</v>
      </c>
    </row>
    <row r="240" spans="1:41" ht="31.5" customHeight="1" x14ac:dyDescent="0.25">
      <c r="A240" s="8" t="s">
        <v>417</v>
      </c>
      <c r="B240" s="39" t="s">
        <v>448</v>
      </c>
      <c r="C240" s="29" t="s">
        <v>449</v>
      </c>
      <c r="D240" s="38" t="s">
        <v>1481</v>
      </c>
      <c r="E240" s="30">
        <v>2016</v>
      </c>
      <c r="F240" s="30">
        <v>2016</v>
      </c>
      <c r="G240" s="30" t="s">
        <v>1435</v>
      </c>
      <c r="H240" s="27">
        <v>2.9470752089136494E-3</v>
      </c>
      <c r="I240" s="27">
        <v>2.9466225626740947E-3</v>
      </c>
      <c r="J240" s="27">
        <v>0</v>
      </c>
      <c r="K240" s="27">
        <v>2.1160000000000002E-2</v>
      </c>
      <c r="L240" s="27">
        <v>0</v>
      </c>
      <c r="M240" s="27">
        <v>7.0899999999999999E-3</v>
      </c>
      <c r="N240" s="27">
        <v>1.4070000000000001E-2</v>
      </c>
      <c r="O240" s="27">
        <v>0</v>
      </c>
      <c r="P240" s="27">
        <v>2.1156749999999998E-2</v>
      </c>
      <c r="Q240" s="27">
        <v>0</v>
      </c>
      <c r="R240" s="27">
        <v>7.0881999999999994E-3</v>
      </c>
      <c r="S240" s="27">
        <v>1.4068550000000001E-2</v>
      </c>
      <c r="T240" s="27">
        <v>0</v>
      </c>
      <c r="U240" s="27">
        <v>2.9470752089136494E-3</v>
      </c>
      <c r="V240" s="27">
        <v>2.1160000000000002E-2</v>
      </c>
      <c r="W240" s="27">
        <v>0</v>
      </c>
      <c r="X240" s="27">
        <f t="shared" si="21"/>
        <v>0</v>
      </c>
      <c r="Y240" s="27">
        <v>0</v>
      </c>
      <c r="Z240" s="27">
        <f t="shared" si="22"/>
        <v>0</v>
      </c>
      <c r="AA240" s="27">
        <v>0</v>
      </c>
      <c r="AB240" s="28">
        <v>0</v>
      </c>
      <c r="AC240" s="27">
        <v>0</v>
      </c>
      <c r="AD240" s="28">
        <v>0</v>
      </c>
      <c r="AE240" s="27">
        <f>0.0249688/1.18</f>
        <v>2.1160000000000002E-2</v>
      </c>
      <c r="AF240" s="28">
        <f>0.024964965/1.18</f>
        <v>2.1156749999999998E-2</v>
      </c>
      <c r="AG240" s="27">
        <v>0</v>
      </c>
      <c r="AH240" s="28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f t="shared" si="25"/>
        <v>2.1156749999999998E-2</v>
      </c>
      <c r="AN240" s="27">
        <f t="shared" si="24"/>
        <v>2.1156749999999998E-2</v>
      </c>
      <c r="AO240" s="35" t="s">
        <v>1485</v>
      </c>
    </row>
    <row r="241" spans="1:41" ht="31.5" customHeight="1" x14ac:dyDescent="0.25">
      <c r="A241" s="8" t="s">
        <v>417</v>
      </c>
      <c r="B241" s="39" t="s">
        <v>450</v>
      </c>
      <c r="C241" s="29" t="s">
        <v>451</v>
      </c>
      <c r="D241" s="38" t="s">
        <v>1481</v>
      </c>
      <c r="E241" s="30">
        <v>2016</v>
      </c>
      <c r="F241" s="30">
        <v>2016</v>
      </c>
      <c r="G241" s="30" t="s">
        <v>1435</v>
      </c>
      <c r="H241" s="27">
        <v>4.1504178272980502E-4</v>
      </c>
      <c r="I241" s="27">
        <v>4.1515041782729808E-4</v>
      </c>
      <c r="J241" s="27">
        <v>0</v>
      </c>
      <c r="K241" s="27">
        <v>2.98E-3</v>
      </c>
      <c r="L241" s="27">
        <v>0</v>
      </c>
      <c r="M241" s="27">
        <v>1.06E-3</v>
      </c>
      <c r="N241" s="27">
        <v>1.9199999999999998E-3</v>
      </c>
      <c r="O241" s="27">
        <v>0</v>
      </c>
      <c r="P241" s="27">
        <v>2.9807800000000001E-3</v>
      </c>
      <c r="Q241" s="27">
        <v>0</v>
      </c>
      <c r="R241" s="27">
        <v>1.0623899999999999E-3</v>
      </c>
      <c r="S241" s="27">
        <v>1.9183900000000001E-3</v>
      </c>
      <c r="T241" s="27">
        <v>0</v>
      </c>
      <c r="U241" s="27">
        <v>4.1504178272980502E-4</v>
      </c>
      <c r="V241" s="27">
        <v>2.98E-3</v>
      </c>
      <c r="W241" s="27">
        <v>0</v>
      </c>
      <c r="X241" s="27">
        <f t="shared" si="21"/>
        <v>0</v>
      </c>
      <c r="Y241" s="27">
        <v>0</v>
      </c>
      <c r="Z241" s="27">
        <f t="shared" si="22"/>
        <v>0</v>
      </c>
      <c r="AA241" s="27">
        <v>0</v>
      </c>
      <c r="AB241" s="28">
        <v>0</v>
      </c>
      <c r="AC241" s="27">
        <v>0</v>
      </c>
      <c r="AD241" s="28">
        <v>0</v>
      </c>
      <c r="AE241" s="27">
        <f>0.0035164/1.18</f>
        <v>2.98E-3</v>
      </c>
      <c r="AF241" s="28">
        <f>0.0035173204/1.18</f>
        <v>2.9807800000000001E-3</v>
      </c>
      <c r="AG241" s="27">
        <v>0</v>
      </c>
      <c r="AH241" s="28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f t="shared" si="25"/>
        <v>2.9807800000000001E-3</v>
      </c>
      <c r="AN241" s="27">
        <f t="shared" si="24"/>
        <v>2.9807800000000001E-3</v>
      </c>
      <c r="AO241" s="35" t="s">
        <v>1485</v>
      </c>
    </row>
    <row r="242" spans="1:41" ht="31.5" customHeight="1" x14ac:dyDescent="0.25">
      <c r="A242" s="8" t="s">
        <v>417</v>
      </c>
      <c r="B242" s="39" t="s">
        <v>452</v>
      </c>
      <c r="C242" s="29" t="s">
        <v>453</v>
      </c>
      <c r="D242" s="38" t="s">
        <v>1481</v>
      </c>
      <c r="E242" s="30">
        <v>2016</v>
      </c>
      <c r="F242" s="30">
        <v>2016</v>
      </c>
      <c r="G242" s="30" t="s">
        <v>1435</v>
      </c>
      <c r="H242" s="27">
        <v>9.772980501392759E-4</v>
      </c>
      <c r="I242" s="27">
        <v>9.7743871866295289E-4</v>
      </c>
      <c r="J242" s="27">
        <v>0</v>
      </c>
      <c r="K242" s="27">
        <v>7.0170000000000007E-3</v>
      </c>
      <c r="L242" s="27">
        <v>0</v>
      </c>
      <c r="M242" s="27">
        <v>1.6899999999999999E-3</v>
      </c>
      <c r="N242" s="27">
        <v>5.3270000000000001E-3</v>
      </c>
      <c r="O242" s="27">
        <v>0</v>
      </c>
      <c r="P242" s="27">
        <v>7.0180100000000007E-3</v>
      </c>
      <c r="Q242" s="27">
        <v>0</v>
      </c>
      <c r="R242" s="27">
        <v>1.6926199999999999E-3</v>
      </c>
      <c r="S242" s="27">
        <v>5.3253899999999993E-3</v>
      </c>
      <c r="T242" s="27">
        <v>0</v>
      </c>
      <c r="U242" s="27">
        <v>9.772980501392759E-4</v>
      </c>
      <c r="V242" s="27">
        <v>7.0170000000000007E-3</v>
      </c>
      <c r="W242" s="27">
        <v>0</v>
      </c>
      <c r="X242" s="27">
        <f t="shared" si="21"/>
        <v>0</v>
      </c>
      <c r="Y242" s="27">
        <v>0</v>
      </c>
      <c r="Z242" s="27">
        <f t="shared" si="22"/>
        <v>0</v>
      </c>
      <c r="AA242" s="27">
        <v>0</v>
      </c>
      <c r="AB242" s="28">
        <v>0</v>
      </c>
      <c r="AC242" s="27">
        <v>0</v>
      </c>
      <c r="AD242" s="28">
        <v>0</v>
      </c>
      <c r="AE242" s="27">
        <f>0.00828006/1.18</f>
        <v>7.0170000000000007E-3</v>
      </c>
      <c r="AF242" s="28">
        <f>0.0082812518/1.18</f>
        <v>7.0180100000000007E-3</v>
      </c>
      <c r="AG242" s="27">
        <v>0</v>
      </c>
      <c r="AH242" s="28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f t="shared" si="25"/>
        <v>7.0180100000000007E-3</v>
      </c>
      <c r="AN242" s="27">
        <f t="shared" si="24"/>
        <v>7.0180100000000007E-3</v>
      </c>
      <c r="AO242" s="35" t="s">
        <v>1485</v>
      </c>
    </row>
    <row r="243" spans="1:41" ht="31.5" customHeight="1" x14ac:dyDescent="0.25">
      <c r="A243" s="8" t="s">
        <v>417</v>
      </c>
      <c r="B243" s="39" t="s">
        <v>454</v>
      </c>
      <c r="C243" s="29" t="s">
        <v>455</v>
      </c>
      <c r="D243" s="38" t="s">
        <v>1481</v>
      </c>
      <c r="E243" s="30">
        <v>2016</v>
      </c>
      <c r="F243" s="30">
        <v>2016</v>
      </c>
      <c r="G243" s="30" t="s">
        <v>1435</v>
      </c>
      <c r="H243" s="27">
        <v>3.1633704735376045E-3</v>
      </c>
      <c r="I243" s="27">
        <v>4.992423398328691E-4</v>
      </c>
      <c r="J243" s="27">
        <v>0</v>
      </c>
      <c r="K243" s="27">
        <v>2.2713000000000001E-2</v>
      </c>
      <c r="L243" s="27">
        <v>0</v>
      </c>
      <c r="M243" s="27">
        <v>1.4599999999999999E-3</v>
      </c>
      <c r="N243" s="27">
        <v>2.1253000000000001E-2</v>
      </c>
      <c r="O243" s="27">
        <v>0</v>
      </c>
      <c r="P243" s="27">
        <v>3.5845600000000001E-3</v>
      </c>
      <c r="Q243" s="27">
        <v>0</v>
      </c>
      <c r="R243" s="27">
        <v>1.45918E-3</v>
      </c>
      <c r="S243" s="27">
        <v>2.1253799999999996E-3</v>
      </c>
      <c r="T243" s="27">
        <v>0</v>
      </c>
      <c r="U243" s="27">
        <v>3.1633704735376045E-3</v>
      </c>
      <c r="V243" s="27">
        <v>2.2713000000000001E-2</v>
      </c>
      <c r="W243" s="27">
        <v>0</v>
      </c>
      <c r="X243" s="27">
        <f t="shared" si="21"/>
        <v>0</v>
      </c>
      <c r="Y243" s="27">
        <v>0</v>
      </c>
      <c r="Z243" s="27">
        <f t="shared" si="22"/>
        <v>0</v>
      </c>
      <c r="AA243" s="27">
        <v>0</v>
      </c>
      <c r="AB243" s="28">
        <v>0</v>
      </c>
      <c r="AC243" s="27">
        <v>0</v>
      </c>
      <c r="AD243" s="28">
        <v>0</v>
      </c>
      <c r="AE243" s="27">
        <f>0.02680134/1.18</f>
        <v>2.2713000000000001E-2</v>
      </c>
      <c r="AF243" s="28">
        <f>0.0042297808/1.18</f>
        <v>3.5845600000000001E-3</v>
      </c>
      <c r="AG243" s="27">
        <v>0</v>
      </c>
      <c r="AH243" s="28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f t="shared" si="25"/>
        <v>3.5845600000000001E-3</v>
      </c>
      <c r="AN243" s="27">
        <f t="shared" si="24"/>
        <v>3.5845600000000001E-3</v>
      </c>
      <c r="AO243" s="35" t="s">
        <v>1485</v>
      </c>
    </row>
    <row r="244" spans="1:41" ht="31.5" customHeight="1" x14ac:dyDescent="0.25">
      <c r="A244" s="8" t="s">
        <v>417</v>
      </c>
      <c r="B244" s="39" t="s">
        <v>456</v>
      </c>
      <c r="C244" s="29" t="s">
        <v>457</v>
      </c>
      <c r="D244" s="38" t="s">
        <v>1481</v>
      </c>
      <c r="E244" s="30">
        <v>2016</v>
      </c>
      <c r="F244" s="30">
        <v>2016</v>
      </c>
      <c r="G244" s="30" t="s">
        <v>1435</v>
      </c>
      <c r="H244" s="27">
        <v>4.9721448467966581E-4</v>
      </c>
      <c r="I244" s="27">
        <v>4.9790250696378838E-4</v>
      </c>
      <c r="J244" s="27">
        <v>0</v>
      </c>
      <c r="K244" s="27">
        <v>3.5700000000000007E-3</v>
      </c>
      <c r="L244" s="27">
        <v>0</v>
      </c>
      <c r="M244" s="27">
        <v>1.64E-3</v>
      </c>
      <c r="N244" s="27">
        <v>1.9299999999999999E-3</v>
      </c>
      <c r="O244" s="27">
        <v>0</v>
      </c>
      <c r="P244" s="27">
        <v>3.5749400000000004E-3</v>
      </c>
      <c r="Q244" s="27">
        <v>0</v>
      </c>
      <c r="R244" s="27">
        <v>1.64456E-3</v>
      </c>
      <c r="S244" s="27">
        <v>1.93038E-3</v>
      </c>
      <c r="T244" s="27">
        <v>0</v>
      </c>
      <c r="U244" s="27">
        <v>4.9721448467966581E-4</v>
      </c>
      <c r="V244" s="27">
        <v>3.5700000000000007E-3</v>
      </c>
      <c r="W244" s="27">
        <v>0</v>
      </c>
      <c r="X244" s="27">
        <f t="shared" si="21"/>
        <v>0</v>
      </c>
      <c r="Y244" s="27">
        <v>0</v>
      </c>
      <c r="Z244" s="27">
        <f t="shared" si="22"/>
        <v>0</v>
      </c>
      <c r="AA244" s="27">
        <v>0</v>
      </c>
      <c r="AB244" s="28">
        <v>0</v>
      </c>
      <c r="AC244" s="27">
        <v>0</v>
      </c>
      <c r="AD244" s="28">
        <v>0</v>
      </c>
      <c r="AE244" s="27">
        <f>0.0042126/1.18</f>
        <v>3.5700000000000007E-3</v>
      </c>
      <c r="AF244" s="28">
        <f>0.0042184292/1.18</f>
        <v>3.5749400000000004E-3</v>
      </c>
      <c r="AG244" s="27">
        <v>0</v>
      </c>
      <c r="AH244" s="28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f t="shared" si="25"/>
        <v>3.5749400000000004E-3</v>
      </c>
      <c r="AN244" s="27">
        <f t="shared" si="24"/>
        <v>3.5749400000000004E-3</v>
      </c>
      <c r="AO244" s="35" t="s">
        <v>1485</v>
      </c>
    </row>
    <row r="245" spans="1:41" ht="31.5" customHeight="1" x14ac:dyDescent="0.25">
      <c r="A245" s="8" t="s">
        <v>417</v>
      </c>
      <c r="B245" s="39" t="s">
        <v>458</v>
      </c>
      <c r="C245" s="29" t="s">
        <v>459</v>
      </c>
      <c r="D245" s="38" t="s">
        <v>1481</v>
      </c>
      <c r="E245" s="30">
        <v>2016</v>
      </c>
      <c r="F245" s="30">
        <v>2016</v>
      </c>
      <c r="G245" s="30" t="s">
        <v>1435</v>
      </c>
      <c r="H245" s="27">
        <v>5.2256267409470753E-4</v>
      </c>
      <c r="I245" s="27">
        <v>5.2245682451253488E-4</v>
      </c>
      <c r="J245" s="27">
        <v>0</v>
      </c>
      <c r="K245" s="27">
        <v>3.7520000000000001E-3</v>
      </c>
      <c r="L245" s="27">
        <v>0</v>
      </c>
      <c r="M245" s="27">
        <v>1.6519999999999998E-3</v>
      </c>
      <c r="N245" s="27">
        <v>2.1000000000000003E-3</v>
      </c>
      <c r="O245" s="27">
        <v>0</v>
      </c>
      <c r="P245" s="27">
        <v>3.7512400000000003E-3</v>
      </c>
      <c r="Q245" s="27">
        <v>0</v>
      </c>
      <c r="R245" s="27">
        <v>2.10282E-3</v>
      </c>
      <c r="S245" s="27">
        <v>1.6484200000000001E-3</v>
      </c>
      <c r="T245" s="27">
        <v>0</v>
      </c>
      <c r="U245" s="27">
        <v>5.2256267409470753E-4</v>
      </c>
      <c r="V245" s="27">
        <v>3.7520000000000001E-3</v>
      </c>
      <c r="W245" s="27">
        <v>0</v>
      </c>
      <c r="X245" s="27">
        <f t="shared" si="21"/>
        <v>0</v>
      </c>
      <c r="Y245" s="27">
        <v>0</v>
      </c>
      <c r="Z245" s="27">
        <f t="shared" si="22"/>
        <v>0</v>
      </c>
      <c r="AA245" s="27">
        <v>0</v>
      </c>
      <c r="AB245" s="28">
        <v>0</v>
      </c>
      <c r="AC245" s="27">
        <v>0</v>
      </c>
      <c r="AD245" s="28">
        <v>0</v>
      </c>
      <c r="AE245" s="27">
        <f>0.00442736/1.18</f>
        <v>3.7520000000000001E-3</v>
      </c>
      <c r="AF245" s="28">
        <f>0.0044264632/1.18</f>
        <v>3.7512400000000003E-3</v>
      </c>
      <c r="AG245" s="27">
        <v>0</v>
      </c>
      <c r="AH245" s="28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f t="shared" si="25"/>
        <v>3.7512400000000003E-3</v>
      </c>
      <c r="AN245" s="27">
        <f t="shared" si="24"/>
        <v>3.7512400000000003E-3</v>
      </c>
      <c r="AO245" s="35" t="s">
        <v>1485</v>
      </c>
    </row>
    <row r="246" spans="1:41" ht="31.5" customHeight="1" x14ac:dyDescent="0.25">
      <c r="A246" s="8" t="s">
        <v>417</v>
      </c>
      <c r="B246" s="39" t="s">
        <v>460</v>
      </c>
      <c r="C246" s="29" t="s">
        <v>461</v>
      </c>
      <c r="D246" s="38" t="s">
        <v>1481</v>
      </c>
      <c r="E246" s="30">
        <v>2016</v>
      </c>
      <c r="F246" s="30">
        <v>2016</v>
      </c>
      <c r="G246" s="30" t="s">
        <v>1435</v>
      </c>
      <c r="H246" s="27">
        <v>7.7506963788300843E-4</v>
      </c>
      <c r="I246" s="27">
        <v>7.7404178272980507E-4</v>
      </c>
      <c r="J246" s="27">
        <v>0</v>
      </c>
      <c r="K246" s="27">
        <v>5.5650000000000005E-3</v>
      </c>
      <c r="L246" s="27">
        <v>0</v>
      </c>
      <c r="M246" s="27">
        <v>2.983E-3</v>
      </c>
      <c r="N246" s="27">
        <v>2.5819999999999997E-3</v>
      </c>
      <c r="O246" s="27">
        <v>0</v>
      </c>
      <c r="P246" s="27">
        <v>5.5576200000000001E-3</v>
      </c>
      <c r="Q246" s="27">
        <v>0</v>
      </c>
      <c r="R246" s="27">
        <v>2.5811099999999997E-3</v>
      </c>
      <c r="S246" s="27">
        <v>2.9765100000000004E-3</v>
      </c>
      <c r="T246" s="27">
        <v>0</v>
      </c>
      <c r="U246" s="27">
        <v>7.7506963788300843E-4</v>
      </c>
      <c r="V246" s="27">
        <v>5.5650000000000005E-3</v>
      </c>
      <c r="W246" s="27">
        <v>0</v>
      </c>
      <c r="X246" s="27">
        <f t="shared" si="21"/>
        <v>0</v>
      </c>
      <c r="Y246" s="27">
        <v>0</v>
      </c>
      <c r="Z246" s="27">
        <f t="shared" si="22"/>
        <v>0</v>
      </c>
      <c r="AA246" s="27">
        <v>0</v>
      </c>
      <c r="AB246" s="28">
        <v>0</v>
      </c>
      <c r="AC246" s="27">
        <v>0</v>
      </c>
      <c r="AD246" s="28">
        <v>0</v>
      </c>
      <c r="AE246" s="27">
        <f>0.0065667/1.18</f>
        <v>5.5650000000000005E-3</v>
      </c>
      <c r="AF246" s="28">
        <f>0.0065579916/1.18</f>
        <v>5.5576200000000001E-3</v>
      </c>
      <c r="AG246" s="27">
        <v>0</v>
      </c>
      <c r="AH246" s="28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f t="shared" si="25"/>
        <v>5.5576200000000001E-3</v>
      </c>
      <c r="AN246" s="27">
        <f t="shared" si="24"/>
        <v>5.5576200000000001E-3</v>
      </c>
      <c r="AO246" s="35" t="s">
        <v>1485</v>
      </c>
    </row>
    <row r="247" spans="1:41" ht="31.5" customHeight="1" x14ac:dyDescent="0.25">
      <c r="A247" s="8" t="s">
        <v>417</v>
      </c>
      <c r="B247" s="39" t="s">
        <v>462</v>
      </c>
      <c r="C247" s="29" t="s">
        <v>463</v>
      </c>
      <c r="D247" s="38" t="s">
        <v>1481</v>
      </c>
      <c r="E247" s="30">
        <v>2016</v>
      </c>
      <c r="F247" s="30">
        <v>2016</v>
      </c>
      <c r="G247" s="30" t="s">
        <v>1435</v>
      </c>
      <c r="H247" s="27">
        <v>7.9387186629526472E-4</v>
      </c>
      <c r="I247" s="27">
        <v>7.9394986072423403E-4</v>
      </c>
      <c r="J247" s="27">
        <v>0</v>
      </c>
      <c r="K247" s="27">
        <v>5.7000000000000002E-3</v>
      </c>
      <c r="L247" s="27">
        <v>0</v>
      </c>
      <c r="M247" s="27">
        <v>4.3E-3</v>
      </c>
      <c r="N247" s="27">
        <v>1.4E-3</v>
      </c>
      <c r="O247" s="27">
        <v>0</v>
      </c>
      <c r="P247" s="27">
        <v>5.7005600000000003E-3</v>
      </c>
      <c r="Q247" s="27">
        <v>0</v>
      </c>
      <c r="R247" s="27">
        <v>4.2956899999999996E-3</v>
      </c>
      <c r="S247" s="27">
        <v>1.4048700000000001E-3</v>
      </c>
      <c r="T247" s="27">
        <v>0</v>
      </c>
      <c r="U247" s="27">
        <v>7.9387186629526472E-4</v>
      </c>
      <c r="V247" s="27">
        <v>5.7000000000000002E-3</v>
      </c>
      <c r="W247" s="27">
        <v>0</v>
      </c>
      <c r="X247" s="27">
        <f t="shared" si="21"/>
        <v>0</v>
      </c>
      <c r="Y247" s="27">
        <v>0</v>
      </c>
      <c r="Z247" s="27">
        <f t="shared" si="22"/>
        <v>0</v>
      </c>
      <c r="AA247" s="27">
        <v>0</v>
      </c>
      <c r="AB247" s="28">
        <v>0</v>
      </c>
      <c r="AC247" s="27">
        <v>0</v>
      </c>
      <c r="AD247" s="28">
        <v>0</v>
      </c>
      <c r="AE247" s="27">
        <f>0.006726/1.18</f>
        <v>5.7000000000000002E-3</v>
      </c>
      <c r="AF247" s="28">
        <f>0.0067266608/1.18</f>
        <v>5.7005600000000003E-3</v>
      </c>
      <c r="AG247" s="27">
        <v>0</v>
      </c>
      <c r="AH247" s="28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f t="shared" si="25"/>
        <v>5.7005600000000003E-3</v>
      </c>
      <c r="AN247" s="27">
        <f t="shared" si="24"/>
        <v>5.7005600000000003E-3</v>
      </c>
      <c r="AO247" s="35" t="s">
        <v>1485</v>
      </c>
    </row>
    <row r="248" spans="1:41" ht="31.5" customHeight="1" x14ac:dyDescent="0.25">
      <c r="A248" s="8"/>
      <c r="B248" s="39" t="s">
        <v>1436</v>
      </c>
      <c r="C248" s="29" t="s">
        <v>1437</v>
      </c>
      <c r="D248" s="38" t="s">
        <v>1481</v>
      </c>
      <c r="E248" s="30">
        <v>2016</v>
      </c>
      <c r="F248" s="30">
        <v>2016</v>
      </c>
      <c r="G248" s="30" t="s">
        <v>1435</v>
      </c>
      <c r="H248" s="27">
        <v>7.1740947075208915E-3</v>
      </c>
      <c r="I248" s="27">
        <v>7.1744136490250699E-3</v>
      </c>
      <c r="J248" s="27">
        <v>0</v>
      </c>
      <c r="K248" s="27">
        <v>5.151E-2</v>
      </c>
      <c r="L248" s="27">
        <v>0</v>
      </c>
      <c r="M248" s="27">
        <v>8.8599999999999998E-3</v>
      </c>
      <c r="N248" s="27">
        <v>4.265E-2</v>
      </c>
      <c r="O248" s="27">
        <v>0</v>
      </c>
      <c r="P248" s="27">
        <v>5.1512290000000002E-2</v>
      </c>
      <c r="Q248" s="27">
        <v>0</v>
      </c>
      <c r="R248" s="27">
        <v>8.8580400000000011E-3</v>
      </c>
      <c r="S248" s="27">
        <v>4.2654249999999998E-2</v>
      </c>
      <c r="T248" s="27">
        <v>0</v>
      </c>
      <c r="U248" s="27">
        <v>7.1740947075208915E-3</v>
      </c>
      <c r="V248" s="27">
        <v>5.151E-2</v>
      </c>
      <c r="W248" s="27">
        <v>0</v>
      </c>
      <c r="X248" s="27">
        <f t="shared" si="21"/>
        <v>0</v>
      </c>
      <c r="Y248" s="27">
        <v>0</v>
      </c>
      <c r="Z248" s="27">
        <f t="shared" si="22"/>
        <v>0</v>
      </c>
      <c r="AA248" s="27">
        <v>0</v>
      </c>
      <c r="AB248" s="28">
        <v>0</v>
      </c>
      <c r="AC248" s="27">
        <v>0</v>
      </c>
      <c r="AD248" s="28">
        <v>0</v>
      </c>
      <c r="AE248" s="27">
        <v>5.151E-2</v>
      </c>
      <c r="AF248" s="28">
        <v>5.1512290000000002E-2</v>
      </c>
      <c r="AG248" s="27">
        <v>0</v>
      </c>
      <c r="AH248" s="28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f t="shared" si="25"/>
        <v>5.1512290000000002E-2</v>
      </c>
      <c r="AN248" s="27">
        <f t="shared" si="24"/>
        <v>5.1512290000000002E-2</v>
      </c>
      <c r="AO248" s="35" t="s">
        <v>1485</v>
      </c>
    </row>
    <row r="249" spans="1:41" ht="52.5" customHeight="1" x14ac:dyDescent="0.25">
      <c r="A249" s="8" t="s">
        <v>417</v>
      </c>
      <c r="B249" s="39" t="s">
        <v>469</v>
      </c>
      <c r="C249" s="29" t="s">
        <v>470</v>
      </c>
      <c r="D249" s="38" t="s">
        <v>1481</v>
      </c>
      <c r="E249" s="30">
        <v>2016</v>
      </c>
      <c r="F249" s="30">
        <v>2016</v>
      </c>
      <c r="G249" s="30" t="s">
        <v>1435</v>
      </c>
      <c r="H249" s="27">
        <v>2.4791086350974931E-3</v>
      </c>
      <c r="I249" s="27">
        <v>2.4785208913649026E-3</v>
      </c>
      <c r="J249" s="27">
        <v>0</v>
      </c>
      <c r="K249" s="27">
        <v>1.78E-2</v>
      </c>
      <c r="L249" s="27">
        <v>0</v>
      </c>
      <c r="M249" s="27">
        <v>5.9299999999999995E-3</v>
      </c>
      <c r="N249" s="27">
        <v>1.1869999999999999E-2</v>
      </c>
      <c r="O249" s="27">
        <v>0</v>
      </c>
      <c r="P249" s="27">
        <v>1.7795780000000001E-2</v>
      </c>
      <c r="Q249" s="27">
        <v>0</v>
      </c>
      <c r="R249" s="27">
        <v>5.9251E-3</v>
      </c>
      <c r="S249" s="27">
        <v>1.187068E-2</v>
      </c>
      <c r="T249" s="27">
        <v>0</v>
      </c>
      <c r="U249" s="27">
        <v>2.4791086350974931E-3</v>
      </c>
      <c r="V249" s="27">
        <v>1.78E-2</v>
      </c>
      <c r="W249" s="27">
        <v>0</v>
      </c>
      <c r="X249" s="27">
        <f t="shared" si="21"/>
        <v>0</v>
      </c>
      <c r="Y249" s="27">
        <v>0</v>
      </c>
      <c r="Z249" s="27">
        <f t="shared" si="22"/>
        <v>0</v>
      </c>
      <c r="AA249" s="27">
        <v>0</v>
      </c>
      <c r="AB249" s="28">
        <v>0</v>
      </c>
      <c r="AC249" s="27">
        <v>0</v>
      </c>
      <c r="AD249" s="28">
        <v>0</v>
      </c>
      <c r="AE249" s="27">
        <f>0.021004/1.18</f>
        <v>1.78E-2</v>
      </c>
      <c r="AF249" s="28">
        <f>0.0209990204/1.18</f>
        <v>1.7795780000000001E-2</v>
      </c>
      <c r="AG249" s="27">
        <v>0</v>
      </c>
      <c r="AH249" s="28">
        <v>0</v>
      </c>
      <c r="AI249" s="27">
        <v>0</v>
      </c>
      <c r="AJ249" s="27">
        <v>0</v>
      </c>
      <c r="AK249" s="27">
        <v>0</v>
      </c>
      <c r="AL249" s="27">
        <v>0</v>
      </c>
      <c r="AM249" s="27">
        <f t="shared" si="25"/>
        <v>1.7795780000000001E-2</v>
      </c>
      <c r="AN249" s="27">
        <f t="shared" si="24"/>
        <v>1.7795780000000001E-2</v>
      </c>
      <c r="AO249" s="35" t="s">
        <v>1485</v>
      </c>
    </row>
    <row r="250" spans="1:41" ht="31.5" customHeight="1" x14ac:dyDescent="0.25">
      <c r="A250" s="8" t="s">
        <v>417</v>
      </c>
      <c r="B250" s="39" t="s">
        <v>471</v>
      </c>
      <c r="C250" s="29" t="s">
        <v>472</v>
      </c>
      <c r="D250" s="38" t="s">
        <v>1481</v>
      </c>
      <c r="E250" s="30">
        <v>2016</v>
      </c>
      <c r="F250" s="30">
        <v>2016</v>
      </c>
      <c r="G250" s="30" t="s">
        <v>1435</v>
      </c>
      <c r="H250" s="27">
        <v>2.1740947075208914E-3</v>
      </c>
      <c r="I250" s="27">
        <v>2.1740933147632313E-3</v>
      </c>
      <c r="J250" s="27">
        <v>0</v>
      </c>
      <c r="K250" s="27">
        <v>1.5610000000000001E-2</v>
      </c>
      <c r="L250" s="27">
        <v>0</v>
      </c>
      <c r="M250" s="27">
        <v>1.3689999999999999E-2</v>
      </c>
      <c r="N250" s="27">
        <v>1.9199999999999998E-3</v>
      </c>
      <c r="O250" s="27">
        <v>0</v>
      </c>
      <c r="P250" s="27">
        <v>1.5609989999999999E-2</v>
      </c>
      <c r="Q250" s="27">
        <v>0</v>
      </c>
      <c r="R250" s="27">
        <v>1.3694680000000001E-2</v>
      </c>
      <c r="S250" s="27">
        <v>1.9153100000000001E-3</v>
      </c>
      <c r="T250" s="27">
        <v>0</v>
      </c>
      <c r="U250" s="27">
        <v>2.1740947075208914E-3</v>
      </c>
      <c r="V250" s="27">
        <v>1.5610000000000001E-2</v>
      </c>
      <c r="W250" s="27">
        <v>0</v>
      </c>
      <c r="X250" s="27">
        <f t="shared" si="21"/>
        <v>0</v>
      </c>
      <c r="Y250" s="27">
        <v>0</v>
      </c>
      <c r="Z250" s="27">
        <f t="shared" si="22"/>
        <v>0</v>
      </c>
      <c r="AA250" s="27">
        <v>0</v>
      </c>
      <c r="AB250" s="28">
        <v>0</v>
      </c>
      <c r="AC250" s="27">
        <v>0</v>
      </c>
      <c r="AD250" s="28">
        <v>0</v>
      </c>
      <c r="AE250" s="27">
        <f>0.0184198/1.18</f>
        <v>1.5610000000000001E-2</v>
      </c>
      <c r="AF250" s="28">
        <f>0.0184197882/1.18</f>
        <v>1.5609989999999999E-2</v>
      </c>
      <c r="AG250" s="27">
        <v>0</v>
      </c>
      <c r="AH250" s="28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f t="shared" si="25"/>
        <v>1.5609989999999999E-2</v>
      </c>
      <c r="AN250" s="27">
        <f t="shared" si="24"/>
        <v>1.5609989999999999E-2</v>
      </c>
      <c r="AO250" s="35" t="s">
        <v>1485</v>
      </c>
    </row>
    <row r="251" spans="1:41" ht="31.5" customHeight="1" x14ac:dyDescent="0.25">
      <c r="A251" s="8" t="s">
        <v>417</v>
      </c>
      <c r="B251" s="39" t="s">
        <v>481</v>
      </c>
      <c r="C251" s="29" t="s">
        <v>482</v>
      </c>
      <c r="D251" s="38" t="s">
        <v>1481</v>
      </c>
      <c r="E251" s="30">
        <v>2016</v>
      </c>
      <c r="F251" s="30">
        <v>2016</v>
      </c>
      <c r="G251" s="30" t="s">
        <v>1435</v>
      </c>
      <c r="H251" s="27">
        <v>4.8203342618384406E-3</v>
      </c>
      <c r="I251" s="27">
        <v>4.819706128133705E-3</v>
      </c>
      <c r="J251" s="27">
        <v>0</v>
      </c>
      <c r="K251" s="27">
        <v>3.4610000000000002E-2</v>
      </c>
      <c r="L251" s="27">
        <v>0</v>
      </c>
      <c r="M251" s="27">
        <v>8.8599999999999998E-3</v>
      </c>
      <c r="N251" s="27">
        <v>2.5749999999999999E-2</v>
      </c>
      <c r="O251" s="27">
        <v>0</v>
      </c>
      <c r="P251" s="27">
        <v>3.4605490000000003E-2</v>
      </c>
      <c r="Q251" s="27">
        <v>0</v>
      </c>
      <c r="R251" s="27">
        <v>8.8580099999999995E-3</v>
      </c>
      <c r="S251" s="27">
        <v>2.574748E-2</v>
      </c>
      <c r="T251" s="27">
        <v>0</v>
      </c>
      <c r="U251" s="27">
        <v>4.8203342618384406E-3</v>
      </c>
      <c r="V251" s="27">
        <v>3.4610000000000002E-2</v>
      </c>
      <c r="W251" s="27">
        <v>0</v>
      </c>
      <c r="X251" s="27">
        <f t="shared" si="21"/>
        <v>0</v>
      </c>
      <c r="Y251" s="27">
        <v>0</v>
      </c>
      <c r="Z251" s="27">
        <f t="shared" si="22"/>
        <v>0</v>
      </c>
      <c r="AA251" s="27">
        <v>0</v>
      </c>
      <c r="AB251" s="28">
        <v>0</v>
      </c>
      <c r="AC251" s="27">
        <v>0</v>
      </c>
      <c r="AD251" s="28">
        <v>0</v>
      </c>
      <c r="AE251" s="27">
        <v>3.4610000000000002E-2</v>
      </c>
      <c r="AF251" s="28">
        <v>3.4605490000000003E-2</v>
      </c>
      <c r="AG251" s="27">
        <v>0</v>
      </c>
      <c r="AH251" s="28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f t="shared" si="25"/>
        <v>3.4605490000000003E-2</v>
      </c>
      <c r="AN251" s="27">
        <f t="shared" si="24"/>
        <v>3.4605490000000003E-2</v>
      </c>
      <c r="AO251" s="35" t="s">
        <v>1485</v>
      </c>
    </row>
    <row r="252" spans="1:41" ht="31.5" customHeight="1" x14ac:dyDescent="0.25">
      <c r="A252" s="8" t="s">
        <v>417</v>
      </c>
      <c r="B252" s="39" t="s">
        <v>483</v>
      </c>
      <c r="C252" s="29" t="s">
        <v>484</v>
      </c>
      <c r="D252" s="38" t="s">
        <v>1481</v>
      </c>
      <c r="E252" s="30">
        <v>2016</v>
      </c>
      <c r="F252" s="30">
        <v>2016</v>
      </c>
      <c r="G252" s="30" t="s">
        <v>1435</v>
      </c>
      <c r="H252" s="27">
        <v>3.6044568245125349E-3</v>
      </c>
      <c r="I252" s="27">
        <v>3.6042980501392761E-3</v>
      </c>
      <c r="J252" s="27">
        <v>0</v>
      </c>
      <c r="K252" s="27">
        <v>2.588E-2</v>
      </c>
      <c r="L252" s="27">
        <v>0</v>
      </c>
      <c r="M252" s="27">
        <v>8.6400000000000001E-3</v>
      </c>
      <c r="N252" s="27">
        <v>1.7239999999999998E-2</v>
      </c>
      <c r="O252" s="27">
        <v>0</v>
      </c>
      <c r="P252" s="27">
        <v>2.587886E-2</v>
      </c>
      <c r="Q252" s="27">
        <v>0</v>
      </c>
      <c r="R252" s="27">
        <v>8.6411400000000003E-3</v>
      </c>
      <c r="S252" s="27">
        <v>1.7237719999999998E-2</v>
      </c>
      <c r="T252" s="27">
        <v>0</v>
      </c>
      <c r="U252" s="27">
        <v>3.6044568245125349E-3</v>
      </c>
      <c r="V252" s="27">
        <v>2.588E-2</v>
      </c>
      <c r="W252" s="27">
        <v>0</v>
      </c>
      <c r="X252" s="27">
        <f t="shared" si="21"/>
        <v>0</v>
      </c>
      <c r="Y252" s="27">
        <v>0</v>
      </c>
      <c r="Z252" s="27">
        <f t="shared" si="22"/>
        <v>0</v>
      </c>
      <c r="AA252" s="27">
        <v>0</v>
      </c>
      <c r="AB252" s="28">
        <v>0</v>
      </c>
      <c r="AC252" s="27">
        <v>0</v>
      </c>
      <c r="AD252" s="28">
        <v>0</v>
      </c>
      <c r="AE252" s="27">
        <v>2.588E-2</v>
      </c>
      <c r="AF252" s="28">
        <v>2.587886E-2</v>
      </c>
      <c r="AG252" s="27">
        <v>0</v>
      </c>
      <c r="AH252" s="28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f t="shared" si="25"/>
        <v>2.587886E-2</v>
      </c>
      <c r="AN252" s="27">
        <f t="shared" si="24"/>
        <v>2.587886E-2</v>
      </c>
      <c r="AO252" s="35" t="s">
        <v>1485</v>
      </c>
    </row>
    <row r="253" spans="1:41" ht="31.5" customHeight="1" x14ac:dyDescent="0.25">
      <c r="A253" s="8" t="s">
        <v>417</v>
      </c>
      <c r="B253" s="39" t="s">
        <v>485</v>
      </c>
      <c r="C253" s="29" t="s">
        <v>486</v>
      </c>
      <c r="D253" s="38" t="s">
        <v>1481</v>
      </c>
      <c r="E253" s="30">
        <v>2016</v>
      </c>
      <c r="F253" s="30">
        <v>2016</v>
      </c>
      <c r="G253" s="30" t="s">
        <v>1435</v>
      </c>
      <c r="H253" s="27">
        <v>4.2813370473537603E-3</v>
      </c>
      <c r="I253" s="27">
        <v>4.2820292479108634E-3</v>
      </c>
      <c r="J253" s="27">
        <v>0</v>
      </c>
      <c r="K253" s="27">
        <v>3.074E-2</v>
      </c>
      <c r="L253" s="27">
        <v>0</v>
      </c>
      <c r="M253" s="27">
        <v>5.3E-3</v>
      </c>
      <c r="N253" s="27">
        <v>2.5440000000000001E-2</v>
      </c>
      <c r="O253" s="27">
        <v>0</v>
      </c>
      <c r="P253" s="27">
        <v>3.074497E-2</v>
      </c>
      <c r="Q253" s="27">
        <v>0</v>
      </c>
      <c r="R253" s="27">
        <v>5.3003400000000006E-3</v>
      </c>
      <c r="S253" s="27">
        <v>2.5444629999999999E-2</v>
      </c>
      <c r="T253" s="27">
        <v>0</v>
      </c>
      <c r="U253" s="27">
        <v>4.2813370473537603E-3</v>
      </c>
      <c r="V253" s="27">
        <v>3.074E-2</v>
      </c>
      <c r="W253" s="27">
        <v>0</v>
      </c>
      <c r="X253" s="27">
        <f t="shared" si="21"/>
        <v>0</v>
      </c>
      <c r="Y253" s="27">
        <v>0</v>
      </c>
      <c r="Z253" s="27">
        <f t="shared" si="22"/>
        <v>0</v>
      </c>
      <c r="AA253" s="27">
        <v>0</v>
      </c>
      <c r="AB253" s="28">
        <v>0</v>
      </c>
      <c r="AC253" s="27">
        <v>0</v>
      </c>
      <c r="AD253" s="28">
        <v>0</v>
      </c>
      <c r="AE253" s="27">
        <v>3.074E-2</v>
      </c>
      <c r="AF253" s="28">
        <v>3.074497E-2</v>
      </c>
      <c r="AG253" s="27">
        <v>0</v>
      </c>
      <c r="AH253" s="28">
        <v>0</v>
      </c>
      <c r="AI253" s="27">
        <v>0</v>
      </c>
      <c r="AJ253" s="27">
        <v>0</v>
      </c>
      <c r="AK253" s="27">
        <v>0</v>
      </c>
      <c r="AL253" s="27">
        <v>0</v>
      </c>
      <c r="AM253" s="27">
        <f t="shared" si="25"/>
        <v>3.074497E-2</v>
      </c>
      <c r="AN253" s="27">
        <f t="shared" si="24"/>
        <v>3.074497E-2</v>
      </c>
      <c r="AO253" s="35" t="s">
        <v>1485</v>
      </c>
    </row>
    <row r="254" spans="1:41" ht="31.5" customHeight="1" x14ac:dyDescent="0.25">
      <c r="A254" s="8" t="s">
        <v>417</v>
      </c>
      <c r="B254" s="39" t="s">
        <v>487</v>
      </c>
      <c r="C254" s="29" t="s">
        <v>488</v>
      </c>
      <c r="D254" s="38" t="s">
        <v>1481</v>
      </c>
      <c r="E254" s="30">
        <v>2016</v>
      </c>
      <c r="F254" s="30">
        <v>2016</v>
      </c>
      <c r="G254" s="30" t="s">
        <v>1435</v>
      </c>
      <c r="H254" s="27">
        <v>1.2736768802228413E-3</v>
      </c>
      <c r="I254" s="27">
        <v>1.2741183844011143E-3</v>
      </c>
      <c r="J254" s="27">
        <v>0</v>
      </c>
      <c r="K254" s="27">
        <v>9.1450000000000004E-3</v>
      </c>
      <c r="L254" s="27">
        <v>0</v>
      </c>
      <c r="M254" s="27">
        <v>1.7620000000000001E-3</v>
      </c>
      <c r="N254" s="27">
        <v>7.3829999999999998E-3</v>
      </c>
      <c r="O254" s="27">
        <v>0</v>
      </c>
      <c r="P254" s="27">
        <v>9.1481700000000006E-3</v>
      </c>
      <c r="Q254" s="27">
        <v>0</v>
      </c>
      <c r="R254" s="27">
        <v>1.76414E-3</v>
      </c>
      <c r="S254" s="27">
        <v>7.3840299999999998E-3</v>
      </c>
      <c r="T254" s="27">
        <v>0</v>
      </c>
      <c r="U254" s="27">
        <v>1.2736768802228413E-3</v>
      </c>
      <c r="V254" s="27">
        <v>9.1450000000000004E-3</v>
      </c>
      <c r="W254" s="27">
        <v>0</v>
      </c>
      <c r="X254" s="27">
        <f t="shared" si="21"/>
        <v>0</v>
      </c>
      <c r="Y254" s="27">
        <v>0</v>
      </c>
      <c r="Z254" s="27">
        <f t="shared" si="22"/>
        <v>0</v>
      </c>
      <c r="AA254" s="27">
        <v>0</v>
      </c>
      <c r="AB254" s="28">
        <v>0</v>
      </c>
      <c r="AC254" s="27">
        <v>0</v>
      </c>
      <c r="AD254" s="28">
        <v>0</v>
      </c>
      <c r="AE254" s="27">
        <v>9.1450000000000004E-3</v>
      </c>
      <c r="AF254" s="28">
        <v>9.1481700000000006E-3</v>
      </c>
      <c r="AG254" s="27">
        <v>0</v>
      </c>
      <c r="AH254" s="28">
        <v>0</v>
      </c>
      <c r="AI254" s="27">
        <v>0</v>
      </c>
      <c r="AJ254" s="27">
        <v>0</v>
      </c>
      <c r="AK254" s="27">
        <v>0</v>
      </c>
      <c r="AL254" s="27">
        <v>0</v>
      </c>
      <c r="AM254" s="27">
        <f t="shared" si="25"/>
        <v>9.1481700000000006E-3</v>
      </c>
      <c r="AN254" s="27">
        <f t="shared" si="24"/>
        <v>9.1481700000000006E-3</v>
      </c>
      <c r="AO254" s="35" t="s">
        <v>1485</v>
      </c>
    </row>
    <row r="255" spans="1:41" ht="31.5" customHeight="1" x14ac:dyDescent="0.25">
      <c r="A255" s="8" t="s">
        <v>417</v>
      </c>
      <c r="B255" s="39" t="s">
        <v>464</v>
      </c>
      <c r="C255" s="29" t="s">
        <v>463</v>
      </c>
      <c r="D255" s="38" t="s">
        <v>1481</v>
      </c>
      <c r="E255" s="30">
        <v>2016</v>
      </c>
      <c r="F255" s="30">
        <v>2016</v>
      </c>
      <c r="G255" s="30" t="s">
        <v>1435</v>
      </c>
      <c r="H255" s="27">
        <v>0</v>
      </c>
      <c r="I255" s="27">
        <v>4.5474373259052928E-4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3.2650600000000002E-3</v>
      </c>
      <c r="Q255" s="27">
        <v>0</v>
      </c>
      <c r="R255" s="27">
        <v>1.1601999999999999E-3</v>
      </c>
      <c r="S255" s="27">
        <v>2.1048600000000001E-3</v>
      </c>
      <c r="T255" s="27">
        <v>0</v>
      </c>
      <c r="U255" s="27">
        <v>0</v>
      </c>
      <c r="V255" s="27">
        <v>0</v>
      </c>
      <c r="W255" s="27">
        <v>0</v>
      </c>
      <c r="X255" s="27">
        <f t="shared" si="21"/>
        <v>0</v>
      </c>
      <c r="Y255" s="27">
        <v>0</v>
      </c>
      <c r="Z255" s="27">
        <f t="shared" si="22"/>
        <v>0</v>
      </c>
      <c r="AA255" s="27">
        <v>0</v>
      </c>
      <c r="AB255" s="28">
        <v>0</v>
      </c>
      <c r="AC255" s="27">
        <v>0</v>
      </c>
      <c r="AD255" s="28">
        <v>0</v>
      </c>
      <c r="AE255" s="27">
        <v>0</v>
      </c>
      <c r="AF255" s="28">
        <v>3.2650600000000002E-3</v>
      </c>
      <c r="AG255" s="27">
        <v>0</v>
      </c>
      <c r="AH255" s="28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f t="shared" si="25"/>
        <v>3.2650600000000002E-3</v>
      </c>
      <c r="AN255" s="27">
        <f t="shared" si="24"/>
        <v>3.2650600000000002E-3</v>
      </c>
      <c r="AO255" s="35" t="s">
        <v>1485</v>
      </c>
    </row>
    <row r="256" spans="1:41" ht="31.5" customHeight="1" x14ac:dyDescent="0.25">
      <c r="A256" s="8" t="s">
        <v>417</v>
      </c>
      <c r="B256" s="39" t="s">
        <v>465</v>
      </c>
      <c r="C256" s="29" t="s">
        <v>1438</v>
      </c>
      <c r="D256" s="38" t="s">
        <v>1481</v>
      </c>
      <c r="E256" s="30">
        <v>2016</v>
      </c>
      <c r="F256" s="30">
        <v>2016</v>
      </c>
      <c r="G256" s="30" t="s">
        <v>1435</v>
      </c>
      <c r="H256" s="27">
        <v>0</v>
      </c>
      <c r="I256" s="27">
        <v>4.0064206128133709E-4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2.8766100000000004E-3</v>
      </c>
      <c r="Q256" s="27">
        <v>0</v>
      </c>
      <c r="R256" s="27">
        <v>9.542699999999999E-4</v>
      </c>
      <c r="S256" s="27">
        <v>1.92234E-3</v>
      </c>
      <c r="T256" s="27">
        <v>0</v>
      </c>
      <c r="U256" s="27">
        <v>0</v>
      </c>
      <c r="V256" s="27">
        <v>0</v>
      </c>
      <c r="W256" s="27">
        <v>0</v>
      </c>
      <c r="X256" s="27">
        <f t="shared" si="21"/>
        <v>0</v>
      </c>
      <c r="Y256" s="27">
        <v>0</v>
      </c>
      <c r="Z256" s="27">
        <f t="shared" si="22"/>
        <v>0</v>
      </c>
      <c r="AA256" s="27">
        <v>0</v>
      </c>
      <c r="AB256" s="28">
        <v>0</v>
      </c>
      <c r="AC256" s="27">
        <v>0</v>
      </c>
      <c r="AD256" s="28">
        <v>0</v>
      </c>
      <c r="AE256" s="27">
        <v>0</v>
      </c>
      <c r="AF256" s="28">
        <v>2.8766100000000004E-3</v>
      </c>
      <c r="AG256" s="27">
        <v>0</v>
      </c>
      <c r="AH256" s="28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f t="shared" si="25"/>
        <v>2.8766100000000004E-3</v>
      </c>
      <c r="AN256" s="27">
        <f t="shared" si="24"/>
        <v>2.8766100000000004E-3</v>
      </c>
      <c r="AO256" s="35" t="s">
        <v>1485</v>
      </c>
    </row>
    <row r="257" spans="1:41" ht="31.5" customHeight="1" x14ac:dyDescent="0.25">
      <c r="A257" s="8" t="s">
        <v>417</v>
      </c>
      <c r="B257" s="39" t="s">
        <v>466</v>
      </c>
      <c r="C257" s="29" t="s">
        <v>1439</v>
      </c>
      <c r="D257" s="38" t="s">
        <v>1481</v>
      </c>
      <c r="E257" s="30">
        <v>2016</v>
      </c>
      <c r="F257" s="30">
        <v>2016</v>
      </c>
      <c r="G257" s="30" t="s">
        <v>1435</v>
      </c>
      <c r="H257" s="27">
        <v>0</v>
      </c>
      <c r="I257" s="27">
        <v>4.5319359331476332E-4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3.2539300000000004E-3</v>
      </c>
      <c r="Q257" s="27">
        <v>0</v>
      </c>
      <c r="R257" s="27">
        <v>8.7892999999999999E-4</v>
      </c>
      <c r="S257" s="27">
        <v>2.3749999999999999E-3</v>
      </c>
      <c r="T257" s="27">
        <v>0</v>
      </c>
      <c r="U257" s="27">
        <v>0</v>
      </c>
      <c r="V257" s="27">
        <v>0</v>
      </c>
      <c r="W257" s="27">
        <v>0</v>
      </c>
      <c r="X257" s="27">
        <f t="shared" si="21"/>
        <v>0</v>
      </c>
      <c r="Y257" s="27">
        <v>0</v>
      </c>
      <c r="Z257" s="27">
        <f t="shared" si="22"/>
        <v>0</v>
      </c>
      <c r="AA257" s="27">
        <v>0</v>
      </c>
      <c r="AB257" s="28">
        <v>0</v>
      </c>
      <c r="AC257" s="27">
        <v>0</v>
      </c>
      <c r="AD257" s="28">
        <v>0</v>
      </c>
      <c r="AE257" s="27">
        <v>0</v>
      </c>
      <c r="AF257" s="28">
        <v>3.2539300000000004E-3</v>
      </c>
      <c r="AG257" s="27">
        <v>0</v>
      </c>
      <c r="AH257" s="28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f t="shared" si="25"/>
        <v>3.2539300000000004E-3</v>
      </c>
      <c r="AN257" s="27">
        <f t="shared" si="24"/>
        <v>3.2539300000000004E-3</v>
      </c>
      <c r="AO257" s="35" t="s">
        <v>1485</v>
      </c>
    </row>
    <row r="258" spans="1:41" ht="31.5" customHeight="1" x14ac:dyDescent="0.25">
      <c r="A258" s="8" t="s">
        <v>417</v>
      </c>
      <c r="B258" s="39" t="s">
        <v>467</v>
      </c>
      <c r="C258" s="29" t="s">
        <v>1440</v>
      </c>
      <c r="D258" s="38" t="s">
        <v>1481</v>
      </c>
      <c r="E258" s="30">
        <v>2016</v>
      </c>
      <c r="F258" s="30">
        <v>2016</v>
      </c>
      <c r="G258" s="30" t="s">
        <v>1435</v>
      </c>
      <c r="H258" s="27">
        <v>0</v>
      </c>
      <c r="I258" s="27">
        <v>1.6448621169916436E-3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1.181011E-2</v>
      </c>
      <c r="Q258" s="27">
        <v>0</v>
      </c>
      <c r="R258" s="27">
        <v>7.04895E-3</v>
      </c>
      <c r="S258" s="27">
        <v>4.7611600000000004E-3</v>
      </c>
      <c r="T258" s="27">
        <v>0</v>
      </c>
      <c r="U258" s="27">
        <v>0</v>
      </c>
      <c r="V258" s="27">
        <v>0</v>
      </c>
      <c r="W258" s="27">
        <v>0</v>
      </c>
      <c r="X258" s="27">
        <f t="shared" si="21"/>
        <v>0</v>
      </c>
      <c r="Y258" s="27">
        <v>0</v>
      </c>
      <c r="Z258" s="27">
        <f t="shared" si="22"/>
        <v>0</v>
      </c>
      <c r="AA258" s="27">
        <v>0</v>
      </c>
      <c r="AB258" s="28">
        <v>0</v>
      </c>
      <c r="AC258" s="27">
        <v>0</v>
      </c>
      <c r="AD258" s="28">
        <v>0</v>
      </c>
      <c r="AE258" s="27">
        <v>0</v>
      </c>
      <c r="AF258" s="28">
        <v>1.181011E-2</v>
      </c>
      <c r="AG258" s="27">
        <v>0</v>
      </c>
      <c r="AH258" s="28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f t="shared" si="25"/>
        <v>1.181011E-2</v>
      </c>
      <c r="AN258" s="27">
        <f t="shared" si="24"/>
        <v>1.181011E-2</v>
      </c>
      <c r="AO258" s="35" t="s">
        <v>1485</v>
      </c>
    </row>
    <row r="259" spans="1:41" ht="31.5" customHeight="1" x14ac:dyDescent="0.25">
      <c r="A259" s="8" t="s">
        <v>417</v>
      </c>
      <c r="B259" s="39" t="s">
        <v>468</v>
      </c>
      <c r="C259" s="29" t="s">
        <v>1441</v>
      </c>
      <c r="D259" s="38" t="s">
        <v>1481</v>
      </c>
      <c r="E259" s="30">
        <v>2016</v>
      </c>
      <c r="F259" s="30">
        <v>2016</v>
      </c>
      <c r="G259" s="30" t="s">
        <v>1435</v>
      </c>
      <c r="H259" s="27">
        <v>0</v>
      </c>
      <c r="I259" s="27">
        <v>1.8695766016713093E-3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1.3423560000000001E-2</v>
      </c>
      <c r="Q259" s="27">
        <v>0</v>
      </c>
      <c r="R259" s="27">
        <v>7.04895E-3</v>
      </c>
      <c r="S259" s="27">
        <v>6.3746099999999993E-3</v>
      </c>
      <c r="T259" s="27">
        <v>0</v>
      </c>
      <c r="U259" s="27">
        <v>0</v>
      </c>
      <c r="V259" s="27">
        <v>0</v>
      </c>
      <c r="W259" s="27">
        <v>0</v>
      </c>
      <c r="X259" s="27">
        <f t="shared" si="21"/>
        <v>0</v>
      </c>
      <c r="Y259" s="27">
        <v>0</v>
      </c>
      <c r="Z259" s="27">
        <f t="shared" si="22"/>
        <v>0</v>
      </c>
      <c r="AA259" s="27">
        <v>0</v>
      </c>
      <c r="AB259" s="28">
        <v>0</v>
      </c>
      <c r="AC259" s="27">
        <v>0</v>
      </c>
      <c r="AD259" s="28">
        <v>0</v>
      </c>
      <c r="AE259" s="27">
        <v>0</v>
      </c>
      <c r="AF259" s="28">
        <v>1.3423560000000001E-2</v>
      </c>
      <c r="AG259" s="27">
        <v>0</v>
      </c>
      <c r="AH259" s="28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f t="shared" si="25"/>
        <v>1.3423560000000001E-2</v>
      </c>
      <c r="AN259" s="27">
        <f t="shared" si="24"/>
        <v>1.3423560000000001E-2</v>
      </c>
      <c r="AO259" s="35" t="s">
        <v>1485</v>
      </c>
    </row>
    <row r="260" spans="1:41" ht="31.5" customHeight="1" x14ac:dyDescent="0.25">
      <c r="A260" s="8" t="s">
        <v>417</v>
      </c>
      <c r="B260" s="39" t="s">
        <v>1468</v>
      </c>
      <c r="C260" s="29" t="s">
        <v>1469</v>
      </c>
      <c r="D260" s="38" t="s">
        <v>1481</v>
      </c>
      <c r="E260" s="30">
        <v>2016</v>
      </c>
      <c r="F260" s="30">
        <v>2016</v>
      </c>
      <c r="G260" s="30" t="s">
        <v>1435</v>
      </c>
      <c r="H260" s="27">
        <v>0</v>
      </c>
      <c r="I260" s="27">
        <v>1.2803286908077995E-3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9.1927599999999995E-3</v>
      </c>
      <c r="Q260" s="27">
        <v>0</v>
      </c>
      <c r="R260" s="27">
        <v>1.6021900000000001E-3</v>
      </c>
      <c r="S260" s="27">
        <v>7.5905699999999996E-3</v>
      </c>
      <c r="T260" s="27">
        <v>0</v>
      </c>
      <c r="U260" s="27">
        <v>0</v>
      </c>
      <c r="V260" s="27">
        <v>0</v>
      </c>
      <c r="W260" s="27">
        <v>0</v>
      </c>
      <c r="X260" s="27">
        <f t="shared" si="21"/>
        <v>0</v>
      </c>
      <c r="Y260" s="27">
        <v>0</v>
      </c>
      <c r="Z260" s="27">
        <f t="shared" ref="Z260:Z323" si="26">AH260</f>
        <v>0</v>
      </c>
      <c r="AA260" s="27">
        <v>0</v>
      </c>
      <c r="AB260" s="28">
        <v>0</v>
      </c>
      <c r="AC260" s="27">
        <v>0</v>
      </c>
      <c r="AD260" s="28">
        <v>0</v>
      </c>
      <c r="AE260" s="27">
        <v>0</v>
      </c>
      <c r="AF260" s="28">
        <v>9.1927599999999995E-3</v>
      </c>
      <c r="AG260" s="27">
        <v>0</v>
      </c>
      <c r="AH260" s="28">
        <v>0</v>
      </c>
      <c r="AI260" s="27">
        <v>0</v>
      </c>
      <c r="AJ260" s="27">
        <v>0</v>
      </c>
      <c r="AK260" s="27">
        <v>0</v>
      </c>
      <c r="AL260" s="27"/>
      <c r="AM260" s="27">
        <f t="shared" si="25"/>
        <v>9.1927599999999995E-3</v>
      </c>
      <c r="AN260" s="27">
        <f t="shared" si="24"/>
        <v>9.1927599999999995E-3</v>
      </c>
      <c r="AO260" s="35" t="s">
        <v>1485</v>
      </c>
    </row>
    <row r="261" spans="1:41" ht="31.5" customHeight="1" x14ac:dyDescent="0.25">
      <c r="A261" s="8" t="s">
        <v>417</v>
      </c>
      <c r="B261" s="39" t="s">
        <v>1442</v>
      </c>
      <c r="C261" s="29" t="s">
        <v>1443</v>
      </c>
      <c r="D261" s="38" t="s">
        <v>1481</v>
      </c>
      <c r="E261" s="30">
        <v>2016</v>
      </c>
      <c r="F261" s="30">
        <v>2016</v>
      </c>
      <c r="G261" s="30" t="s">
        <v>1435</v>
      </c>
      <c r="H261" s="27">
        <v>0</v>
      </c>
      <c r="I261" s="27">
        <v>5.9538718662952646E-4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4.27488E-3</v>
      </c>
      <c r="Q261" s="27">
        <v>0</v>
      </c>
      <c r="R261" s="27">
        <v>2.0985399999999999E-3</v>
      </c>
      <c r="S261" s="27">
        <v>8.6478E-4</v>
      </c>
      <c r="T261" s="27">
        <v>0</v>
      </c>
      <c r="U261" s="27">
        <v>0</v>
      </c>
      <c r="V261" s="27">
        <v>0</v>
      </c>
      <c r="W261" s="27">
        <v>0</v>
      </c>
      <c r="X261" s="27">
        <f t="shared" si="21"/>
        <v>0</v>
      </c>
      <c r="Y261" s="27">
        <v>0</v>
      </c>
      <c r="Z261" s="27">
        <f t="shared" si="26"/>
        <v>0</v>
      </c>
      <c r="AA261" s="27">
        <v>0</v>
      </c>
      <c r="AB261" s="28">
        <v>0</v>
      </c>
      <c r="AC261" s="27">
        <v>0</v>
      </c>
      <c r="AD261" s="28">
        <v>0</v>
      </c>
      <c r="AE261" s="27">
        <v>0</v>
      </c>
      <c r="AF261" s="28">
        <f>0.0050443584/1.18</f>
        <v>4.27488E-3</v>
      </c>
      <c r="AG261" s="27">
        <v>0</v>
      </c>
      <c r="AH261" s="28">
        <v>0</v>
      </c>
      <c r="AI261" s="27">
        <v>0</v>
      </c>
      <c r="AJ261" s="27">
        <v>0</v>
      </c>
      <c r="AK261" s="27">
        <v>0</v>
      </c>
      <c r="AL261" s="27">
        <v>0</v>
      </c>
      <c r="AM261" s="27">
        <f t="shared" si="25"/>
        <v>4.27488E-3</v>
      </c>
      <c r="AN261" s="27">
        <f t="shared" si="24"/>
        <v>4.27488E-3</v>
      </c>
      <c r="AO261" s="35" t="s">
        <v>1485</v>
      </c>
    </row>
    <row r="262" spans="1:41" ht="31.5" customHeight="1" x14ac:dyDescent="0.25">
      <c r="A262" s="8" t="s">
        <v>417</v>
      </c>
      <c r="B262" s="39" t="s">
        <v>473</v>
      </c>
      <c r="C262" s="29" t="s">
        <v>474</v>
      </c>
      <c r="D262" s="38" t="s">
        <v>1482</v>
      </c>
      <c r="E262" s="30">
        <v>2017</v>
      </c>
      <c r="F262" s="30">
        <v>2017</v>
      </c>
      <c r="G262" s="30">
        <v>2017</v>
      </c>
      <c r="H262" s="27">
        <v>4.0720456824512537E-2</v>
      </c>
      <c r="I262" s="27">
        <v>4.0720456824512537E-2</v>
      </c>
      <c r="J262" s="27">
        <v>0</v>
      </c>
      <c r="K262" s="27">
        <v>0.29237288</v>
      </c>
      <c r="L262" s="27">
        <v>0</v>
      </c>
      <c r="M262" s="27">
        <v>3.8135590000000004E-2</v>
      </c>
      <c r="N262" s="27">
        <v>0.25423729</v>
      </c>
      <c r="O262" s="27">
        <v>0</v>
      </c>
      <c r="P262" s="27">
        <v>0.29237288</v>
      </c>
      <c r="Q262" s="27">
        <v>0</v>
      </c>
      <c r="R262" s="27">
        <v>3.8135590000000004E-2</v>
      </c>
      <c r="S262" s="27">
        <v>0.25423729</v>
      </c>
      <c r="T262" s="27">
        <v>0</v>
      </c>
      <c r="U262" s="27">
        <v>4.0720456824512537E-2</v>
      </c>
      <c r="V262" s="27">
        <v>0.29237288</v>
      </c>
      <c r="W262" s="27">
        <v>0</v>
      </c>
      <c r="X262" s="27">
        <f t="shared" si="21"/>
        <v>0</v>
      </c>
      <c r="Y262" s="27">
        <v>4.0720456824512537E-2</v>
      </c>
      <c r="Z262" s="27">
        <f t="shared" si="26"/>
        <v>0.29237288</v>
      </c>
      <c r="AA262" s="27">
        <v>0</v>
      </c>
      <c r="AB262" s="28">
        <v>0</v>
      </c>
      <c r="AC262" s="27">
        <v>0</v>
      </c>
      <c r="AD262" s="28">
        <v>0</v>
      </c>
      <c r="AE262" s="27">
        <v>0</v>
      </c>
      <c r="AF262" s="28">
        <v>0</v>
      </c>
      <c r="AG262" s="27">
        <v>0</v>
      </c>
      <c r="AH262" s="28">
        <f>0.3449999984/1.18</f>
        <v>0.29237288</v>
      </c>
      <c r="AI262" s="27">
        <v>0</v>
      </c>
      <c r="AJ262" s="27">
        <v>0</v>
      </c>
      <c r="AK262" s="27">
        <v>0</v>
      </c>
      <c r="AL262" s="27">
        <v>0</v>
      </c>
      <c r="AM262" s="27">
        <f t="shared" si="25"/>
        <v>0</v>
      </c>
      <c r="AN262" s="27">
        <f t="shared" si="24"/>
        <v>0.29237288</v>
      </c>
      <c r="AO262" s="35" t="s">
        <v>1488</v>
      </c>
    </row>
    <row r="263" spans="1:41" ht="31.5" customHeight="1" x14ac:dyDescent="0.25">
      <c r="A263" s="8" t="s">
        <v>417</v>
      </c>
      <c r="B263" s="39" t="s">
        <v>475</v>
      </c>
      <c r="C263" s="29" t="s">
        <v>476</v>
      </c>
      <c r="D263" s="38" t="s">
        <v>1482</v>
      </c>
      <c r="E263" s="30">
        <v>2017</v>
      </c>
      <c r="F263" s="30">
        <v>2017</v>
      </c>
      <c r="G263" s="30">
        <v>2017</v>
      </c>
      <c r="H263" s="27">
        <v>8.6162126740947073E-2</v>
      </c>
      <c r="I263" s="27">
        <v>8.6162126740947073E-2</v>
      </c>
      <c r="J263" s="27">
        <v>0</v>
      </c>
      <c r="K263" s="27">
        <v>0.61864406999999999</v>
      </c>
      <c r="L263" s="27">
        <v>0</v>
      </c>
      <c r="M263" s="27">
        <v>2.5423729999999999E-2</v>
      </c>
      <c r="N263" s="27">
        <v>0.59322034000000001</v>
      </c>
      <c r="O263" s="27">
        <v>0</v>
      </c>
      <c r="P263" s="27">
        <v>0.61864406999999999</v>
      </c>
      <c r="Q263" s="27">
        <v>0</v>
      </c>
      <c r="R263" s="27">
        <v>2.5423729999999999E-2</v>
      </c>
      <c r="S263" s="27">
        <v>0.59322034000000001</v>
      </c>
      <c r="T263" s="27">
        <v>0</v>
      </c>
      <c r="U263" s="27">
        <v>8.6162126740947073E-2</v>
      </c>
      <c r="V263" s="27">
        <v>0.61864406999999999</v>
      </c>
      <c r="W263" s="27">
        <v>0</v>
      </c>
      <c r="X263" s="27">
        <f t="shared" si="21"/>
        <v>0</v>
      </c>
      <c r="Y263" s="27">
        <v>8.6162126740947073E-2</v>
      </c>
      <c r="Z263" s="27">
        <f t="shared" si="26"/>
        <v>0.61864406999999999</v>
      </c>
      <c r="AA263" s="27">
        <v>0</v>
      </c>
      <c r="AB263" s="28">
        <v>0</v>
      </c>
      <c r="AC263" s="27">
        <v>0</v>
      </c>
      <c r="AD263" s="28">
        <v>0</v>
      </c>
      <c r="AE263" s="27">
        <v>0</v>
      </c>
      <c r="AF263" s="28">
        <v>0</v>
      </c>
      <c r="AG263" s="27">
        <v>0</v>
      </c>
      <c r="AH263" s="28">
        <f>0.7300000026/1.18</f>
        <v>0.61864406999999999</v>
      </c>
      <c r="AI263" s="27">
        <v>0</v>
      </c>
      <c r="AJ263" s="27">
        <v>0</v>
      </c>
      <c r="AK263" s="27">
        <v>0</v>
      </c>
      <c r="AL263" s="27">
        <v>0</v>
      </c>
      <c r="AM263" s="27">
        <f t="shared" si="25"/>
        <v>0</v>
      </c>
      <c r="AN263" s="27">
        <f t="shared" si="24"/>
        <v>0.61864406999999999</v>
      </c>
      <c r="AO263" s="35" t="s">
        <v>1488</v>
      </c>
    </row>
    <row r="264" spans="1:41" ht="51.75" customHeight="1" x14ac:dyDescent="0.25">
      <c r="A264" s="8" t="s">
        <v>417</v>
      </c>
      <c r="B264" s="39" t="s">
        <v>477</v>
      </c>
      <c r="C264" s="29" t="s">
        <v>478</v>
      </c>
      <c r="D264" s="38" t="s">
        <v>1482</v>
      </c>
      <c r="E264" s="30">
        <v>2017</v>
      </c>
      <c r="F264" s="30">
        <v>2017</v>
      </c>
      <c r="G264" s="30">
        <v>2017</v>
      </c>
      <c r="H264" s="27">
        <v>0.12393175487465181</v>
      </c>
      <c r="I264" s="27">
        <v>0.12393175487465181</v>
      </c>
      <c r="J264" s="27">
        <v>0</v>
      </c>
      <c r="K264" s="27">
        <v>0.88983000000000001</v>
      </c>
      <c r="L264" s="27">
        <v>0</v>
      </c>
      <c r="M264" s="27">
        <v>4.2372880000000002E-2</v>
      </c>
      <c r="N264" s="27">
        <v>0.84745762999999996</v>
      </c>
      <c r="O264" s="27">
        <v>0</v>
      </c>
      <c r="P264" s="27">
        <v>0.88983000000000001</v>
      </c>
      <c r="Q264" s="27">
        <v>0</v>
      </c>
      <c r="R264" s="27">
        <v>4.2372880000000002E-2</v>
      </c>
      <c r="S264" s="27">
        <v>0.84745762999999996</v>
      </c>
      <c r="T264" s="27">
        <v>0</v>
      </c>
      <c r="U264" s="27">
        <v>0.12393175487465181</v>
      </c>
      <c r="V264" s="27">
        <v>0.88983000000000001</v>
      </c>
      <c r="W264" s="27">
        <v>0</v>
      </c>
      <c r="X264" s="27">
        <f t="shared" si="21"/>
        <v>0</v>
      </c>
      <c r="Y264" s="27">
        <v>0.12393175487465181</v>
      </c>
      <c r="Z264" s="27">
        <f t="shared" si="26"/>
        <v>0.88983000000000001</v>
      </c>
      <c r="AA264" s="27">
        <v>0</v>
      </c>
      <c r="AB264" s="28">
        <v>0</v>
      </c>
      <c r="AC264" s="27">
        <v>0</v>
      </c>
      <c r="AD264" s="28">
        <v>0</v>
      </c>
      <c r="AE264" s="27">
        <v>0</v>
      </c>
      <c r="AF264" s="28">
        <v>0</v>
      </c>
      <c r="AG264" s="27">
        <v>0</v>
      </c>
      <c r="AH264" s="28">
        <f>889.83/1000</f>
        <v>0.88983000000000001</v>
      </c>
      <c r="AI264" s="27">
        <v>0</v>
      </c>
      <c r="AJ264" s="27">
        <v>0</v>
      </c>
      <c r="AK264" s="27">
        <v>0</v>
      </c>
      <c r="AL264" s="27">
        <v>0</v>
      </c>
      <c r="AM264" s="27">
        <f t="shared" si="25"/>
        <v>0</v>
      </c>
      <c r="AN264" s="27">
        <f t="shared" si="24"/>
        <v>0.88983000000000001</v>
      </c>
      <c r="AO264" s="35" t="s">
        <v>1488</v>
      </c>
    </row>
    <row r="265" spans="1:41" ht="31.5" customHeight="1" x14ac:dyDescent="0.25">
      <c r="A265" s="8" t="s">
        <v>417</v>
      </c>
      <c r="B265" s="39" t="s">
        <v>479</v>
      </c>
      <c r="C265" s="29" t="s">
        <v>480</v>
      </c>
      <c r="D265" s="38" t="s">
        <v>1482</v>
      </c>
      <c r="E265" s="30">
        <v>2017</v>
      </c>
      <c r="F265" s="30">
        <v>2017</v>
      </c>
      <c r="G265" s="30">
        <v>2017</v>
      </c>
      <c r="H265" s="27">
        <v>8.0532434540389969E-2</v>
      </c>
      <c r="I265" s="27">
        <v>8.0532434540389969E-2</v>
      </c>
      <c r="J265" s="27">
        <v>0</v>
      </c>
      <c r="K265" s="27">
        <v>0.57822287999999999</v>
      </c>
      <c r="L265" s="27">
        <v>0</v>
      </c>
      <c r="M265" s="27">
        <v>3.585E-2</v>
      </c>
      <c r="N265" s="27">
        <v>0.54237288000000006</v>
      </c>
      <c r="O265" s="27">
        <v>0</v>
      </c>
      <c r="P265" s="27">
        <v>0.57822287999999999</v>
      </c>
      <c r="Q265" s="27">
        <v>0</v>
      </c>
      <c r="R265" s="27">
        <v>3.585E-2</v>
      </c>
      <c r="S265" s="27">
        <v>0.54237288000000006</v>
      </c>
      <c r="T265" s="27">
        <v>0</v>
      </c>
      <c r="U265" s="27">
        <v>8.0532434540389969E-2</v>
      </c>
      <c r="V265" s="27">
        <v>0.57822287999999999</v>
      </c>
      <c r="W265" s="27">
        <v>0</v>
      </c>
      <c r="X265" s="27">
        <f t="shared" ref="X265:X328" si="27">AG265+AI265+AK265</f>
        <v>0</v>
      </c>
      <c r="Y265" s="27">
        <v>8.0532434540389969E-2</v>
      </c>
      <c r="Z265" s="27">
        <f t="shared" si="26"/>
        <v>0.57822287999999999</v>
      </c>
      <c r="AA265" s="27">
        <v>0</v>
      </c>
      <c r="AB265" s="28">
        <v>0</v>
      </c>
      <c r="AC265" s="27">
        <v>0</v>
      </c>
      <c r="AD265" s="28">
        <v>0</v>
      </c>
      <c r="AE265" s="27">
        <v>0</v>
      </c>
      <c r="AF265" s="28">
        <v>0</v>
      </c>
      <c r="AG265" s="27">
        <v>0</v>
      </c>
      <c r="AH265" s="28">
        <f>0.6823029984/1.18</f>
        <v>0.57822287999999999</v>
      </c>
      <c r="AI265" s="27">
        <v>0</v>
      </c>
      <c r="AJ265" s="27">
        <v>0</v>
      </c>
      <c r="AK265" s="27">
        <v>0</v>
      </c>
      <c r="AL265" s="27">
        <v>0</v>
      </c>
      <c r="AM265" s="27">
        <f t="shared" si="25"/>
        <v>0</v>
      </c>
      <c r="AN265" s="27">
        <f t="shared" si="24"/>
        <v>0.57822287999999999</v>
      </c>
      <c r="AO265" s="35" t="s">
        <v>1488</v>
      </c>
    </row>
    <row r="266" spans="1:41" ht="31.5" customHeight="1" x14ac:dyDescent="0.25">
      <c r="A266" s="9" t="s">
        <v>86</v>
      </c>
      <c r="B266" s="10" t="s">
        <v>87</v>
      </c>
      <c r="C266" s="23" t="s">
        <v>48</v>
      </c>
      <c r="D266" s="36" t="s">
        <v>1435</v>
      </c>
      <c r="E266" s="62" t="s">
        <v>1435</v>
      </c>
      <c r="F266" s="24" t="s">
        <v>1435</v>
      </c>
      <c r="G266" s="24" t="s">
        <v>1435</v>
      </c>
      <c r="H266" s="25">
        <f>H267+H460+H631</f>
        <v>63.49915036778669</v>
      </c>
      <c r="I266" s="25">
        <f>I267+I460+I631</f>
        <v>29.837759786138811</v>
      </c>
      <c r="J266" s="25">
        <v>0</v>
      </c>
      <c r="K266" s="25">
        <v>455.92389964070833</v>
      </c>
      <c r="L266" s="25">
        <v>14.372218192869367</v>
      </c>
      <c r="M266" s="25">
        <v>228.70183813411131</v>
      </c>
      <c r="N266" s="25">
        <v>212.84779258276444</v>
      </c>
      <c r="O266" s="25">
        <v>0</v>
      </c>
      <c r="P266" s="25">
        <v>214.36411526447671</v>
      </c>
      <c r="Q266" s="25">
        <v>5.8403005799999992</v>
      </c>
      <c r="R266" s="25">
        <v>94.157022658222445</v>
      </c>
      <c r="S266" s="25">
        <v>114.36339067</v>
      </c>
      <c r="T266" s="25">
        <v>0</v>
      </c>
      <c r="U266" s="25">
        <f>U267+U460+U631</f>
        <v>63.49915036778669</v>
      </c>
      <c r="V266" s="25">
        <v>455.92389964070833</v>
      </c>
      <c r="W266" s="25">
        <f>W267+W460+W631</f>
        <v>34.717400760791897</v>
      </c>
      <c r="X266" s="25">
        <f t="shared" si="27"/>
        <v>249.27093746248585</v>
      </c>
      <c r="Y266" s="25">
        <f>Y267+Y460+Y631</f>
        <v>8.1517755679975537</v>
      </c>
      <c r="Z266" s="25">
        <f t="shared" si="26"/>
        <v>58.529748578222453</v>
      </c>
      <c r="AA266" s="25">
        <f>AA267+AA460+AA631</f>
        <v>0</v>
      </c>
      <c r="AB266" s="26">
        <v>0</v>
      </c>
      <c r="AC266" s="25">
        <f>AC267+AC460+AC631</f>
        <v>86.69998200000002</v>
      </c>
      <c r="AD266" s="26">
        <f>AD267+AD460+AD631+AD646</f>
        <v>84.138077385423728</v>
      </c>
      <c r="AE266" s="25">
        <f>AE267+AE460+AE631</f>
        <v>61.423231599999994</v>
      </c>
      <c r="AF266" s="26">
        <f>AF267+AF460+AF631</f>
        <v>71.696289300830529</v>
      </c>
      <c r="AG266" s="25">
        <f>AG267+AG460+AG631</f>
        <v>59.318536129052582</v>
      </c>
      <c r="AH266" s="26">
        <f>AH267+AH460+AH631</f>
        <v>58.529748578222453</v>
      </c>
      <c r="AI266" s="25">
        <f>AI267+AI460+AI631</f>
        <v>106.56577853099814</v>
      </c>
      <c r="AJ266" s="25">
        <v>0</v>
      </c>
      <c r="AK266" s="25">
        <f>AK267+AK460+AK631</f>
        <v>83.386622802435113</v>
      </c>
      <c r="AL266" s="25">
        <v>0</v>
      </c>
      <c r="AM266" s="25">
        <f t="shared" si="25"/>
        <v>405.10530414874012</v>
      </c>
      <c r="AN266" s="25">
        <f t="shared" si="24"/>
        <v>214.36411526447671</v>
      </c>
      <c r="AO266" s="3" t="s">
        <v>1435</v>
      </c>
    </row>
    <row r="267" spans="1:41" ht="31.5" customHeight="1" x14ac:dyDescent="0.25">
      <c r="A267" s="9" t="s">
        <v>88</v>
      </c>
      <c r="B267" s="10" t="s">
        <v>89</v>
      </c>
      <c r="C267" s="23" t="s">
        <v>48</v>
      </c>
      <c r="D267" s="36" t="s">
        <v>1435</v>
      </c>
      <c r="E267" s="62" t="s">
        <v>1435</v>
      </c>
      <c r="F267" s="24" t="s">
        <v>1435</v>
      </c>
      <c r="G267" s="24" t="s">
        <v>1435</v>
      </c>
      <c r="H267" s="25">
        <f>H268+H276</f>
        <v>22.53854064255901</v>
      </c>
      <c r="I267" s="25">
        <f>I268+I276</f>
        <v>11.905473276521407</v>
      </c>
      <c r="J267" s="25">
        <v>0</v>
      </c>
      <c r="K267" s="25">
        <v>161.82672181357373</v>
      </c>
      <c r="L267" s="25">
        <v>1.081375</v>
      </c>
      <c r="M267" s="25">
        <v>29.627583546479684</v>
      </c>
      <c r="N267" s="25">
        <v>131.11263724799525</v>
      </c>
      <c r="O267" s="25">
        <v>0</v>
      </c>
      <c r="P267" s="25">
        <v>85.481298125423763</v>
      </c>
      <c r="Q267" s="25">
        <v>0.40954965999999998</v>
      </c>
      <c r="R267" s="25">
        <v>10.65736085</v>
      </c>
      <c r="S267" s="25">
        <v>74.412199139999984</v>
      </c>
      <c r="T267" s="25">
        <v>0</v>
      </c>
      <c r="U267" s="25">
        <f>U268+U276</f>
        <v>22.53854064255901</v>
      </c>
      <c r="V267" s="25">
        <v>161.82672181357373</v>
      </c>
      <c r="W267" s="25">
        <f>W268+W276</f>
        <v>11.198024244230306</v>
      </c>
      <c r="X267" s="25">
        <f t="shared" si="27"/>
        <v>80.401814073573675</v>
      </c>
      <c r="Y267" s="25">
        <f>Y268+Y276</f>
        <v>3.9760408272980503</v>
      </c>
      <c r="Z267" s="25">
        <f t="shared" si="26"/>
        <v>28.547973140000018</v>
      </c>
      <c r="AA267" s="25">
        <f t="shared" ref="AA267:AI267" si="28">AA268+AA276</f>
        <v>0</v>
      </c>
      <c r="AB267" s="26">
        <v>0</v>
      </c>
      <c r="AC267" s="25">
        <f>AC268+AC276</f>
        <v>26.656884000000005</v>
      </c>
      <c r="AD267" s="26">
        <f>AD268+AD276</f>
        <v>28.046978475423728</v>
      </c>
      <c r="AE267" s="25">
        <f t="shared" si="28"/>
        <v>26.2200506</v>
      </c>
      <c r="AF267" s="26">
        <f t="shared" si="28"/>
        <v>28.88634651000001</v>
      </c>
      <c r="AG267" s="25">
        <f t="shared" si="28"/>
        <v>28.547973140000018</v>
      </c>
      <c r="AH267" s="26">
        <f t="shared" si="28"/>
        <v>28.547973140000018</v>
      </c>
      <c r="AI267" s="25">
        <f t="shared" si="28"/>
        <v>22.249042758711418</v>
      </c>
      <c r="AJ267" s="25">
        <v>0</v>
      </c>
      <c r="AK267" s="25">
        <f>AK268+AK276</f>
        <v>29.604798174862243</v>
      </c>
      <c r="AL267" s="25">
        <v>0</v>
      </c>
      <c r="AM267" s="25">
        <f t="shared" si="25"/>
        <v>137.33513905899744</v>
      </c>
      <c r="AN267" s="25">
        <f t="shared" si="24"/>
        <v>85.481298125423763</v>
      </c>
      <c r="AO267" s="3" t="s">
        <v>1435</v>
      </c>
    </row>
    <row r="268" spans="1:41" ht="31.5" customHeight="1" x14ac:dyDescent="0.25">
      <c r="A268" s="9" t="s">
        <v>90</v>
      </c>
      <c r="B268" s="10" t="s">
        <v>91</v>
      </c>
      <c r="C268" s="23" t="s">
        <v>48</v>
      </c>
      <c r="D268" s="36" t="s">
        <v>1435</v>
      </c>
      <c r="E268" s="62" t="s">
        <v>1435</v>
      </c>
      <c r="F268" s="24" t="s">
        <v>1435</v>
      </c>
      <c r="G268" s="24" t="s">
        <v>1435</v>
      </c>
      <c r="H268" s="25">
        <f>SUM(H269:H275)</f>
        <v>1.3091328799611588</v>
      </c>
      <c r="I268" s="25">
        <f>SUM(I269:I275)</f>
        <v>0.72482852089136496</v>
      </c>
      <c r="J268" s="25">
        <v>0</v>
      </c>
      <c r="K268" s="25">
        <v>9.3995740781211197</v>
      </c>
      <c r="L268" s="25">
        <v>0.25230059999999999</v>
      </c>
      <c r="M268" s="25">
        <v>2.5293976558907714</v>
      </c>
      <c r="N268" s="25">
        <v>6.6178758222303529</v>
      </c>
      <c r="O268" s="25">
        <v>0</v>
      </c>
      <c r="P268" s="25">
        <v>5.2042687799999996</v>
      </c>
      <c r="Q268" s="25">
        <v>8.3898300000000009E-2</v>
      </c>
      <c r="R268" s="25">
        <v>1.7543488699999998</v>
      </c>
      <c r="S268" s="25">
        <v>3.3660190600000002</v>
      </c>
      <c r="T268" s="25">
        <v>0</v>
      </c>
      <c r="U268" s="25">
        <f>SUM(U269:U275)</f>
        <v>1.3091328799611588</v>
      </c>
      <c r="V268" s="25">
        <v>9.3995740781211197</v>
      </c>
      <c r="W268" s="25">
        <f>SUM(W269:W275)</f>
        <v>0.64269427132606127</v>
      </c>
      <c r="X268" s="25">
        <f t="shared" si="27"/>
        <v>4.6145448681211194</v>
      </c>
      <c r="Y268" s="25">
        <f>SUM(Y269:Y275)</f>
        <v>0.31302961142061286</v>
      </c>
      <c r="Z268" s="25">
        <f t="shared" si="26"/>
        <v>2.2475526100000001</v>
      </c>
      <c r="AA268" s="25">
        <f>SUM(AA269:AA271)</f>
        <v>0</v>
      </c>
      <c r="AB268" s="26">
        <v>0</v>
      </c>
      <c r="AC268" s="25">
        <f>SUM(AC269:AC271)</f>
        <v>2.2327120000000003</v>
      </c>
      <c r="AD268" s="26">
        <f>SUM(AD269:AD271)</f>
        <v>2.6282105500000004</v>
      </c>
      <c r="AE268" s="25">
        <f>SUM(AE269:AE271)</f>
        <v>0.3047646</v>
      </c>
      <c r="AF268" s="26">
        <f>SUM(AF269:AF271)</f>
        <v>0.32850562</v>
      </c>
      <c r="AG268" s="25">
        <f>SUM(AG269:AG275)</f>
        <v>2.2475526100000001</v>
      </c>
      <c r="AH268" s="26">
        <f>SUM(AH269:AH273)</f>
        <v>2.2475526100000001</v>
      </c>
      <c r="AI268" s="25">
        <f>SUM(AI269:AI274)</f>
        <v>1.156322549155407</v>
      </c>
      <c r="AJ268" s="25">
        <v>0</v>
      </c>
      <c r="AK268" s="25">
        <f>SUM(AK269:AK275)</f>
        <v>1.2106697089657119</v>
      </c>
      <c r="AL268" s="25">
        <v>0</v>
      </c>
      <c r="AM268" s="25">
        <f t="shared" si="25"/>
        <v>7.5712610381211194</v>
      </c>
      <c r="AN268" s="25">
        <f t="shared" si="24"/>
        <v>5.2042687800000005</v>
      </c>
      <c r="AO268" s="3" t="s">
        <v>1435</v>
      </c>
    </row>
    <row r="269" spans="1:41" ht="31.5" customHeight="1" x14ac:dyDescent="0.25">
      <c r="A269" s="8" t="s">
        <v>90</v>
      </c>
      <c r="B269" s="39" t="s">
        <v>489</v>
      </c>
      <c r="C269" s="29" t="s">
        <v>490</v>
      </c>
      <c r="D269" s="38" t="s">
        <v>1481</v>
      </c>
      <c r="E269" s="30">
        <v>2015</v>
      </c>
      <c r="F269" s="30">
        <v>2015</v>
      </c>
      <c r="G269" s="30" t="s">
        <v>1435</v>
      </c>
      <c r="H269" s="27">
        <v>0.23407019498607246</v>
      </c>
      <c r="I269" s="27">
        <v>0.20359806963788304</v>
      </c>
      <c r="J269" s="27">
        <v>0</v>
      </c>
      <c r="K269" s="27">
        <v>1.6806240000000001</v>
      </c>
      <c r="L269" s="27">
        <v>8.450400000000001E-2</v>
      </c>
      <c r="M269" s="27">
        <v>0.16212000000000001</v>
      </c>
      <c r="N269" s="27">
        <v>1.4339999999999999</v>
      </c>
      <c r="O269" s="27">
        <v>0</v>
      </c>
      <c r="P269" s="27">
        <v>1.4618341400000001</v>
      </c>
      <c r="Q269" s="27">
        <v>0</v>
      </c>
      <c r="R269" s="27">
        <v>2.435561E-2</v>
      </c>
      <c r="S269" s="27">
        <v>1.4374785300000001</v>
      </c>
      <c r="T269" s="27">
        <v>0</v>
      </c>
      <c r="U269" s="27">
        <v>0.23407019498607246</v>
      </c>
      <c r="V269" s="27">
        <v>1.6806240000000001</v>
      </c>
      <c r="W269" s="27">
        <v>0</v>
      </c>
      <c r="X269" s="27">
        <f t="shared" si="27"/>
        <v>0</v>
      </c>
      <c r="Y269" s="27">
        <v>0</v>
      </c>
      <c r="Z269" s="27">
        <f t="shared" si="26"/>
        <v>0</v>
      </c>
      <c r="AA269" s="27">
        <v>0</v>
      </c>
      <c r="AB269" s="28">
        <v>0</v>
      </c>
      <c r="AC269" s="27">
        <f>1.98313632/1.18</f>
        <v>1.6806240000000001</v>
      </c>
      <c r="AD269" s="28">
        <f>1.7249642852/1.18</f>
        <v>1.4618341400000001</v>
      </c>
      <c r="AE269" s="27">
        <v>0</v>
      </c>
      <c r="AF269" s="28">
        <v>0</v>
      </c>
      <c r="AG269" s="27">
        <v>0</v>
      </c>
      <c r="AH269" s="28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f t="shared" si="25"/>
        <v>1.4618341400000001</v>
      </c>
      <c r="AN269" s="27">
        <f t="shared" si="24"/>
        <v>1.4618341400000001</v>
      </c>
      <c r="AO269" s="35" t="s">
        <v>1489</v>
      </c>
    </row>
    <row r="270" spans="1:41" ht="31.5" customHeight="1" x14ac:dyDescent="0.25">
      <c r="A270" s="8" t="s">
        <v>90</v>
      </c>
      <c r="B270" s="39" t="s">
        <v>491</v>
      </c>
      <c r="C270" s="29" t="s">
        <v>492</v>
      </c>
      <c r="D270" s="38" t="s">
        <v>1481</v>
      </c>
      <c r="E270" s="30">
        <v>2015</v>
      </c>
      <c r="F270" s="30">
        <v>2015</v>
      </c>
      <c r="G270" s="30" t="s">
        <v>1435</v>
      </c>
      <c r="H270" s="27">
        <v>7.6892479108635101E-2</v>
      </c>
      <c r="I270" s="27">
        <v>0.16244796796657385</v>
      </c>
      <c r="J270" s="27">
        <v>0</v>
      </c>
      <c r="K270" s="27">
        <v>0.55208800000000002</v>
      </c>
      <c r="L270" s="27">
        <v>0</v>
      </c>
      <c r="M270" s="27">
        <v>0.14312899999999998</v>
      </c>
      <c r="N270" s="27">
        <v>0.40895900000000002</v>
      </c>
      <c r="O270" s="27">
        <v>0</v>
      </c>
      <c r="P270" s="27">
        <v>1.1663764100000003</v>
      </c>
      <c r="Q270" s="27">
        <v>0</v>
      </c>
      <c r="R270" s="27">
        <v>1.0399494399999998</v>
      </c>
      <c r="S270" s="27">
        <v>0.12642442000000001</v>
      </c>
      <c r="T270" s="27">
        <v>0</v>
      </c>
      <c r="U270" s="27">
        <v>7.6892479108635101E-2</v>
      </c>
      <c r="V270" s="27">
        <v>0.55208800000000002</v>
      </c>
      <c r="W270" s="27">
        <v>0</v>
      </c>
      <c r="X270" s="27">
        <f t="shared" si="27"/>
        <v>0</v>
      </c>
      <c r="Y270" s="27">
        <v>0</v>
      </c>
      <c r="Z270" s="27">
        <f t="shared" si="26"/>
        <v>0</v>
      </c>
      <c r="AA270" s="27">
        <v>0</v>
      </c>
      <c r="AB270" s="28">
        <v>0</v>
      </c>
      <c r="AC270" s="27">
        <f>0.65146384/1.18</f>
        <v>0.55208800000000002</v>
      </c>
      <c r="AD270" s="28">
        <f>(0.8535673606+0.5227568032)/1.18</f>
        <v>1.1663764100000003</v>
      </c>
      <c r="AE270" s="27">
        <v>0</v>
      </c>
      <c r="AF270" s="28">
        <v>0</v>
      </c>
      <c r="AG270" s="27">
        <v>0</v>
      </c>
      <c r="AH270" s="28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f t="shared" si="25"/>
        <v>1.1663764100000003</v>
      </c>
      <c r="AN270" s="27">
        <f t="shared" si="24"/>
        <v>1.1663764100000003</v>
      </c>
      <c r="AO270" s="35" t="s">
        <v>1486</v>
      </c>
    </row>
    <row r="271" spans="1:41" ht="31.5" customHeight="1" x14ac:dyDescent="0.25">
      <c r="A271" s="8" t="s">
        <v>90</v>
      </c>
      <c r="B271" s="40" t="s">
        <v>493</v>
      </c>
      <c r="C271" s="31" t="s">
        <v>494</v>
      </c>
      <c r="D271" s="38" t="s">
        <v>1481</v>
      </c>
      <c r="E271" s="30">
        <v>2016</v>
      </c>
      <c r="F271" s="30">
        <v>2016</v>
      </c>
      <c r="G271" s="30" t="s">
        <v>1435</v>
      </c>
      <c r="H271" s="27">
        <v>4.2446323119777161E-2</v>
      </c>
      <c r="I271" s="27">
        <v>4.5752871866295265E-2</v>
      </c>
      <c r="J271" s="27">
        <v>0</v>
      </c>
      <c r="K271" s="27">
        <v>0.3047646</v>
      </c>
      <c r="L271" s="27">
        <v>0</v>
      </c>
      <c r="M271" s="27">
        <v>7.5975000000000001E-2</v>
      </c>
      <c r="N271" s="27">
        <v>0.22878960000000001</v>
      </c>
      <c r="O271" s="27">
        <v>0</v>
      </c>
      <c r="P271" s="27">
        <v>0.32850562</v>
      </c>
      <c r="Q271" s="27">
        <v>0</v>
      </c>
      <c r="R271" s="27">
        <v>0.32850562</v>
      </c>
      <c r="S271" s="27">
        <v>0</v>
      </c>
      <c r="T271" s="27">
        <v>0</v>
      </c>
      <c r="U271" s="27">
        <v>4.2446323119777161E-2</v>
      </c>
      <c r="V271" s="27">
        <v>0.3047646</v>
      </c>
      <c r="W271" s="27">
        <v>0</v>
      </c>
      <c r="X271" s="27">
        <f t="shared" si="27"/>
        <v>0</v>
      </c>
      <c r="Y271" s="27">
        <v>0</v>
      </c>
      <c r="Z271" s="27">
        <f t="shared" si="26"/>
        <v>0</v>
      </c>
      <c r="AA271" s="27">
        <v>0</v>
      </c>
      <c r="AB271" s="28">
        <v>0</v>
      </c>
      <c r="AC271" s="27">
        <v>0</v>
      </c>
      <c r="AD271" s="28">
        <v>0</v>
      </c>
      <c r="AE271" s="27">
        <f>0.359622228/1.18</f>
        <v>0.3047646</v>
      </c>
      <c r="AF271" s="28">
        <f>0.3876366316/1.18</f>
        <v>0.32850562</v>
      </c>
      <c r="AG271" s="27">
        <v>0</v>
      </c>
      <c r="AH271" s="28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f t="shared" si="25"/>
        <v>0.32850562</v>
      </c>
      <c r="AN271" s="27">
        <f t="shared" si="24"/>
        <v>0.32850562</v>
      </c>
      <c r="AO271" s="35" t="s">
        <v>1489</v>
      </c>
    </row>
    <row r="272" spans="1:41" ht="31.5" customHeight="1" x14ac:dyDescent="0.25">
      <c r="A272" s="58" t="s">
        <v>90</v>
      </c>
      <c r="B272" s="40" t="s">
        <v>495</v>
      </c>
      <c r="C272" s="31" t="s">
        <v>496</v>
      </c>
      <c r="D272" s="38" t="s">
        <v>1482</v>
      </c>
      <c r="E272" s="30">
        <v>2017</v>
      </c>
      <c r="F272" s="30">
        <v>2017</v>
      </c>
      <c r="G272" s="30">
        <v>2017</v>
      </c>
      <c r="H272" s="27">
        <v>0.51956897214484687</v>
      </c>
      <c r="I272" s="27">
        <v>0.25978448607242344</v>
      </c>
      <c r="J272" s="27">
        <v>0</v>
      </c>
      <c r="K272" s="27">
        <v>3.7305052200000004</v>
      </c>
      <c r="L272" s="27">
        <v>0.16779660000000002</v>
      </c>
      <c r="M272" s="27">
        <v>0.37685639999999998</v>
      </c>
      <c r="N272" s="27">
        <v>3.1858522200000001</v>
      </c>
      <c r="O272" s="27">
        <v>0</v>
      </c>
      <c r="P272" s="27">
        <v>1.8652526100000002</v>
      </c>
      <c r="Q272" s="27">
        <v>8.3898300000000009E-2</v>
      </c>
      <c r="R272" s="27">
        <v>0.18842819999999999</v>
      </c>
      <c r="S272" s="27">
        <v>1.5929261100000001</v>
      </c>
      <c r="T272" s="27">
        <v>0</v>
      </c>
      <c r="U272" s="27">
        <v>0.51956897214484687</v>
      </c>
      <c r="V272" s="27">
        <v>3.7305052200000004</v>
      </c>
      <c r="W272" s="27">
        <v>0.25978448607242344</v>
      </c>
      <c r="X272" s="27">
        <f t="shared" si="27"/>
        <v>1.8652526100000002</v>
      </c>
      <c r="Y272" s="27">
        <v>0.25978448607242344</v>
      </c>
      <c r="Z272" s="27">
        <f t="shared" si="26"/>
        <v>1.8652526100000002</v>
      </c>
      <c r="AA272" s="27">
        <v>0</v>
      </c>
      <c r="AB272" s="28">
        <v>0</v>
      </c>
      <c r="AC272" s="27">
        <v>0</v>
      </c>
      <c r="AD272" s="28">
        <v>0</v>
      </c>
      <c r="AE272" s="27">
        <v>0</v>
      </c>
      <c r="AF272" s="28">
        <v>0</v>
      </c>
      <c r="AG272" s="27">
        <f>2.2009980798/1.18</f>
        <v>1.8652526100000002</v>
      </c>
      <c r="AH272" s="28">
        <f>2.2009980798/1.18</f>
        <v>1.8652526100000002</v>
      </c>
      <c r="AI272" s="27">
        <v>0</v>
      </c>
      <c r="AJ272" s="27">
        <v>0</v>
      </c>
      <c r="AK272" s="27">
        <v>0</v>
      </c>
      <c r="AL272" s="27">
        <v>0</v>
      </c>
      <c r="AM272" s="27">
        <f t="shared" si="25"/>
        <v>1.8652526100000002</v>
      </c>
      <c r="AN272" s="27">
        <f t="shared" si="24"/>
        <v>1.8652526100000002</v>
      </c>
      <c r="AO272" s="35" t="s">
        <v>1435</v>
      </c>
    </row>
    <row r="273" spans="1:41" ht="31.5" customHeight="1" x14ac:dyDescent="0.25">
      <c r="A273" s="58" t="s">
        <v>90</v>
      </c>
      <c r="B273" s="40" t="s">
        <v>497</v>
      </c>
      <c r="C273" s="31" t="s">
        <v>498</v>
      </c>
      <c r="D273" s="38" t="s">
        <v>1482</v>
      </c>
      <c r="E273" s="30">
        <v>2017</v>
      </c>
      <c r="F273" s="30">
        <v>2018</v>
      </c>
      <c r="G273" s="30">
        <v>2017</v>
      </c>
      <c r="H273" s="27">
        <v>0.10649025069637884</v>
      </c>
      <c r="I273" s="27">
        <v>5.3245125348189419E-2</v>
      </c>
      <c r="J273" s="27">
        <v>0</v>
      </c>
      <c r="K273" s="27">
        <v>0.76460000000000006</v>
      </c>
      <c r="L273" s="27">
        <v>0</v>
      </c>
      <c r="M273" s="27">
        <v>0.34622000000000003</v>
      </c>
      <c r="N273" s="27">
        <v>0.41837999999999997</v>
      </c>
      <c r="O273" s="27">
        <v>0</v>
      </c>
      <c r="P273" s="27">
        <v>0.38230000000000003</v>
      </c>
      <c r="Q273" s="27">
        <v>0</v>
      </c>
      <c r="R273" s="27">
        <v>0.17311000000000001</v>
      </c>
      <c r="S273" s="27">
        <v>0.20918999999999999</v>
      </c>
      <c r="T273" s="27">
        <v>0</v>
      </c>
      <c r="U273" s="27">
        <v>0.10649025069637884</v>
      </c>
      <c r="V273" s="27">
        <v>0.76460000000000006</v>
      </c>
      <c r="W273" s="27">
        <v>5.3245125348189419E-2</v>
      </c>
      <c r="X273" s="27">
        <f t="shared" si="27"/>
        <v>0.38230000000000003</v>
      </c>
      <c r="Y273" s="27">
        <v>5.3245125348189419E-2</v>
      </c>
      <c r="Z273" s="27">
        <f t="shared" si="26"/>
        <v>0.38230000000000003</v>
      </c>
      <c r="AA273" s="27">
        <v>0</v>
      </c>
      <c r="AB273" s="28">
        <v>0</v>
      </c>
      <c r="AC273" s="27">
        <v>0</v>
      </c>
      <c r="AD273" s="28">
        <v>0</v>
      </c>
      <c r="AE273" s="27">
        <v>0</v>
      </c>
      <c r="AF273" s="28">
        <v>0</v>
      </c>
      <c r="AG273" s="27">
        <f>0.451114/1.18</f>
        <v>0.38230000000000003</v>
      </c>
      <c r="AH273" s="28">
        <f>0.451114/1.18</f>
        <v>0.38230000000000003</v>
      </c>
      <c r="AI273" s="27">
        <v>0</v>
      </c>
      <c r="AJ273" s="27">
        <v>0</v>
      </c>
      <c r="AK273" s="27">
        <v>0</v>
      </c>
      <c r="AL273" s="27">
        <v>0</v>
      </c>
      <c r="AM273" s="27">
        <f t="shared" si="25"/>
        <v>0.38230000000000003</v>
      </c>
      <c r="AN273" s="27">
        <f t="shared" si="24"/>
        <v>0.38230000000000003</v>
      </c>
      <c r="AO273" s="35" t="s">
        <v>1435</v>
      </c>
    </row>
    <row r="274" spans="1:41" ht="31.5" customHeight="1" x14ac:dyDescent="0.25">
      <c r="A274" s="59" t="s">
        <v>90</v>
      </c>
      <c r="B274" s="41" t="s">
        <v>499</v>
      </c>
      <c r="C274" s="29" t="s">
        <v>500</v>
      </c>
      <c r="D274" s="38" t="s">
        <v>1482</v>
      </c>
      <c r="E274" s="30">
        <v>2018</v>
      </c>
      <c r="F274" s="30">
        <v>2018</v>
      </c>
      <c r="G274" s="30" t="s">
        <v>1435</v>
      </c>
      <c r="H274" s="27">
        <v>0.16104770879601771</v>
      </c>
      <c r="I274" s="27">
        <v>0</v>
      </c>
      <c r="J274" s="27">
        <v>0</v>
      </c>
      <c r="K274" s="27">
        <v>1.156322549155407</v>
      </c>
      <c r="L274" s="27">
        <v>0</v>
      </c>
      <c r="M274" s="27">
        <v>0.69869543051134242</v>
      </c>
      <c r="N274" s="27">
        <v>0.45762711864406785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0.16104770879601771</v>
      </c>
      <c r="V274" s="27">
        <v>1.156322549155407</v>
      </c>
      <c r="W274" s="27">
        <v>0.16104770879601771</v>
      </c>
      <c r="X274" s="27">
        <f t="shared" si="27"/>
        <v>1.156322549155407</v>
      </c>
      <c r="Y274" s="27">
        <v>0</v>
      </c>
      <c r="Z274" s="27">
        <f t="shared" si="26"/>
        <v>0</v>
      </c>
      <c r="AA274" s="27">
        <v>0</v>
      </c>
      <c r="AB274" s="28">
        <v>0</v>
      </c>
      <c r="AC274" s="27">
        <v>0</v>
      </c>
      <c r="AD274" s="28">
        <v>0</v>
      </c>
      <c r="AE274" s="27">
        <v>0</v>
      </c>
      <c r="AF274" s="28">
        <v>0</v>
      </c>
      <c r="AG274" s="27">
        <v>0</v>
      </c>
      <c r="AH274" s="28">
        <v>0</v>
      </c>
      <c r="AI274" s="27">
        <f>1.36446060800338/1.18</f>
        <v>1.156322549155407</v>
      </c>
      <c r="AJ274" s="27">
        <v>0</v>
      </c>
      <c r="AK274" s="27">
        <v>0</v>
      </c>
      <c r="AL274" s="27">
        <v>0</v>
      </c>
      <c r="AM274" s="27">
        <f t="shared" si="25"/>
        <v>1.156322549155407</v>
      </c>
      <c r="AN274" s="27">
        <f t="shared" si="24"/>
        <v>0</v>
      </c>
      <c r="AO274" s="35" t="s">
        <v>1435</v>
      </c>
    </row>
    <row r="275" spans="1:41" ht="31.5" customHeight="1" x14ac:dyDescent="0.25">
      <c r="A275" s="60" t="s">
        <v>90</v>
      </c>
      <c r="B275" s="42" t="s">
        <v>501</v>
      </c>
      <c r="C275" s="31" t="s">
        <v>502</v>
      </c>
      <c r="D275" s="38" t="s">
        <v>1482</v>
      </c>
      <c r="E275" s="30">
        <v>2019</v>
      </c>
      <c r="F275" s="30">
        <v>2019</v>
      </c>
      <c r="G275" s="30" t="s">
        <v>1435</v>
      </c>
      <c r="H275" s="27">
        <v>0.16861695110943065</v>
      </c>
      <c r="I275" s="27">
        <v>0</v>
      </c>
      <c r="J275" s="27">
        <v>0</v>
      </c>
      <c r="K275" s="27">
        <v>1.2106697089657119</v>
      </c>
      <c r="L275" s="27">
        <v>0.3100154</v>
      </c>
      <c r="M275" s="27">
        <v>6.5785474853794277</v>
      </c>
      <c r="N275" s="27">
        <v>46.922947883586268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0.16861695110943065</v>
      </c>
      <c r="V275" s="27">
        <v>1.2106697089657119</v>
      </c>
      <c r="W275" s="27">
        <v>0.16861695110943065</v>
      </c>
      <c r="X275" s="27">
        <f t="shared" si="27"/>
        <v>1.2106697089657119</v>
      </c>
      <c r="Y275" s="27">
        <v>0</v>
      </c>
      <c r="Z275" s="27">
        <f t="shared" si="26"/>
        <v>0</v>
      </c>
      <c r="AA275" s="27">
        <v>0</v>
      </c>
      <c r="AB275" s="28">
        <v>0</v>
      </c>
      <c r="AC275" s="27">
        <v>0</v>
      </c>
      <c r="AD275" s="28">
        <v>0</v>
      </c>
      <c r="AE275" s="27">
        <v>0</v>
      </c>
      <c r="AF275" s="28">
        <v>0</v>
      </c>
      <c r="AG275" s="27">
        <v>0</v>
      </c>
      <c r="AH275" s="28">
        <v>0</v>
      </c>
      <c r="AI275" s="27">
        <v>0</v>
      </c>
      <c r="AJ275" s="27">
        <v>0</v>
      </c>
      <c r="AK275" s="27">
        <f>1.42859025657954/1.18</f>
        <v>1.2106697089657119</v>
      </c>
      <c r="AL275" s="27">
        <v>0</v>
      </c>
      <c r="AM275" s="27">
        <f t="shared" si="25"/>
        <v>1.2106697089657119</v>
      </c>
      <c r="AN275" s="27">
        <f t="shared" ref="AN275:AN338" si="29">AD275+AF275+AH275</f>
        <v>0</v>
      </c>
      <c r="AO275" s="35" t="s">
        <v>1435</v>
      </c>
    </row>
    <row r="276" spans="1:41" ht="48.75" customHeight="1" x14ac:dyDescent="0.25">
      <c r="A276" s="61" t="s">
        <v>92</v>
      </c>
      <c r="B276" s="43" t="s">
        <v>93</v>
      </c>
      <c r="C276" s="32" t="s">
        <v>48</v>
      </c>
      <c r="D276" s="36" t="s">
        <v>1435</v>
      </c>
      <c r="E276" s="24" t="s">
        <v>1435</v>
      </c>
      <c r="F276" s="24" t="s">
        <v>1435</v>
      </c>
      <c r="G276" s="24" t="s">
        <v>1435</v>
      </c>
      <c r="H276" s="25">
        <f>SUM(H277:H459)</f>
        <v>21.229407762597852</v>
      </c>
      <c r="I276" s="25">
        <f>SUM(I277:I459)</f>
        <v>11.180644755630043</v>
      </c>
      <c r="J276" s="25">
        <v>0</v>
      </c>
      <c r="K276" s="25">
        <v>152.42714773545259</v>
      </c>
      <c r="L276" s="25">
        <v>0.82907439999999999</v>
      </c>
      <c r="M276" s="25">
        <v>27.098185890588912</v>
      </c>
      <c r="N276" s="25">
        <v>124.49476142576489</v>
      </c>
      <c r="O276" s="25">
        <v>0</v>
      </c>
      <c r="P276" s="25">
        <v>80.277029345423756</v>
      </c>
      <c r="Q276" s="25">
        <v>0.32565136</v>
      </c>
      <c r="R276" s="25">
        <v>8.9030119800000005</v>
      </c>
      <c r="S276" s="25">
        <v>71.046180079999999</v>
      </c>
      <c r="T276" s="25">
        <v>0</v>
      </c>
      <c r="U276" s="25">
        <f>SUM(U277:U459)</f>
        <v>21.229407762597852</v>
      </c>
      <c r="V276" s="25">
        <v>152.42714773545259</v>
      </c>
      <c r="W276" s="25">
        <f>SUM(W277:W459)</f>
        <v>10.555329972904245</v>
      </c>
      <c r="X276" s="25">
        <f t="shared" si="27"/>
        <v>75.78726920545256</v>
      </c>
      <c r="Y276" s="25">
        <f>SUM(Y277:Y459)</f>
        <v>3.6630112158774373</v>
      </c>
      <c r="Z276" s="25">
        <f t="shared" si="26"/>
        <v>26.300420530000018</v>
      </c>
      <c r="AA276" s="25">
        <f>SUM(AA277:AA354)</f>
        <v>0</v>
      </c>
      <c r="AB276" s="26">
        <v>0</v>
      </c>
      <c r="AC276" s="25">
        <f>SUM(AC277:AC354)</f>
        <v>24.424172000000006</v>
      </c>
      <c r="AD276" s="26">
        <f>SUM(AD277:AD354)</f>
        <v>25.41876792542373</v>
      </c>
      <c r="AE276" s="25">
        <f>SUM(AE277:AE354)</f>
        <v>25.915286000000002</v>
      </c>
      <c r="AF276" s="26">
        <f>SUM(AF277:AF357)</f>
        <v>28.557840890000008</v>
      </c>
      <c r="AG276" s="25">
        <f>SUM(AG277:AG459)</f>
        <v>26.300420530000018</v>
      </c>
      <c r="AH276" s="26">
        <f>SUM(AH277:AH381)</f>
        <v>26.300420530000018</v>
      </c>
      <c r="AI276" s="25">
        <f>SUM(AI277:AI417)</f>
        <v>21.09272020955601</v>
      </c>
      <c r="AJ276" s="25">
        <v>0</v>
      </c>
      <c r="AK276" s="25">
        <f>SUM(AK277:AK459)</f>
        <v>28.394128465896532</v>
      </c>
      <c r="AL276" s="25">
        <v>0</v>
      </c>
      <c r="AM276" s="25">
        <f t="shared" si="25"/>
        <v>129.76387802087629</v>
      </c>
      <c r="AN276" s="25">
        <f t="shared" si="29"/>
        <v>80.277029345423756</v>
      </c>
      <c r="AO276" s="26" t="s">
        <v>1435</v>
      </c>
    </row>
    <row r="277" spans="1:41" ht="31.5" customHeight="1" x14ac:dyDescent="0.25">
      <c r="A277" s="8" t="s">
        <v>92</v>
      </c>
      <c r="B277" s="44" t="s">
        <v>503</v>
      </c>
      <c r="C277" s="29" t="s">
        <v>504</v>
      </c>
      <c r="D277" s="38" t="s">
        <v>1481</v>
      </c>
      <c r="E277" s="30">
        <v>2015</v>
      </c>
      <c r="F277" s="30">
        <v>2015</v>
      </c>
      <c r="G277" s="30" t="s">
        <v>1435</v>
      </c>
      <c r="H277" s="27">
        <v>2.2878830083565459E-2</v>
      </c>
      <c r="I277" s="27">
        <v>2.7708199164345405E-2</v>
      </c>
      <c r="J277" s="27">
        <v>0</v>
      </c>
      <c r="K277" s="27">
        <v>0.16427</v>
      </c>
      <c r="L277" s="27">
        <v>0</v>
      </c>
      <c r="M277" s="27">
        <v>8.0000000000000002E-3</v>
      </c>
      <c r="N277" s="27">
        <v>0.15627000000000002</v>
      </c>
      <c r="O277" s="27">
        <v>0</v>
      </c>
      <c r="P277" s="27">
        <v>0.19894487</v>
      </c>
      <c r="Q277" s="27">
        <v>0</v>
      </c>
      <c r="R277" s="27">
        <v>1.80948E-3</v>
      </c>
      <c r="S277" s="27">
        <v>0.19713538999999999</v>
      </c>
      <c r="T277" s="27">
        <v>0</v>
      </c>
      <c r="U277" s="27">
        <v>2.2878830083565459E-2</v>
      </c>
      <c r="V277" s="27">
        <v>0.16427</v>
      </c>
      <c r="W277" s="27">
        <v>0</v>
      </c>
      <c r="X277" s="27">
        <f t="shared" si="27"/>
        <v>0</v>
      </c>
      <c r="Y277" s="27">
        <v>0</v>
      </c>
      <c r="Z277" s="27">
        <f t="shared" si="26"/>
        <v>0</v>
      </c>
      <c r="AA277" s="27">
        <v>0</v>
      </c>
      <c r="AB277" s="28">
        <v>0</v>
      </c>
      <c r="AC277" s="27">
        <f>0.1938386/1.18</f>
        <v>0.16427</v>
      </c>
      <c r="AD277" s="28">
        <f>0.2347549466/1.18</f>
        <v>0.19894487</v>
      </c>
      <c r="AE277" s="27">
        <v>0</v>
      </c>
      <c r="AF277" s="28">
        <v>0</v>
      </c>
      <c r="AG277" s="27">
        <v>0</v>
      </c>
      <c r="AH277" s="28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f t="shared" si="25"/>
        <v>0.19894487</v>
      </c>
      <c r="AN277" s="27">
        <f t="shared" si="29"/>
        <v>0.19894487</v>
      </c>
      <c r="AO277" s="35" t="s">
        <v>1435</v>
      </c>
    </row>
    <row r="278" spans="1:41" ht="31.5" customHeight="1" x14ac:dyDescent="0.25">
      <c r="A278" s="8" t="s">
        <v>92</v>
      </c>
      <c r="B278" s="44" t="s">
        <v>505</v>
      </c>
      <c r="C278" s="29" t="s">
        <v>506</v>
      </c>
      <c r="D278" s="38" t="s">
        <v>1481</v>
      </c>
      <c r="E278" s="30">
        <v>2015</v>
      </c>
      <c r="F278" s="30">
        <v>2015</v>
      </c>
      <c r="G278" s="30" t="s">
        <v>1435</v>
      </c>
      <c r="H278" s="27">
        <v>2.2878830083565459E-2</v>
      </c>
      <c r="I278" s="27">
        <v>2.7709543175487465E-2</v>
      </c>
      <c r="J278" s="27">
        <v>0</v>
      </c>
      <c r="K278" s="27">
        <v>0.16427</v>
      </c>
      <c r="L278" s="27">
        <v>0</v>
      </c>
      <c r="M278" s="27">
        <v>8.0000000000000002E-3</v>
      </c>
      <c r="N278" s="27">
        <v>0.15627000000000002</v>
      </c>
      <c r="O278" s="27">
        <v>0</v>
      </c>
      <c r="P278" s="27">
        <v>0.19895452</v>
      </c>
      <c r="Q278" s="27">
        <v>0</v>
      </c>
      <c r="R278" s="27">
        <v>1.50186E-3</v>
      </c>
      <c r="S278" s="27">
        <v>0.19745266</v>
      </c>
      <c r="T278" s="27">
        <v>0</v>
      </c>
      <c r="U278" s="27">
        <v>2.2878830083565459E-2</v>
      </c>
      <c r="V278" s="27">
        <v>0.16427</v>
      </c>
      <c r="W278" s="27">
        <v>0</v>
      </c>
      <c r="X278" s="27">
        <f t="shared" si="27"/>
        <v>0</v>
      </c>
      <c r="Y278" s="27">
        <v>0</v>
      </c>
      <c r="Z278" s="27">
        <f t="shared" si="26"/>
        <v>0</v>
      </c>
      <c r="AA278" s="27">
        <v>0</v>
      </c>
      <c r="AB278" s="28">
        <v>0</v>
      </c>
      <c r="AC278" s="27">
        <f>0.1938386/1.18</f>
        <v>0.16427</v>
      </c>
      <c r="AD278" s="28">
        <f>0.2347663336/1.18</f>
        <v>0.19895452</v>
      </c>
      <c r="AE278" s="27">
        <v>0</v>
      </c>
      <c r="AF278" s="28">
        <v>0</v>
      </c>
      <c r="AG278" s="27">
        <v>0</v>
      </c>
      <c r="AH278" s="28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f t="shared" si="25"/>
        <v>0.19895452</v>
      </c>
      <c r="AN278" s="27">
        <f t="shared" si="29"/>
        <v>0.19895452</v>
      </c>
      <c r="AO278" s="35" t="s">
        <v>1435</v>
      </c>
    </row>
    <row r="279" spans="1:41" ht="31.5" customHeight="1" x14ac:dyDescent="0.25">
      <c r="A279" s="8" t="s">
        <v>92</v>
      </c>
      <c r="B279" s="44" t="s">
        <v>507</v>
      </c>
      <c r="C279" s="29" t="s">
        <v>508</v>
      </c>
      <c r="D279" s="38" t="s">
        <v>1481</v>
      </c>
      <c r="E279" s="30">
        <v>2015</v>
      </c>
      <c r="F279" s="30">
        <v>2015</v>
      </c>
      <c r="G279" s="30" t="s">
        <v>1435</v>
      </c>
      <c r="H279" s="27">
        <v>3.1270891364902506E-2</v>
      </c>
      <c r="I279" s="27">
        <v>3.6288027855153213E-2</v>
      </c>
      <c r="J279" s="27">
        <v>0</v>
      </c>
      <c r="K279" s="27">
        <v>0.224525</v>
      </c>
      <c r="L279" s="27">
        <v>0</v>
      </c>
      <c r="M279" s="27">
        <v>8.0009999999999994E-3</v>
      </c>
      <c r="N279" s="27">
        <v>0.21652399999999999</v>
      </c>
      <c r="O279" s="27">
        <v>0</v>
      </c>
      <c r="P279" s="27">
        <v>0.26054804000000004</v>
      </c>
      <c r="Q279" s="27">
        <v>0</v>
      </c>
      <c r="R279" s="27">
        <v>3.0033400000000002E-3</v>
      </c>
      <c r="S279" s="27">
        <v>0.25754469999999996</v>
      </c>
      <c r="T279" s="27">
        <v>0</v>
      </c>
      <c r="U279" s="27">
        <v>3.1270891364902506E-2</v>
      </c>
      <c r="V279" s="27">
        <v>0.224525</v>
      </c>
      <c r="W279" s="27">
        <v>0</v>
      </c>
      <c r="X279" s="27">
        <f t="shared" si="27"/>
        <v>0</v>
      </c>
      <c r="Y279" s="27">
        <v>0</v>
      </c>
      <c r="Z279" s="27">
        <f t="shared" si="26"/>
        <v>0</v>
      </c>
      <c r="AA279" s="27">
        <v>0</v>
      </c>
      <c r="AB279" s="28">
        <v>0</v>
      </c>
      <c r="AC279" s="27">
        <f>0.2649395/1.18</f>
        <v>0.224525</v>
      </c>
      <c r="AD279" s="28">
        <f>0.3074466872/1.18</f>
        <v>0.26054804000000004</v>
      </c>
      <c r="AE279" s="27">
        <v>0</v>
      </c>
      <c r="AF279" s="28">
        <v>0</v>
      </c>
      <c r="AG279" s="27">
        <v>0</v>
      </c>
      <c r="AH279" s="28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f t="shared" si="25"/>
        <v>0.26054804000000004</v>
      </c>
      <c r="AN279" s="27">
        <f t="shared" si="29"/>
        <v>0.26054804000000004</v>
      </c>
      <c r="AO279" s="35" t="s">
        <v>1490</v>
      </c>
    </row>
    <row r="280" spans="1:41" ht="31.5" customHeight="1" x14ac:dyDescent="0.25">
      <c r="A280" s="8" t="s">
        <v>92</v>
      </c>
      <c r="B280" s="44" t="s">
        <v>509</v>
      </c>
      <c r="C280" s="29" t="s">
        <v>510</v>
      </c>
      <c r="D280" s="38" t="s">
        <v>1481</v>
      </c>
      <c r="E280" s="30">
        <v>2015</v>
      </c>
      <c r="F280" s="30">
        <v>2015</v>
      </c>
      <c r="G280" s="30" t="s">
        <v>1435</v>
      </c>
      <c r="H280" s="27">
        <v>4.6394846796657382E-2</v>
      </c>
      <c r="I280" s="27">
        <v>5.526252924791087E-2</v>
      </c>
      <c r="J280" s="27">
        <v>0</v>
      </c>
      <c r="K280" s="27">
        <v>0.33311499999999999</v>
      </c>
      <c r="L280" s="27">
        <v>0</v>
      </c>
      <c r="M280" s="27">
        <v>8.0009999999999994E-3</v>
      </c>
      <c r="N280" s="27">
        <v>0.32511399999999996</v>
      </c>
      <c r="O280" s="27">
        <v>0</v>
      </c>
      <c r="P280" s="27">
        <v>0.39678496000000002</v>
      </c>
      <c r="Q280" s="27">
        <v>0</v>
      </c>
      <c r="R280" s="27">
        <v>4.6843800000000001E-3</v>
      </c>
      <c r="S280" s="27">
        <v>0.39210057999999998</v>
      </c>
      <c r="T280" s="27">
        <v>0</v>
      </c>
      <c r="U280" s="27">
        <v>4.6394846796657382E-2</v>
      </c>
      <c r="V280" s="27">
        <v>0.33311499999999999</v>
      </c>
      <c r="W280" s="27">
        <v>0</v>
      </c>
      <c r="X280" s="27">
        <f t="shared" si="27"/>
        <v>0</v>
      </c>
      <c r="Y280" s="27">
        <v>0</v>
      </c>
      <c r="Z280" s="27">
        <f t="shared" si="26"/>
        <v>0</v>
      </c>
      <c r="AA280" s="27">
        <v>0</v>
      </c>
      <c r="AB280" s="28">
        <v>0</v>
      </c>
      <c r="AC280" s="27">
        <f>0.3930757/1.18</f>
        <v>0.33311499999999999</v>
      </c>
      <c r="AD280" s="28">
        <f>0.4682062528/1.18</f>
        <v>0.39678496000000002</v>
      </c>
      <c r="AE280" s="27">
        <v>0</v>
      </c>
      <c r="AF280" s="28">
        <v>0</v>
      </c>
      <c r="AG280" s="27">
        <v>0</v>
      </c>
      <c r="AH280" s="28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f t="shared" si="25"/>
        <v>0.39678496000000002</v>
      </c>
      <c r="AN280" s="27">
        <f t="shared" si="29"/>
        <v>0.39678496000000002</v>
      </c>
      <c r="AO280" s="35" t="s">
        <v>1490</v>
      </c>
    </row>
    <row r="281" spans="1:41" ht="31.5" customHeight="1" x14ac:dyDescent="0.25">
      <c r="A281" s="8" t="s">
        <v>92</v>
      </c>
      <c r="B281" s="39" t="s">
        <v>511</v>
      </c>
      <c r="C281" s="29" t="s">
        <v>512</v>
      </c>
      <c r="D281" s="38" t="s">
        <v>1481</v>
      </c>
      <c r="E281" s="30">
        <v>2015</v>
      </c>
      <c r="F281" s="30">
        <v>2015</v>
      </c>
      <c r="G281" s="30" t="s">
        <v>1435</v>
      </c>
      <c r="H281" s="27">
        <v>0.93560584958217285</v>
      </c>
      <c r="I281" s="27">
        <v>1.0215613286908078</v>
      </c>
      <c r="J281" s="27">
        <v>0</v>
      </c>
      <c r="K281" s="27">
        <v>6.7176500000000008</v>
      </c>
      <c r="L281" s="27">
        <v>8.4629999999999997E-2</v>
      </c>
      <c r="M281" s="27">
        <v>0.27501999999999999</v>
      </c>
      <c r="N281" s="27">
        <v>6.3579999999999997</v>
      </c>
      <c r="O281" s="27">
        <v>0</v>
      </c>
      <c r="P281" s="27">
        <v>7.3348103400000007</v>
      </c>
      <c r="Q281" s="27">
        <v>8.8810249999999993E-2</v>
      </c>
      <c r="R281" s="27">
        <v>0.92228972999999992</v>
      </c>
      <c r="S281" s="27">
        <v>6.3237133999999999</v>
      </c>
      <c r="T281" s="27">
        <v>0</v>
      </c>
      <c r="U281" s="27">
        <v>0.93560584958217285</v>
      </c>
      <c r="V281" s="27">
        <v>6.7176500000000008</v>
      </c>
      <c r="W281" s="27">
        <v>0</v>
      </c>
      <c r="X281" s="27">
        <f t="shared" si="27"/>
        <v>0</v>
      </c>
      <c r="Y281" s="27">
        <v>0</v>
      </c>
      <c r="Z281" s="27">
        <f t="shared" si="26"/>
        <v>0</v>
      </c>
      <c r="AA281" s="27">
        <v>0</v>
      </c>
      <c r="AB281" s="28">
        <v>0</v>
      </c>
      <c r="AC281" s="27">
        <f>7.926827/1.18</f>
        <v>6.7176500000000008</v>
      </c>
      <c r="AD281" s="28">
        <f>8.6550762012/1.18</f>
        <v>7.3348103400000007</v>
      </c>
      <c r="AE281" s="27">
        <v>0</v>
      </c>
      <c r="AF281" s="28">
        <v>0</v>
      </c>
      <c r="AG281" s="27">
        <v>0</v>
      </c>
      <c r="AH281" s="28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f t="shared" si="25"/>
        <v>7.3348103400000007</v>
      </c>
      <c r="AN281" s="27">
        <f t="shared" si="29"/>
        <v>7.3348103400000007</v>
      </c>
      <c r="AO281" s="35" t="s">
        <v>1490</v>
      </c>
    </row>
    <row r="282" spans="1:41" ht="31.5" customHeight="1" x14ac:dyDescent="0.25">
      <c r="A282" s="8" t="s">
        <v>92</v>
      </c>
      <c r="B282" s="39" t="s">
        <v>513</v>
      </c>
      <c r="C282" s="29" t="s">
        <v>514</v>
      </c>
      <c r="D282" s="38" t="s">
        <v>1481</v>
      </c>
      <c r="E282" s="30">
        <v>2015</v>
      </c>
      <c r="F282" s="30">
        <v>2015</v>
      </c>
      <c r="G282" s="30" t="s">
        <v>1435</v>
      </c>
      <c r="H282" s="27">
        <v>2.2001949860724235E-2</v>
      </c>
      <c r="I282" s="27">
        <v>2.2001568245125353E-2</v>
      </c>
      <c r="J282" s="27">
        <v>0</v>
      </c>
      <c r="K282" s="27">
        <v>0.157974</v>
      </c>
      <c r="L282" s="27">
        <v>0</v>
      </c>
      <c r="M282" s="27">
        <v>3.3347999999999996E-2</v>
      </c>
      <c r="N282" s="27">
        <v>0.124626</v>
      </c>
      <c r="O282" s="27">
        <v>0</v>
      </c>
      <c r="P282" s="27">
        <v>0.15797126000000003</v>
      </c>
      <c r="Q282" s="27">
        <v>0</v>
      </c>
      <c r="R282" s="27">
        <v>3.3345199999999998E-2</v>
      </c>
      <c r="S282" s="27">
        <v>0.12462606</v>
      </c>
      <c r="T282" s="27">
        <v>0</v>
      </c>
      <c r="U282" s="27">
        <v>2.2001949860724235E-2</v>
      </c>
      <c r="V282" s="27">
        <v>0.157974</v>
      </c>
      <c r="W282" s="27">
        <v>0</v>
      </c>
      <c r="X282" s="27">
        <f t="shared" si="27"/>
        <v>0</v>
      </c>
      <c r="Y282" s="27">
        <v>0</v>
      </c>
      <c r="Z282" s="27">
        <f t="shared" si="26"/>
        <v>0</v>
      </c>
      <c r="AA282" s="27">
        <v>0</v>
      </c>
      <c r="AB282" s="28">
        <v>0</v>
      </c>
      <c r="AC282" s="27">
        <f>0.18640932/1.18</f>
        <v>0.157974</v>
      </c>
      <c r="AD282" s="28">
        <f>0.1864060868/1.18</f>
        <v>0.15797126000000003</v>
      </c>
      <c r="AE282" s="27">
        <v>0</v>
      </c>
      <c r="AF282" s="28">
        <v>0</v>
      </c>
      <c r="AG282" s="27">
        <v>0</v>
      </c>
      <c r="AH282" s="28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f t="shared" si="25"/>
        <v>0.15797126000000003</v>
      </c>
      <c r="AN282" s="27">
        <f t="shared" si="29"/>
        <v>0.15797126000000003</v>
      </c>
      <c r="AO282" s="35" t="s">
        <v>1490</v>
      </c>
    </row>
    <row r="283" spans="1:41" ht="31.5" customHeight="1" x14ac:dyDescent="0.25">
      <c r="A283" s="8" t="s">
        <v>92</v>
      </c>
      <c r="B283" s="39" t="s">
        <v>515</v>
      </c>
      <c r="C283" s="29" t="s">
        <v>516</v>
      </c>
      <c r="D283" s="38" t="s">
        <v>1481</v>
      </c>
      <c r="E283" s="30">
        <v>2015</v>
      </c>
      <c r="F283" s="30">
        <v>2015</v>
      </c>
      <c r="G283" s="30" t="s">
        <v>1435</v>
      </c>
      <c r="H283" s="27">
        <v>3.7692479108635095E-2</v>
      </c>
      <c r="I283" s="27">
        <v>3.7691885793871865E-2</v>
      </c>
      <c r="J283" s="27">
        <v>0</v>
      </c>
      <c r="K283" s="27">
        <v>0.27063199999999998</v>
      </c>
      <c r="L283" s="27">
        <v>0</v>
      </c>
      <c r="M283" s="27">
        <v>6.8110000000000004E-2</v>
      </c>
      <c r="N283" s="27">
        <v>0.20252199999999998</v>
      </c>
      <c r="O283" s="27">
        <v>0</v>
      </c>
      <c r="P283" s="27">
        <v>0.27062774000000001</v>
      </c>
      <c r="Q283" s="27">
        <v>0</v>
      </c>
      <c r="R283" s="27">
        <v>6.8110230000000008E-2</v>
      </c>
      <c r="S283" s="27">
        <v>0.20251750999999998</v>
      </c>
      <c r="T283" s="27">
        <v>0</v>
      </c>
      <c r="U283" s="27">
        <v>3.7692479108635095E-2</v>
      </c>
      <c r="V283" s="27">
        <v>0.27063199999999998</v>
      </c>
      <c r="W283" s="27">
        <v>0</v>
      </c>
      <c r="X283" s="27">
        <f t="shared" si="27"/>
        <v>0</v>
      </c>
      <c r="Y283" s="27">
        <v>0</v>
      </c>
      <c r="Z283" s="27">
        <f t="shared" si="26"/>
        <v>0</v>
      </c>
      <c r="AA283" s="27">
        <v>0</v>
      </c>
      <c r="AB283" s="28">
        <v>0</v>
      </c>
      <c r="AC283" s="27">
        <f>0.31934576/1.18</f>
        <v>0.27063199999999998</v>
      </c>
      <c r="AD283" s="28">
        <f>0.3193407332/1.18</f>
        <v>0.27062774000000001</v>
      </c>
      <c r="AE283" s="27">
        <v>0</v>
      </c>
      <c r="AF283" s="28">
        <v>0</v>
      </c>
      <c r="AG283" s="27">
        <v>0</v>
      </c>
      <c r="AH283" s="28">
        <v>0</v>
      </c>
      <c r="AI283" s="27">
        <v>0</v>
      </c>
      <c r="AJ283" s="27">
        <v>0</v>
      </c>
      <c r="AK283" s="27">
        <v>0</v>
      </c>
      <c r="AL283" s="27">
        <v>0</v>
      </c>
      <c r="AM283" s="27">
        <f t="shared" ref="AM283:AM346" si="30">AD283+AF283+AG283+AI283+AK283</f>
        <v>0.27062774000000001</v>
      </c>
      <c r="AN283" s="27">
        <f t="shared" si="29"/>
        <v>0.27062774000000001</v>
      </c>
      <c r="AO283" s="35" t="s">
        <v>1435</v>
      </c>
    </row>
    <row r="284" spans="1:41" ht="31.5" customHeight="1" x14ac:dyDescent="0.25">
      <c r="A284" s="8" t="s">
        <v>92</v>
      </c>
      <c r="B284" s="39" t="s">
        <v>517</v>
      </c>
      <c r="C284" s="29" t="s">
        <v>518</v>
      </c>
      <c r="D284" s="38" t="s">
        <v>1481</v>
      </c>
      <c r="E284" s="30">
        <v>2015</v>
      </c>
      <c r="F284" s="30">
        <v>2015</v>
      </c>
      <c r="G284" s="30" t="s">
        <v>1435</v>
      </c>
      <c r="H284" s="27">
        <v>4.0073816155988859E-2</v>
      </c>
      <c r="I284" s="27">
        <v>4.0073586350974938E-2</v>
      </c>
      <c r="J284" s="27">
        <v>0</v>
      </c>
      <c r="K284" s="27">
        <v>0.28772999999999999</v>
      </c>
      <c r="L284" s="27">
        <v>0</v>
      </c>
      <c r="M284" s="27">
        <v>4.5069999999999999E-2</v>
      </c>
      <c r="N284" s="27">
        <v>0.24265999999999999</v>
      </c>
      <c r="O284" s="27">
        <v>0</v>
      </c>
      <c r="P284" s="27">
        <v>0.28772835000000002</v>
      </c>
      <c r="Q284" s="27">
        <v>0</v>
      </c>
      <c r="R284" s="27">
        <v>4.5065540000000001E-2</v>
      </c>
      <c r="S284" s="27">
        <v>0.24266281000000001</v>
      </c>
      <c r="T284" s="27">
        <v>0</v>
      </c>
      <c r="U284" s="27">
        <v>4.0073816155988859E-2</v>
      </c>
      <c r="V284" s="27">
        <v>0.28772999999999999</v>
      </c>
      <c r="W284" s="27">
        <v>0</v>
      </c>
      <c r="X284" s="27">
        <f t="shared" si="27"/>
        <v>0</v>
      </c>
      <c r="Y284" s="27">
        <v>0</v>
      </c>
      <c r="Z284" s="27">
        <f t="shared" si="26"/>
        <v>0</v>
      </c>
      <c r="AA284" s="27">
        <v>0</v>
      </c>
      <c r="AB284" s="28">
        <v>0</v>
      </c>
      <c r="AC284" s="27">
        <f>0.3395214/1.18</f>
        <v>0.28772999999999999</v>
      </c>
      <c r="AD284" s="28">
        <f>0.339519453/1.18</f>
        <v>0.28772835000000002</v>
      </c>
      <c r="AE284" s="27">
        <v>0</v>
      </c>
      <c r="AF284" s="28">
        <v>0</v>
      </c>
      <c r="AG284" s="27">
        <v>0</v>
      </c>
      <c r="AH284" s="28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f t="shared" si="30"/>
        <v>0.28772835000000002</v>
      </c>
      <c r="AN284" s="27">
        <f t="shared" si="29"/>
        <v>0.28772835000000002</v>
      </c>
      <c r="AO284" s="35" t="s">
        <v>1435</v>
      </c>
    </row>
    <row r="285" spans="1:41" ht="31.5" customHeight="1" x14ac:dyDescent="0.25">
      <c r="A285" s="8" t="s">
        <v>92</v>
      </c>
      <c r="B285" s="39" t="s">
        <v>519</v>
      </c>
      <c r="C285" s="29" t="s">
        <v>520</v>
      </c>
      <c r="D285" s="38" t="s">
        <v>1481</v>
      </c>
      <c r="E285" s="30">
        <v>2015</v>
      </c>
      <c r="F285" s="30">
        <v>2015</v>
      </c>
      <c r="G285" s="30" t="s">
        <v>1435</v>
      </c>
      <c r="H285" s="27">
        <v>2.8645264623955436E-2</v>
      </c>
      <c r="I285" s="27">
        <v>2.8645491643454039E-2</v>
      </c>
      <c r="J285" s="27">
        <v>0</v>
      </c>
      <c r="K285" s="27">
        <v>0.20567300000000002</v>
      </c>
      <c r="L285" s="27">
        <v>0</v>
      </c>
      <c r="M285" s="27">
        <v>3.6095000000000002E-2</v>
      </c>
      <c r="N285" s="27">
        <v>0.16957800000000001</v>
      </c>
      <c r="O285" s="27">
        <v>0</v>
      </c>
      <c r="P285" s="27">
        <v>0.20567463</v>
      </c>
      <c r="Q285" s="27">
        <v>0</v>
      </c>
      <c r="R285" s="27">
        <v>3.6097669999999998E-2</v>
      </c>
      <c r="S285" s="27">
        <v>0.16957696000000003</v>
      </c>
      <c r="T285" s="27">
        <v>0</v>
      </c>
      <c r="U285" s="27">
        <v>2.8645264623955436E-2</v>
      </c>
      <c r="V285" s="27">
        <v>0.20567300000000002</v>
      </c>
      <c r="W285" s="27">
        <v>0</v>
      </c>
      <c r="X285" s="27">
        <f t="shared" si="27"/>
        <v>0</v>
      </c>
      <c r="Y285" s="27">
        <v>0</v>
      </c>
      <c r="Z285" s="27">
        <f t="shared" si="26"/>
        <v>0</v>
      </c>
      <c r="AA285" s="27">
        <v>0</v>
      </c>
      <c r="AB285" s="28">
        <v>0</v>
      </c>
      <c r="AC285" s="27">
        <f>0.24269414/1.18</f>
        <v>0.20567300000000002</v>
      </c>
      <c r="AD285" s="28">
        <f>0.2426960634/1.18</f>
        <v>0.20567463</v>
      </c>
      <c r="AE285" s="27">
        <v>0</v>
      </c>
      <c r="AF285" s="28">
        <v>0</v>
      </c>
      <c r="AG285" s="27">
        <v>0</v>
      </c>
      <c r="AH285" s="28">
        <v>0</v>
      </c>
      <c r="AI285" s="27">
        <v>0</v>
      </c>
      <c r="AJ285" s="27">
        <v>0</v>
      </c>
      <c r="AK285" s="27">
        <v>0</v>
      </c>
      <c r="AL285" s="27">
        <v>0</v>
      </c>
      <c r="AM285" s="27">
        <f t="shared" si="30"/>
        <v>0.20567463</v>
      </c>
      <c r="AN285" s="27">
        <f t="shared" si="29"/>
        <v>0.20567463</v>
      </c>
      <c r="AO285" s="35" t="s">
        <v>1490</v>
      </c>
    </row>
    <row r="286" spans="1:41" ht="31.5" customHeight="1" x14ac:dyDescent="0.25">
      <c r="A286" s="8" t="s">
        <v>92</v>
      </c>
      <c r="B286" s="39" t="s">
        <v>521</v>
      </c>
      <c r="C286" s="29" t="s">
        <v>522</v>
      </c>
      <c r="D286" s="38" t="s">
        <v>1481</v>
      </c>
      <c r="E286" s="30">
        <v>2015</v>
      </c>
      <c r="F286" s="30">
        <v>2015</v>
      </c>
      <c r="G286" s="30" t="s">
        <v>1435</v>
      </c>
      <c r="H286" s="27">
        <v>3.0079665738161565E-2</v>
      </c>
      <c r="I286" s="27">
        <v>3.0079586350974932E-2</v>
      </c>
      <c r="J286" s="27">
        <v>0</v>
      </c>
      <c r="K286" s="27">
        <v>0.21597200000000003</v>
      </c>
      <c r="L286" s="27">
        <v>0</v>
      </c>
      <c r="M286" s="27">
        <v>4.7212000000000004E-2</v>
      </c>
      <c r="N286" s="27">
        <v>0.16875999999999999</v>
      </c>
      <c r="O286" s="27">
        <v>0</v>
      </c>
      <c r="P286" s="27">
        <v>0.21597142999999999</v>
      </c>
      <c r="Q286" s="27">
        <v>0</v>
      </c>
      <c r="R286" s="27">
        <v>4.7211289999999996E-2</v>
      </c>
      <c r="S286" s="27">
        <v>0.16876014</v>
      </c>
      <c r="T286" s="27">
        <v>0</v>
      </c>
      <c r="U286" s="27">
        <v>3.0079665738161565E-2</v>
      </c>
      <c r="V286" s="27">
        <v>0.21597200000000003</v>
      </c>
      <c r="W286" s="27">
        <v>0</v>
      </c>
      <c r="X286" s="27">
        <f t="shared" si="27"/>
        <v>0</v>
      </c>
      <c r="Y286" s="27">
        <v>0</v>
      </c>
      <c r="Z286" s="27">
        <f t="shared" si="26"/>
        <v>0</v>
      </c>
      <c r="AA286" s="27">
        <v>0</v>
      </c>
      <c r="AB286" s="28">
        <v>0</v>
      </c>
      <c r="AC286" s="27">
        <f>0.25484696/1.18</f>
        <v>0.21597200000000003</v>
      </c>
      <c r="AD286" s="28">
        <f>0.2548462874/1.18</f>
        <v>0.21597142999999999</v>
      </c>
      <c r="AE286" s="27">
        <v>0</v>
      </c>
      <c r="AF286" s="28">
        <v>0</v>
      </c>
      <c r="AG286" s="27">
        <v>0</v>
      </c>
      <c r="AH286" s="28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f t="shared" si="30"/>
        <v>0.21597142999999999</v>
      </c>
      <c r="AN286" s="27">
        <f t="shared" si="29"/>
        <v>0.21597142999999999</v>
      </c>
      <c r="AO286" s="35" t="s">
        <v>1490</v>
      </c>
    </row>
    <row r="287" spans="1:41" ht="31.5" customHeight="1" x14ac:dyDescent="0.25">
      <c r="A287" s="8" t="s">
        <v>92</v>
      </c>
      <c r="B287" s="39" t="s">
        <v>523</v>
      </c>
      <c r="C287" s="29" t="s">
        <v>524</v>
      </c>
      <c r="D287" s="38" t="s">
        <v>1481</v>
      </c>
      <c r="E287" s="30">
        <v>2015</v>
      </c>
      <c r="F287" s="30">
        <v>2015</v>
      </c>
      <c r="G287" s="30" t="s">
        <v>1435</v>
      </c>
      <c r="H287" s="27">
        <v>3.5674094707520893E-2</v>
      </c>
      <c r="I287" s="27">
        <v>3.5674387186629533E-2</v>
      </c>
      <c r="J287" s="27">
        <v>0</v>
      </c>
      <c r="K287" s="27">
        <v>0.25613999999999998</v>
      </c>
      <c r="L287" s="27">
        <v>0</v>
      </c>
      <c r="M287" s="27">
        <v>4.3360000000000003E-2</v>
      </c>
      <c r="N287" s="27">
        <v>0.21278</v>
      </c>
      <c r="O287" s="27">
        <v>0</v>
      </c>
      <c r="P287" s="27">
        <v>0.25614210000000004</v>
      </c>
      <c r="Q287" s="27">
        <v>0</v>
      </c>
      <c r="R287" s="27">
        <v>4.3359949999999994E-2</v>
      </c>
      <c r="S287" s="27">
        <v>0.21278215</v>
      </c>
      <c r="T287" s="27">
        <v>0</v>
      </c>
      <c r="U287" s="27">
        <v>3.5674094707520893E-2</v>
      </c>
      <c r="V287" s="27">
        <v>0.25613999999999998</v>
      </c>
      <c r="W287" s="27">
        <v>0</v>
      </c>
      <c r="X287" s="27">
        <f t="shared" si="27"/>
        <v>0</v>
      </c>
      <c r="Y287" s="27">
        <v>0</v>
      </c>
      <c r="Z287" s="27">
        <f t="shared" si="26"/>
        <v>0</v>
      </c>
      <c r="AA287" s="27">
        <v>0</v>
      </c>
      <c r="AB287" s="28">
        <v>0</v>
      </c>
      <c r="AC287" s="27">
        <f>0.3022452/1.18</f>
        <v>0.25613999999999998</v>
      </c>
      <c r="AD287" s="28">
        <f>0.302247678/1.18</f>
        <v>0.25614210000000004</v>
      </c>
      <c r="AE287" s="27">
        <v>0</v>
      </c>
      <c r="AF287" s="28">
        <v>0</v>
      </c>
      <c r="AG287" s="27">
        <v>0</v>
      </c>
      <c r="AH287" s="28">
        <v>0</v>
      </c>
      <c r="AI287" s="27">
        <v>0</v>
      </c>
      <c r="AJ287" s="27">
        <v>0</v>
      </c>
      <c r="AK287" s="27">
        <v>0</v>
      </c>
      <c r="AL287" s="27">
        <v>0</v>
      </c>
      <c r="AM287" s="27">
        <f t="shared" si="30"/>
        <v>0.25614210000000004</v>
      </c>
      <c r="AN287" s="27">
        <f t="shared" si="29"/>
        <v>0.25614210000000004</v>
      </c>
      <c r="AO287" s="35" t="s">
        <v>1490</v>
      </c>
    </row>
    <row r="288" spans="1:41" ht="31.5" customHeight="1" x14ac:dyDescent="0.25">
      <c r="A288" s="8" t="s">
        <v>92</v>
      </c>
      <c r="B288" s="39" t="s">
        <v>525</v>
      </c>
      <c r="C288" s="29" t="s">
        <v>526</v>
      </c>
      <c r="D288" s="38" t="s">
        <v>1481</v>
      </c>
      <c r="E288" s="30">
        <v>2015</v>
      </c>
      <c r="F288" s="30">
        <v>2015</v>
      </c>
      <c r="G288" s="30" t="s">
        <v>1435</v>
      </c>
      <c r="H288" s="27">
        <v>2.3301253481894154E-2</v>
      </c>
      <c r="I288" s="27">
        <v>2.3606062036731035E-2</v>
      </c>
      <c r="J288" s="27">
        <v>0</v>
      </c>
      <c r="K288" s="27">
        <v>0.16730300000000001</v>
      </c>
      <c r="L288" s="27">
        <v>0</v>
      </c>
      <c r="M288" s="27">
        <v>4.5920000000000002E-2</v>
      </c>
      <c r="N288" s="27">
        <v>0.12138299999999999</v>
      </c>
      <c r="O288" s="27">
        <v>0</v>
      </c>
      <c r="P288" s="27">
        <v>0.16949152542372883</v>
      </c>
      <c r="Q288" s="27">
        <v>0</v>
      </c>
      <c r="R288" s="27">
        <v>4.5920749999999996E-2</v>
      </c>
      <c r="S288" s="27">
        <v>0.12138181000000001</v>
      </c>
      <c r="T288" s="27">
        <v>0</v>
      </c>
      <c r="U288" s="27">
        <v>2.3301253481894154E-2</v>
      </c>
      <c r="V288" s="27">
        <v>0.16730300000000001</v>
      </c>
      <c r="W288" s="27">
        <v>0</v>
      </c>
      <c r="X288" s="27">
        <f t="shared" si="27"/>
        <v>0</v>
      </c>
      <c r="Y288" s="27">
        <v>0</v>
      </c>
      <c r="Z288" s="27">
        <f t="shared" si="26"/>
        <v>0</v>
      </c>
      <c r="AA288" s="27">
        <v>0</v>
      </c>
      <c r="AB288" s="28">
        <v>0</v>
      </c>
      <c r="AC288" s="27">
        <f>0.19741754/1.18</f>
        <v>0.16730300000000001</v>
      </c>
      <c r="AD288" s="28">
        <f>0.2/1.18</f>
        <v>0.16949152542372883</v>
      </c>
      <c r="AE288" s="27">
        <v>0</v>
      </c>
      <c r="AF288" s="28">
        <v>0</v>
      </c>
      <c r="AG288" s="27">
        <v>0</v>
      </c>
      <c r="AH288" s="28">
        <v>0</v>
      </c>
      <c r="AI288" s="27">
        <v>0</v>
      </c>
      <c r="AJ288" s="27">
        <v>0</v>
      </c>
      <c r="AK288" s="27">
        <v>0</v>
      </c>
      <c r="AL288" s="27">
        <v>0</v>
      </c>
      <c r="AM288" s="27">
        <f t="shared" si="30"/>
        <v>0.16949152542372883</v>
      </c>
      <c r="AN288" s="27">
        <f t="shared" si="29"/>
        <v>0.16949152542372883</v>
      </c>
      <c r="AO288" s="35" t="s">
        <v>1490</v>
      </c>
    </row>
    <row r="289" spans="1:41" ht="31.5" customHeight="1" x14ac:dyDescent="0.25">
      <c r="A289" s="8" t="s">
        <v>92</v>
      </c>
      <c r="B289" s="39" t="s">
        <v>527</v>
      </c>
      <c r="C289" s="29" t="s">
        <v>528</v>
      </c>
      <c r="D289" s="38" t="s">
        <v>1481</v>
      </c>
      <c r="E289" s="30">
        <v>2015</v>
      </c>
      <c r="F289" s="30">
        <v>2015</v>
      </c>
      <c r="G289" s="30" t="s">
        <v>1435</v>
      </c>
      <c r="H289" s="27">
        <v>7.6321727019498603E-2</v>
      </c>
      <c r="I289" s="27">
        <v>7.085583844011141E-2</v>
      </c>
      <c r="J289" s="27">
        <v>0</v>
      </c>
      <c r="K289" s="27">
        <v>0.54798999999999998</v>
      </c>
      <c r="L289" s="27">
        <v>0</v>
      </c>
      <c r="M289" s="27">
        <v>6.8879999999999997E-2</v>
      </c>
      <c r="N289" s="27">
        <v>0.47911000000000004</v>
      </c>
      <c r="O289" s="27">
        <v>0</v>
      </c>
      <c r="P289" s="27">
        <v>0.50874491999999993</v>
      </c>
      <c r="Q289" s="27">
        <v>0</v>
      </c>
      <c r="R289" s="27">
        <v>6.0758039999999999E-2</v>
      </c>
      <c r="S289" s="27">
        <v>0.44798687999999998</v>
      </c>
      <c r="T289" s="27">
        <v>0</v>
      </c>
      <c r="U289" s="27">
        <v>7.6321727019498603E-2</v>
      </c>
      <c r="V289" s="27">
        <v>0.54798999999999998</v>
      </c>
      <c r="W289" s="27">
        <v>0</v>
      </c>
      <c r="X289" s="27">
        <f t="shared" si="27"/>
        <v>0</v>
      </c>
      <c r="Y289" s="27">
        <v>0</v>
      </c>
      <c r="Z289" s="27">
        <f t="shared" si="26"/>
        <v>0</v>
      </c>
      <c r="AA289" s="27">
        <v>0</v>
      </c>
      <c r="AB289" s="28">
        <v>0</v>
      </c>
      <c r="AC289" s="27">
        <f>0.6466282/1.18</f>
        <v>0.54798999999999998</v>
      </c>
      <c r="AD289" s="28">
        <f>0.6003190056/1.18</f>
        <v>0.50874491999999993</v>
      </c>
      <c r="AE289" s="27">
        <v>0</v>
      </c>
      <c r="AF289" s="28">
        <v>0</v>
      </c>
      <c r="AG289" s="27">
        <v>0</v>
      </c>
      <c r="AH289" s="28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f t="shared" si="30"/>
        <v>0.50874491999999993</v>
      </c>
      <c r="AN289" s="27">
        <f t="shared" si="29"/>
        <v>0.50874491999999993</v>
      </c>
      <c r="AO289" s="35" t="s">
        <v>1490</v>
      </c>
    </row>
    <row r="290" spans="1:41" ht="31.5" customHeight="1" x14ac:dyDescent="0.25">
      <c r="A290" s="8" t="s">
        <v>92</v>
      </c>
      <c r="B290" s="39" t="s">
        <v>529</v>
      </c>
      <c r="C290" s="29" t="s">
        <v>530</v>
      </c>
      <c r="D290" s="38" t="s">
        <v>1481</v>
      </c>
      <c r="E290" s="30">
        <v>2015</v>
      </c>
      <c r="F290" s="30">
        <v>2015</v>
      </c>
      <c r="G290" s="30" t="s">
        <v>1435</v>
      </c>
      <c r="H290" s="27">
        <v>0</v>
      </c>
      <c r="I290" s="27">
        <v>2.3773505571030643E-2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0.17069377000000002</v>
      </c>
      <c r="Q290" s="27">
        <v>0</v>
      </c>
      <c r="R290" s="27">
        <v>7.3856700000000004E-3</v>
      </c>
      <c r="S290" s="27">
        <v>0.16330809999999998</v>
      </c>
      <c r="T290" s="27">
        <v>0</v>
      </c>
      <c r="U290" s="27">
        <v>0</v>
      </c>
      <c r="V290" s="27">
        <v>0</v>
      </c>
      <c r="W290" s="27">
        <v>0</v>
      </c>
      <c r="X290" s="27">
        <f t="shared" si="27"/>
        <v>0</v>
      </c>
      <c r="Y290" s="27">
        <v>0</v>
      </c>
      <c r="Z290" s="27">
        <f t="shared" si="26"/>
        <v>0</v>
      </c>
      <c r="AA290" s="27">
        <v>0</v>
      </c>
      <c r="AB290" s="28">
        <v>0</v>
      </c>
      <c r="AC290" s="27">
        <v>0</v>
      </c>
      <c r="AD290" s="28">
        <f>0.2014186486/1.18</f>
        <v>0.17069377000000002</v>
      </c>
      <c r="AE290" s="27">
        <v>0</v>
      </c>
      <c r="AF290" s="28">
        <v>0</v>
      </c>
      <c r="AG290" s="27">
        <v>0</v>
      </c>
      <c r="AH290" s="28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f t="shared" si="30"/>
        <v>0.17069377000000002</v>
      </c>
      <c r="AN290" s="27">
        <f t="shared" si="29"/>
        <v>0.17069377000000002</v>
      </c>
      <c r="AO290" s="35" t="s">
        <v>1485</v>
      </c>
    </row>
    <row r="291" spans="1:41" ht="31.5" customHeight="1" x14ac:dyDescent="0.25">
      <c r="A291" s="8" t="s">
        <v>92</v>
      </c>
      <c r="B291" s="39" t="s">
        <v>531</v>
      </c>
      <c r="C291" s="29" t="s">
        <v>532</v>
      </c>
      <c r="D291" s="38" t="s">
        <v>1481</v>
      </c>
      <c r="E291" s="30">
        <v>2015</v>
      </c>
      <c r="F291" s="30">
        <v>2015</v>
      </c>
      <c r="G291" s="30" t="s">
        <v>1435</v>
      </c>
      <c r="H291" s="27">
        <v>0</v>
      </c>
      <c r="I291" s="27">
        <v>5.9612701949860736E-3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4.2801920000000007E-2</v>
      </c>
      <c r="Q291" s="27">
        <v>0</v>
      </c>
      <c r="R291" s="27">
        <v>7.3494200000000006E-3</v>
      </c>
      <c r="S291" s="27">
        <v>3.5452499999999998E-2</v>
      </c>
      <c r="T291" s="27">
        <v>0</v>
      </c>
      <c r="U291" s="27">
        <v>0</v>
      </c>
      <c r="V291" s="27">
        <v>0</v>
      </c>
      <c r="W291" s="27">
        <v>0</v>
      </c>
      <c r="X291" s="27">
        <f t="shared" si="27"/>
        <v>0</v>
      </c>
      <c r="Y291" s="27">
        <v>0</v>
      </c>
      <c r="Z291" s="27">
        <f t="shared" si="26"/>
        <v>0</v>
      </c>
      <c r="AA291" s="27">
        <v>0</v>
      </c>
      <c r="AB291" s="28">
        <v>0</v>
      </c>
      <c r="AC291" s="27">
        <v>0</v>
      </c>
      <c r="AD291" s="28">
        <f>0.0505062656/1.18</f>
        <v>4.2801920000000007E-2</v>
      </c>
      <c r="AE291" s="27">
        <v>0</v>
      </c>
      <c r="AF291" s="28">
        <v>0</v>
      </c>
      <c r="AG291" s="27">
        <v>0</v>
      </c>
      <c r="AH291" s="28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f t="shared" si="30"/>
        <v>4.2801920000000007E-2</v>
      </c>
      <c r="AN291" s="27">
        <f t="shared" si="29"/>
        <v>4.2801920000000007E-2</v>
      </c>
      <c r="AO291" s="35" t="s">
        <v>1485</v>
      </c>
    </row>
    <row r="292" spans="1:41" ht="31.5" customHeight="1" x14ac:dyDescent="0.25">
      <c r="A292" s="8" t="s">
        <v>92</v>
      </c>
      <c r="B292" s="39" t="s">
        <v>533</v>
      </c>
      <c r="C292" s="29" t="s">
        <v>534</v>
      </c>
      <c r="D292" s="38" t="s">
        <v>1481</v>
      </c>
      <c r="E292" s="30">
        <v>2015</v>
      </c>
      <c r="F292" s="30">
        <v>2015</v>
      </c>
      <c r="G292" s="30" t="s">
        <v>1435</v>
      </c>
      <c r="H292" s="27">
        <v>3.9759052924791087E-2</v>
      </c>
      <c r="I292" s="27">
        <v>3.9759266016713098E-2</v>
      </c>
      <c r="J292" s="27">
        <v>0</v>
      </c>
      <c r="K292" s="27">
        <v>0.28547</v>
      </c>
      <c r="L292" s="27">
        <v>0</v>
      </c>
      <c r="M292" s="27">
        <v>0.11154</v>
      </c>
      <c r="N292" s="27">
        <v>0.17393</v>
      </c>
      <c r="O292" s="27">
        <v>0</v>
      </c>
      <c r="P292" s="27">
        <v>0.28547153000000003</v>
      </c>
      <c r="Q292" s="27">
        <v>0</v>
      </c>
      <c r="R292" s="27">
        <v>0.11154210000000001</v>
      </c>
      <c r="S292" s="27">
        <v>0.17392943</v>
      </c>
      <c r="T292" s="27">
        <v>0</v>
      </c>
      <c r="U292" s="27">
        <v>3.9759052924791087E-2</v>
      </c>
      <c r="V292" s="27">
        <v>0.28547</v>
      </c>
      <c r="W292" s="27">
        <v>0</v>
      </c>
      <c r="X292" s="27">
        <f t="shared" si="27"/>
        <v>0</v>
      </c>
      <c r="Y292" s="27">
        <v>0</v>
      </c>
      <c r="Z292" s="27">
        <f t="shared" si="26"/>
        <v>0</v>
      </c>
      <c r="AA292" s="27">
        <v>0</v>
      </c>
      <c r="AB292" s="28">
        <v>0</v>
      </c>
      <c r="AC292" s="27">
        <f>0.3368546/1.18</f>
        <v>0.28547</v>
      </c>
      <c r="AD292" s="28">
        <f>0.3368564054/1.18</f>
        <v>0.28547153000000003</v>
      </c>
      <c r="AE292" s="27">
        <v>0</v>
      </c>
      <c r="AF292" s="28">
        <v>0</v>
      </c>
      <c r="AG292" s="27">
        <v>0</v>
      </c>
      <c r="AH292" s="28">
        <v>0</v>
      </c>
      <c r="AI292" s="27">
        <v>0</v>
      </c>
      <c r="AJ292" s="27">
        <v>0</v>
      </c>
      <c r="AK292" s="27">
        <v>0</v>
      </c>
      <c r="AL292" s="27">
        <v>0</v>
      </c>
      <c r="AM292" s="27">
        <f t="shared" si="30"/>
        <v>0.28547153000000003</v>
      </c>
      <c r="AN292" s="27">
        <f t="shared" si="29"/>
        <v>0.28547153000000003</v>
      </c>
      <c r="AO292" s="35" t="s">
        <v>1490</v>
      </c>
    </row>
    <row r="293" spans="1:41" ht="31.5" customHeight="1" x14ac:dyDescent="0.25">
      <c r="A293" s="8" t="s">
        <v>92</v>
      </c>
      <c r="B293" s="39" t="s">
        <v>535</v>
      </c>
      <c r="C293" s="29" t="s">
        <v>536</v>
      </c>
      <c r="D293" s="38" t="s">
        <v>1481</v>
      </c>
      <c r="E293" s="30">
        <v>2015</v>
      </c>
      <c r="F293" s="30">
        <v>2015</v>
      </c>
      <c r="G293" s="30" t="s">
        <v>1435</v>
      </c>
      <c r="H293" s="27">
        <v>3.212311977715878E-2</v>
      </c>
      <c r="I293" s="27">
        <v>3.2122997214484687E-2</v>
      </c>
      <c r="J293" s="27">
        <v>0</v>
      </c>
      <c r="K293" s="27">
        <v>0.23064400000000002</v>
      </c>
      <c r="L293" s="27">
        <v>0</v>
      </c>
      <c r="M293" s="27">
        <v>7.1737999999999996E-2</v>
      </c>
      <c r="N293" s="27">
        <v>0.15890600000000002</v>
      </c>
      <c r="O293" s="27">
        <v>0</v>
      </c>
      <c r="P293" s="27">
        <v>0.23064312000000003</v>
      </c>
      <c r="Q293" s="27">
        <v>0</v>
      </c>
      <c r="R293" s="27">
        <v>7.1735099999999996E-2</v>
      </c>
      <c r="S293" s="27">
        <v>0.15890801999999998</v>
      </c>
      <c r="T293" s="27">
        <v>0</v>
      </c>
      <c r="U293" s="27">
        <v>3.212311977715878E-2</v>
      </c>
      <c r="V293" s="27">
        <v>0.23064400000000002</v>
      </c>
      <c r="W293" s="27">
        <v>0</v>
      </c>
      <c r="X293" s="27">
        <f t="shared" si="27"/>
        <v>0</v>
      </c>
      <c r="Y293" s="27">
        <v>0</v>
      </c>
      <c r="Z293" s="27">
        <f t="shared" si="26"/>
        <v>0</v>
      </c>
      <c r="AA293" s="27">
        <v>0</v>
      </c>
      <c r="AB293" s="28">
        <v>0</v>
      </c>
      <c r="AC293" s="27">
        <f>0.27215992/1.18</f>
        <v>0.23064400000000002</v>
      </c>
      <c r="AD293" s="28">
        <f>0.2721588816/1.18</f>
        <v>0.23064312000000003</v>
      </c>
      <c r="AE293" s="27">
        <v>0</v>
      </c>
      <c r="AF293" s="28">
        <v>0</v>
      </c>
      <c r="AG293" s="27">
        <v>0</v>
      </c>
      <c r="AH293" s="28">
        <v>0</v>
      </c>
      <c r="AI293" s="27">
        <v>0</v>
      </c>
      <c r="AJ293" s="27">
        <v>0</v>
      </c>
      <c r="AK293" s="27">
        <v>0</v>
      </c>
      <c r="AL293" s="27">
        <v>0</v>
      </c>
      <c r="AM293" s="27">
        <f t="shared" si="30"/>
        <v>0.23064312000000003</v>
      </c>
      <c r="AN293" s="27">
        <f t="shared" si="29"/>
        <v>0.23064312000000003</v>
      </c>
      <c r="AO293" s="35" t="s">
        <v>1490</v>
      </c>
    </row>
    <row r="294" spans="1:41" ht="31.5" customHeight="1" x14ac:dyDescent="0.25">
      <c r="A294" s="8" t="s">
        <v>92</v>
      </c>
      <c r="B294" s="39" t="s">
        <v>537</v>
      </c>
      <c r="C294" s="29" t="s">
        <v>538</v>
      </c>
      <c r="D294" s="38" t="s">
        <v>1481</v>
      </c>
      <c r="E294" s="30">
        <v>2015</v>
      </c>
      <c r="F294" s="30">
        <v>2015</v>
      </c>
      <c r="G294" s="30" t="s">
        <v>1435</v>
      </c>
      <c r="H294" s="27">
        <v>3.2379526462395544E-2</v>
      </c>
      <c r="I294" s="27">
        <v>3.2379766016713094E-2</v>
      </c>
      <c r="J294" s="27">
        <v>0</v>
      </c>
      <c r="K294" s="27">
        <v>0.232485</v>
      </c>
      <c r="L294" s="27">
        <v>0</v>
      </c>
      <c r="M294" s="27">
        <v>4.6863000000000002E-2</v>
      </c>
      <c r="N294" s="27">
        <v>0.18562200000000001</v>
      </c>
      <c r="O294" s="27">
        <v>0</v>
      </c>
      <c r="P294" s="27">
        <v>0.23248672000000001</v>
      </c>
      <c r="Q294" s="27">
        <v>0</v>
      </c>
      <c r="R294" s="27">
        <v>4.6864870000000003E-2</v>
      </c>
      <c r="S294" s="27">
        <v>0.18562185</v>
      </c>
      <c r="T294" s="27">
        <v>0</v>
      </c>
      <c r="U294" s="27">
        <v>3.2379526462395544E-2</v>
      </c>
      <c r="V294" s="27">
        <v>0.232485</v>
      </c>
      <c r="W294" s="27">
        <v>0</v>
      </c>
      <c r="X294" s="27">
        <f t="shared" si="27"/>
        <v>0</v>
      </c>
      <c r="Y294" s="27">
        <v>0</v>
      </c>
      <c r="Z294" s="27">
        <f t="shared" si="26"/>
        <v>0</v>
      </c>
      <c r="AA294" s="27">
        <v>0</v>
      </c>
      <c r="AB294" s="28">
        <v>0</v>
      </c>
      <c r="AC294" s="27">
        <f>0.2743323/1.18</f>
        <v>0.232485</v>
      </c>
      <c r="AD294" s="28">
        <f>0.2743343296/1.18</f>
        <v>0.23248672000000001</v>
      </c>
      <c r="AE294" s="27">
        <v>0</v>
      </c>
      <c r="AF294" s="28">
        <v>0</v>
      </c>
      <c r="AG294" s="27">
        <v>0</v>
      </c>
      <c r="AH294" s="28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f t="shared" si="30"/>
        <v>0.23248672000000001</v>
      </c>
      <c r="AN294" s="27">
        <f t="shared" si="29"/>
        <v>0.23248672000000001</v>
      </c>
      <c r="AO294" s="35" t="s">
        <v>1490</v>
      </c>
    </row>
    <row r="295" spans="1:41" ht="31.5" customHeight="1" x14ac:dyDescent="0.25">
      <c r="A295" s="8" t="s">
        <v>92</v>
      </c>
      <c r="B295" s="39" t="s">
        <v>539</v>
      </c>
      <c r="C295" s="29" t="s">
        <v>540</v>
      </c>
      <c r="D295" s="38" t="s">
        <v>1481</v>
      </c>
      <c r="E295" s="30">
        <v>2015</v>
      </c>
      <c r="F295" s="30">
        <v>2015</v>
      </c>
      <c r="G295" s="30" t="s">
        <v>1435</v>
      </c>
      <c r="H295" s="27">
        <v>1.652506963788301E-2</v>
      </c>
      <c r="I295" s="27">
        <v>1.652497771587744E-2</v>
      </c>
      <c r="J295" s="27">
        <v>0</v>
      </c>
      <c r="K295" s="27">
        <v>0.11865000000000001</v>
      </c>
      <c r="L295" s="27">
        <v>0</v>
      </c>
      <c r="M295" s="27">
        <v>6.0539999999999997E-2</v>
      </c>
      <c r="N295" s="27">
        <v>5.8110000000000002E-2</v>
      </c>
      <c r="O295" s="27">
        <v>0</v>
      </c>
      <c r="P295" s="27">
        <v>0.11864934000000001</v>
      </c>
      <c r="Q295" s="27">
        <v>0</v>
      </c>
      <c r="R295" s="27">
        <v>6.0539900000000001E-2</v>
      </c>
      <c r="S295" s="27">
        <v>5.8109439999999998E-2</v>
      </c>
      <c r="T295" s="27">
        <v>0</v>
      </c>
      <c r="U295" s="27">
        <v>1.652506963788301E-2</v>
      </c>
      <c r="V295" s="27">
        <v>0.11865000000000001</v>
      </c>
      <c r="W295" s="27">
        <v>0</v>
      </c>
      <c r="X295" s="27">
        <f t="shared" si="27"/>
        <v>0</v>
      </c>
      <c r="Y295" s="27">
        <v>0</v>
      </c>
      <c r="Z295" s="27">
        <f t="shared" si="26"/>
        <v>0</v>
      </c>
      <c r="AA295" s="27">
        <v>0</v>
      </c>
      <c r="AB295" s="28">
        <v>0</v>
      </c>
      <c r="AC295" s="27">
        <f>0.140007/1.18</f>
        <v>0.11865000000000001</v>
      </c>
      <c r="AD295" s="28">
        <f>0.1400062212/1.18</f>
        <v>0.11864934000000001</v>
      </c>
      <c r="AE295" s="27">
        <v>0</v>
      </c>
      <c r="AF295" s="28">
        <v>0</v>
      </c>
      <c r="AG295" s="27">
        <v>0</v>
      </c>
      <c r="AH295" s="28">
        <v>0</v>
      </c>
      <c r="AI295" s="27">
        <v>0</v>
      </c>
      <c r="AJ295" s="27">
        <v>0</v>
      </c>
      <c r="AK295" s="27">
        <v>0</v>
      </c>
      <c r="AL295" s="27">
        <v>0</v>
      </c>
      <c r="AM295" s="27">
        <f t="shared" si="30"/>
        <v>0.11864934000000001</v>
      </c>
      <c r="AN295" s="27">
        <f t="shared" si="29"/>
        <v>0.11864934000000001</v>
      </c>
      <c r="AO295" s="35" t="s">
        <v>1435</v>
      </c>
    </row>
    <row r="296" spans="1:41" ht="31.5" customHeight="1" x14ac:dyDescent="0.25">
      <c r="A296" s="8" t="s">
        <v>92</v>
      </c>
      <c r="B296" s="39" t="s">
        <v>541</v>
      </c>
      <c r="C296" s="29" t="s">
        <v>542</v>
      </c>
      <c r="D296" s="38" t="s">
        <v>1481</v>
      </c>
      <c r="E296" s="30">
        <v>2015</v>
      </c>
      <c r="F296" s="30">
        <v>2015</v>
      </c>
      <c r="G296" s="30" t="s">
        <v>1435</v>
      </c>
      <c r="H296" s="27">
        <v>0.10755863509749304</v>
      </c>
      <c r="I296" s="27">
        <v>0.11200823676880224</v>
      </c>
      <c r="J296" s="27">
        <v>0</v>
      </c>
      <c r="K296" s="27">
        <v>0.77227100000000004</v>
      </c>
      <c r="L296" s="27">
        <v>0</v>
      </c>
      <c r="M296" s="27">
        <v>0.11785999999999999</v>
      </c>
      <c r="N296" s="27">
        <v>0.65441099999999996</v>
      </c>
      <c r="O296" s="27">
        <v>0</v>
      </c>
      <c r="P296" s="27">
        <v>0.80421914000000005</v>
      </c>
      <c r="Q296" s="27">
        <v>0</v>
      </c>
      <c r="R296" s="27">
        <v>0.10379091</v>
      </c>
      <c r="S296" s="27">
        <v>0.70042822999999999</v>
      </c>
      <c r="T296" s="27">
        <v>0</v>
      </c>
      <c r="U296" s="27">
        <v>0.10755863509749304</v>
      </c>
      <c r="V296" s="27">
        <v>0.77227100000000004</v>
      </c>
      <c r="W296" s="27">
        <v>0</v>
      </c>
      <c r="X296" s="27">
        <f t="shared" si="27"/>
        <v>0</v>
      </c>
      <c r="Y296" s="27">
        <v>0</v>
      </c>
      <c r="Z296" s="27">
        <f t="shared" si="26"/>
        <v>0</v>
      </c>
      <c r="AA296" s="27">
        <v>0</v>
      </c>
      <c r="AB296" s="28">
        <v>0</v>
      </c>
      <c r="AC296" s="27">
        <f>0.91127978/1.18</f>
        <v>0.77227100000000004</v>
      </c>
      <c r="AD296" s="28">
        <f>0.9489785852/1.18</f>
        <v>0.80421914000000005</v>
      </c>
      <c r="AE296" s="27">
        <v>0</v>
      </c>
      <c r="AF296" s="28">
        <v>0</v>
      </c>
      <c r="AG296" s="27">
        <v>0</v>
      </c>
      <c r="AH296" s="28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f t="shared" si="30"/>
        <v>0.80421914000000005</v>
      </c>
      <c r="AN296" s="27">
        <f t="shared" si="29"/>
        <v>0.80421914000000005</v>
      </c>
      <c r="AO296" s="35" t="s">
        <v>1490</v>
      </c>
    </row>
    <row r="297" spans="1:41" ht="31.5" customHeight="1" x14ac:dyDescent="0.25">
      <c r="A297" s="8" t="s">
        <v>92</v>
      </c>
      <c r="B297" s="39" t="s">
        <v>543</v>
      </c>
      <c r="C297" s="29" t="s">
        <v>544</v>
      </c>
      <c r="D297" s="38" t="s">
        <v>1481</v>
      </c>
      <c r="E297" s="30">
        <v>2015</v>
      </c>
      <c r="F297" s="30">
        <v>2015</v>
      </c>
      <c r="G297" s="30" t="s">
        <v>1435</v>
      </c>
      <c r="H297" s="27">
        <v>0.49011559888579392</v>
      </c>
      <c r="I297" s="27">
        <v>0.49011535793871869</v>
      </c>
      <c r="J297" s="27">
        <v>0</v>
      </c>
      <c r="K297" s="27">
        <v>3.5190300000000003</v>
      </c>
      <c r="L297" s="27">
        <v>0</v>
      </c>
      <c r="M297" s="27">
        <v>0.28435000000000005</v>
      </c>
      <c r="N297" s="27">
        <v>3.23468</v>
      </c>
      <c r="O297" s="27">
        <v>0</v>
      </c>
      <c r="P297" s="27">
        <v>3.5190282700000002</v>
      </c>
      <c r="Q297" s="27">
        <v>0</v>
      </c>
      <c r="R297" s="27">
        <v>0.28434552000000002</v>
      </c>
      <c r="S297" s="27">
        <v>3.2346827500000002</v>
      </c>
      <c r="T297" s="27">
        <v>0</v>
      </c>
      <c r="U297" s="27">
        <v>0.49011559888579392</v>
      </c>
      <c r="V297" s="27">
        <v>3.5190300000000003</v>
      </c>
      <c r="W297" s="27">
        <v>0</v>
      </c>
      <c r="X297" s="27">
        <f t="shared" si="27"/>
        <v>0</v>
      </c>
      <c r="Y297" s="27">
        <v>0</v>
      </c>
      <c r="Z297" s="27">
        <f t="shared" si="26"/>
        <v>0</v>
      </c>
      <c r="AA297" s="27">
        <v>0</v>
      </c>
      <c r="AB297" s="28">
        <v>0</v>
      </c>
      <c r="AC297" s="27">
        <f>4.1524554/1.18</f>
        <v>3.5190300000000003</v>
      </c>
      <c r="AD297" s="28">
        <f>4.1524533586/1.18</f>
        <v>3.5190282700000002</v>
      </c>
      <c r="AE297" s="27">
        <v>0</v>
      </c>
      <c r="AF297" s="28">
        <v>0</v>
      </c>
      <c r="AG297" s="27">
        <v>0</v>
      </c>
      <c r="AH297" s="28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f t="shared" si="30"/>
        <v>3.5190282700000002</v>
      </c>
      <c r="AN297" s="27">
        <f t="shared" si="29"/>
        <v>3.5190282700000002</v>
      </c>
      <c r="AO297" s="35" t="s">
        <v>1490</v>
      </c>
    </row>
    <row r="298" spans="1:41" ht="31.5" customHeight="1" x14ac:dyDescent="0.25">
      <c r="A298" s="8" t="s">
        <v>92</v>
      </c>
      <c r="B298" s="39" t="s">
        <v>545</v>
      </c>
      <c r="C298" s="29" t="s">
        <v>546</v>
      </c>
      <c r="D298" s="38" t="s">
        <v>1481</v>
      </c>
      <c r="E298" s="30">
        <v>2015</v>
      </c>
      <c r="F298" s="30">
        <v>2015</v>
      </c>
      <c r="G298" s="30" t="s">
        <v>1435</v>
      </c>
      <c r="H298" s="27">
        <v>0.30223398328690809</v>
      </c>
      <c r="I298" s="27">
        <v>0.30223392200557109</v>
      </c>
      <c r="J298" s="27">
        <v>0</v>
      </c>
      <c r="K298" s="27">
        <v>2.1700400000000002</v>
      </c>
      <c r="L298" s="27">
        <v>0</v>
      </c>
      <c r="M298" s="27">
        <v>0.12</v>
      </c>
      <c r="N298" s="27">
        <v>2.0500400000000001</v>
      </c>
      <c r="O298" s="27">
        <v>0</v>
      </c>
      <c r="P298" s="27">
        <v>2.1700395600000002</v>
      </c>
      <c r="Q298" s="27">
        <v>0</v>
      </c>
      <c r="R298" s="27">
        <v>0.11999984999999999</v>
      </c>
      <c r="S298" s="27">
        <v>2.0500397100000001</v>
      </c>
      <c r="T298" s="27">
        <v>0</v>
      </c>
      <c r="U298" s="27">
        <v>0.30223398328690809</v>
      </c>
      <c r="V298" s="27">
        <v>2.1700400000000002</v>
      </c>
      <c r="W298" s="27">
        <v>0</v>
      </c>
      <c r="X298" s="27">
        <f t="shared" si="27"/>
        <v>0</v>
      </c>
      <c r="Y298" s="27">
        <v>0</v>
      </c>
      <c r="Z298" s="27">
        <f t="shared" si="26"/>
        <v>0</v>
      </c>
      <c r="AA298" s="27">
        <v>0</v>
      </c>
      <c r="AB298" s="28">
        <v>0</v>
      </c>
      <c r="AC298" s="27">
        <f>2.5606472/1.18</f>
        <v>2.1700400000000002</v>
      </c>
      <c r="AD298" s="28">
        <f>2.5606466808/1.18</f>
        <v>2.1700395600000002</v>
      </c>
      <c r="AE298" s="27">
        <v>0</v>
      </c>
      <c r="AF298" s="28">
        <v>0</v>
      </c>
      <c r="AG298" s="27">
        <v>0</v>
      </c>
      <c r="AH298" s="28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f t="shared" si="30"/>
        <v>2.1700395600000002</v>
      </c>
      <c r="AN298" s="27">
        <f t="shared" si="29"/>
        <v>2.1700395600000002</v>
      </c>
      <c r="AO298" s="35" t="s">
        <v>1490</v>
      </c>
    </row>
    <row r="299" spans="1:41" ht="31.5" customHeight="1" x14ac:dyDescent="0.25">
      <c r="A299" s="8" t="s">
        <v>92</v>
      </c>
      <c r="B299" s="39" t="s">
        <v>547</v>
      </c>
      <c r="C299" s="29" t="s">
        <v>548</v>
      </c>
      <c r="D299" s="38" t="s">
        <v>1481</v>
      </c>
      <c r="E299" s="30">
        <v>2015</v>
      </c>
      <c r="F299" s="30">
        <v>2015</v>
      </c>
      <c r="G299" s="30" t="s">
        <v>1435</v>
      </c>
      <c r="H299" s="27">
        <v>0.36766016713091926</v>
      </c>
      <c r="I299" s="27">
        <v>0.36766072005571032</v>
      </c>
      <c r="J299" s="27">
        <v>0</v>
      </c>
      <c r="K299" s="27">
        <v>2.6398000000000001</v>
      </c>
      <c r="L299" s="27">
        <v>0</v>
      </c>
      <c r="M299" s="27">
        <v>0.31333</v>
      </c>
      <c r="N299" s="27">
        <v>2.3264699999999996</v>
      </c>
      <c r="O299" s="27">
        <v>0</v>
      </c>
      <c r="P299" s="27">
        <v>2.63980397</v>
      </c>
      <c r="Q299" s="27">
        <v>0</v>
      </c>
      <c r="R299" s="27">
        <v>0.31332912000000002</v>
      </c>
      <c r="S299" s="27">
        <v>2.3264748499999999</v>
      </c>
      <c r="T299" s="27">
        <v>0</v>
      </c>
      <c r="U299" s="27">
        <v>0.36766016713091926</v>
      </c>
      <c r="V299" s="27">
        <v>2.6398000000000001</v>
      </c>
      <c r="W299" s="27">
        <v>0</v>
      </c>
      <c r="X299" s="27">
        <f t="shared" si="27"/>
        <v>0</v>
      </c>
      <c r="Y299" s="27">
        <v>0</v>
      </c>
      <c r="Z299" s="27">
        <f t="shared" si="26"/>
        <v>0</v>
      </c>
      <c r="AA299" s="27">
        <v>0</v>
      </c>
      <c r="AB299" s="28">
        <v>0</v>
      </c>
      <c r="AC299" s="27">
        <f>3.114964/1.18</f>
        <v>2.6398000000000001</v>
      </c>
      <c r="AD299" s="28">
        <f>3.1149686846/1.18</f>
        <v>2.63980397</v>
      </c>
      <c r="AE299" s="27">
        <v>0</v>
      </c>
      <c r="AF299" s="28">
        <v>0</v>
      </c>
      <c r="AG299" s="27">
        <v>0</v>
      </c>
      <c r="AH299" s="28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f t="shared" si="30"/>
        <v>2.63980397</v>
      </c>
      <c r="AN299" s="27">
        <f t="shared" si="29"/>
        <v>2.63980397</v>
      </c>
      <c r="AO299" s="35" t="s">
        <v>1490</v>
      </c>
    </row>
    <row r="300" spans="1:41" ht="31.5" customHeight="1" x14ac:dyDescent="0.25">
      <c r="A300" s="8" t="s">
        <v>92</v>
      </c>
      <c r="B300" s="39" t="s">
        <v>549</v>
      </c>
      <c r="C300" s="29" t="s">
        <v>550</v>
      </c>
      <c r="D300" s="38" t="s">
        <v>1481</v>
      </c>
      <c r="E300" s="30">
        <v>2015</v>
      </c>
      <c r="F300" s="30">
        <v>2015</v>
      </c>
      <c r="G300" s="30" t="s">
        <v>1435</v>
      </c>
      <c r="H300" s="27">
        <v>0.44621392757660167</v>
      </c>
      <c r="I300" s="27">
        <v>0.44621360445682462</v>
      </c>
      <c r="J300" s="27">
        <v>0</v>
      </c>
      <c r="K300" s="27">
        <v>3.2038159999999998</v>
      </c>
      <c r="L300" s="27">
        <v>0</v>
      </c>
      <c r="M300" s="27">
        <v>0.27163600000000004</v>
      </c>
      <c r="N300" s="27">
        <v>2.9321799999999998</v>
      </c>
      <c r="O300" s="27">
        <v>0</v>
      </c>
      <c r="P300" s="27">
        <v>3.2038136800000006</v>
      </c>
      <c r="Q300" s="27">
        <v>0</v>
      </c>
      <c r="R300" s="27">
        <v>0.27163639000000001</v>
      </c>
      <c r="S300" s="27">
        <v>2.9321772900000003</v>
      </c>
      <c r="T300" s="27">
        <v>0</v>
      </c>
      <c r="U300" s="27">
        <v>0.44621392757660167</v>
      </c>
      <c r="V300" s="27">
        <v>3.2038159999999998</v>
      </c>
      <c r="W300" s="27">
        <v>0</v>
      </c>
      <c r="X300" s="27">
        <f t="shared" si="27"/>
        <v>0</v>
      </c>
      <c r="Y300" s="27">
        <v>0</v>
      </c>
      <c r="Z300" s="27">
        <f t="shared" si="26"/>
        <v>0</v>
      </c>
      <c r="AA300" s="27">
        <v>0</v>
      </c>
      <c r="AB300" s="28">
        <v>0</v>
      </c>
      <c r="AC300" s="27">
        <f>3.78050288/1.18</f>
        <v>3.2038159999999998</v>
      </c>
      <c r="AD300" s="28">
        <f>3.7805001424/1.18</f>
        <v>3.2038136800000006</v>
      </c>
      <c r="AE300" s="27">
        <v>0</v>
      </c>
      <c r="AF300" s="28">
        <v>0</v>
      </c>
      <c r="AG300" s="27">
        <v>0</v>
      </c>
      <c r="AH300" s="28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f t="shared" si="30"/>
        <v>3.2038136800000006</v>
      </c>
      <c r="AN300" s="27">
        <f t="shared" si="29"/>
        <v>3.2038136800000006</v>
      </c>
      <c r="AO300" s="35" t="s">
        <v>1490</v>
      </c>
    </row>
    <row r="301" spans="1:41" ht="31.5" customHeight="1" x14ac:dyDescent="0.25">
      <c r="A301" s="8" t="s">
        <v>92</v>
      </c>
      <c r="B301" s="39" t="s">
        <v>551</v>
      </c>
      <c r="C301" s="29" t="s">
        <v>552</v>
      </c>
      <c r="D301" s="38" t="s">
        <v>1481</v>
      </c>
      <c r="E301" s="30">
        <v>2015</v>
      </c>
      <c r="F301" s="30">
        <v>2015</v>
      </c>
      <c r="G301" s="30" t="s">
        <v>1435</v>
      </c>
      <c r="H301" s="27">
        <v>6.3461699164345409E-2</v>
      </c>
      <c r="I301" s="27">
        <v>6.3462589136490263E-2</v>
      </c>
      <c r="J301" s="27">
        <v>0</v>
      </c>
      <c r="K301" s="27">
        <v>0.45565500000000003</v>
      </c>
      <c r="L301" s="27">
        <v>0</v>
      </c>
      <c r="M301" s="27">
        <v>2.6377999999999999E-2</v>
      </c>
      <c r="N301" s="27">
        <v>0.42927999999999999</v>
      </c>
      <c r="O301" s="27">
        <v>0</v>
      </c>
      <c r="P301" s="27">
        <v>0.45566139000000005</v>
      </c>
      <c r="Q301" s="27">
        <v>0</v>
      </c>
      <c r="R301" s="27">
        <v>2.6380790000000001E-2</v>
      </c>
      <c r="S301" s="27">
        <v>0.42928060000000001</v>
      </c>
      <c r="T301" s="27">
        <v>0</v>
      </c>
      <c r="U301" s="27">
        <v>6.3461699164345409E-2</v>
      </c>
      <c r="V301" s="27">
        <v>0.45565500000000003</v>
      </c>
      <c r="W301" s="27">
        <v>0</v>
      </c>
      <c r="X301" s="27">
        <f t="shared" si="27"/>
        <v>0</v>
      </c>
      <c r="Y301" s="27">
        <v>0</v>
      </c>
      <c r="Z301" s="27">
        <f t="shared" si="26"/>
        <v>0</v>
      </c>
      <c r="AA301" s="27">
        <v>0</v>
      </c>
      <c r="AB301" s="28">
        <v>0</v>
      </c>
      <c r="AC301" s="27">
        <f>0.5376729/1.18</f>
        <v>0.45565500000000003</v>
      </c>
      <c r="AD301" s="28">
        <f>0.5376804402/1.18</f>
        <v>0.45566139000000005</v>
      </c>
      <c r="AE301" s="27">
        <v>0</v>
      </c>
      <c r="AF301" s="28">
        <v>0</v>
      </c>
      <c r="AG301" s="27">
        <v>0</v>
      </c>
      <c r="AH301" s="28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f t="shared" si="30"/>
        <v>0.45566139000000005</v>
      </c>
      <c r="AN301" s="27">
        <f t="shared" si="29"/>
        <v>0.45566139000000005</v>
      </c>
      <c r="AO301" s="35" t="s">
        <v>1490</v>
      </c>
    </row>
    <row r="302" spans="1:41" ht="31.5" customHeight="1" x14ac:dyDescent="0.25">
      <c r="A302" s="8" t="s">
        <v>92</v>
      </c>
      <c r="B302" s="39" t="s">
        <v>553</v>
      </c>
      <c r="C302" s="29" t="s">
        <v>554</v>
      </c>
      <c r="D302" s="38" t="s">
        <v>1481</v>
      </c>
      <c r="E302" s="30">
        <v>2015</v>
      </c>
      <c r="F302" s="30">
        <v>2015</v>
      </c>
      <c r="G302" s="30" t="s">
        <v>1435</v>
      </c>
      <c r="H302" s="27">
        <v>3.6545543175487465E-2</v>
      </c>
      <c r="I302" s="27">
        <v>3.6545980501392759E-2</v>
      </c>
      <c r="J302" s="27">
        <v>0</v>
      </c>
      <c r="K302" s="27">
        <v>0.26239699999999999</v>
      </c>
      <c r="L302" s="27">
        <v>0</v>
      </c>
      <c r="M302" s="27">
        <v>2.2409999999999999E-2</v>
      </c>
      <c r="N302" s="27">
        <v>0.23998700000000001</v>
      </c>
      <c r="O302" s="27">
        <v>0</v>
      </c>
      <c r="P302" s="27">
        <v>0.26240014</v>
      </c>
      <c r="Q302" s="27">
        <v>0</v>
      </c>
      <c r="R302" s="27">
        <v>2.2414710000000001E-2</v>
      </c>
      <c r="S302" s="27">
        <v>0.23998543</v>
      </c>
      <c r="T302" s="27">
        <v>0</v>
      </c>
      <c r="U302" s="27">
        <v>3.6545543175487465E-2</v>
      </c>
      <c r="V302" s="27">
        <v>0.26239699999999999</v>
      </c>
      <c r="W302" s="27">
        <v>0</v>
      </c>
      <c r="X302" s="27">
        <f t="shared" si="27"/>
        <v>0</v>
      </c>
      <c r="Y302" s="27">
        <v>0</v>
      </c>
      <c r="Z302" s="27">
        <f t="shared" si="26"/>
        <v>0</v>
      </c>
      <c r="AA302" s="27">
        <v>0</v>
      </c>
      <c r="AB302" s="28">
        <v>0</v>
      </c>
      <c r="AC302" s="27">
        <f>0.30962846/1.18</f>
        <v>0.26239699999999999</v>
      </c>
      <c r="AD302" s="28">
        <f>0.3096321652/1.18</f>
        <v>0.26240014</v>
      </c>
      <c r="AE302" s="27">
        <v>0</v>
      </c>
      <c r="AF302" s="28">
        <v>0</v>
      </c>
      <c r="AG302" s="27">
        <v>0</v>
      </c>
      <c r="AH302" s="28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f t="shared" si="30"/>
        <v>0.26240014</v>
      </c>
      <c r="AN302" s="27">
        <f t="shared" si="29"/>
        <v>0.26240014</v>
      </c>
      <c r="AO302" s="35" t="s">
        <v>1490</v>
      </c>
    </row>
    <row r="303" spans="1:41" ht="31.5" customHeight="1" x14ac:dyDescent="0.25">
      <c r="A303" s="8" t="s">
        <v>92</v>
      </c>
      <c r="B303" s="39" t="s">
        <v>555</v>
      </c>
      <c r="C303" s="29" t="s">
        <v>556</v>
      </c>
      <c r="D303" s="38" t="s">
        <v>1481</v>
      </c>
      <c r="E303" s="30">
        <v>2015</v>
      </c>
      <c r="F303" s="30">
        <v>2015</v>
      </c>
      <c r="G303" s="30" t="s">
        <v>1435</v>
      </c>
      <c r="H303" s="27">
        <v>4.9867688022284126E-2</v>
      </c>
      <c r="I303" s="27">
        <v>4.9867261838440119E-2</v>
      </c>
      <c r="J303" s="27">
        <v>0</v>
      </c>
      <c r="K303" s="27">
        <v>0.35805000000000003</v>
      </c>
      <c r="L303" s="27">
        <v>0</v>
      </c>
      <c r="M303" s="27">
        <v>2.5158E-2</v>
      </c>
      <c r="N303" s="27">
        <v>0.33289200000000002</v>
      </c>
      <c r="O303" s="27">
        <v>0</v>
      </c>
      <c r="P303" s="27">
        <v>0.35804694000000004</v>
      </c>
      <c r="Q303" s="27">
        <v>0</v>
      </c>
      <c r="R303" s="27">
        <v>2.5153430000000001E-2</v>
      </c>
      <c r="S303" s="27">
        <v>0.33289351</v>
      </c>
      <c r="T303" s="27">
        <v>0</v>
      </c>
      <c r="U303" s="27">
        <v>4.9867688022284126E-2</v>
      </c>
      <c r="V303" s="27">
        <v>0.35805000000000003</v>
      </c>
      <c r="W303" s="27">
        <v>0</v>
      </c>
      <c r="X303" s="27">
        <f t="shared" si="27"/>
        <v>0</v>
      </c>
      <c r="Y303" s="27">
        <v>0</v>
      </c>
      <c r="Z303" s="27">
        <f t="shared" si="26"/>
        <v>0</v>
      </c>
      <c r="AA303" s="27">
        <v>0</v>
      </c>
      <c r="AB303" s="28">
        <v>0</v>
      </c>
      <c r="AC303" s="27">
        <f>0.422499/1.18</f>
        <v>0.35805000000000003</v>
      </c>
      <c r="AD303" s="28">
        <f>0.4224953892/1.18</f>
        <v>0.35804694000000004</v>
      </c>
      <c r="AE303" s="27">
        <v>0</v>
      </c>
      <c r="AF303" s="28">
        <v>0</v>
      </c>
      <c r="AG303" s="27">
        <v>0</v>
      </c>
      <c r="AH303" s="28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f t="shared" si="30"/>
        <v>0.35804694000000004</v>
      </c>
      <c r="AN303" s="27">
        <f t="shared" si="29"/>
        <v>0.35804694000000004</v>
      </c>
      <c r="AO303" s="35" t="s">
        <v>1490</v>
      </c>
    </row>
    <row r="304" spans="1:41" ht="31.5" customHeight="1" x14ac:dyDescent="0.25">
      <c r="A304" s="8" t="s">
        <v>92</v>
      </c>
      <c r="B304" s="39" t="s">
        <v>557</v>
      </c>
      <c r="C304" s="29" t="s">
        <v>558</v>
      </c>
      <c r="D304" s="38" t="s">
        <v>1481</v>
      </c>
      <c r="E304" s="30">
        <v>2015</v>
      </c>
      <c r="F304" s="30">
        <v>2015</v>
      </c>
      <c r="G304" s="30" t="s">
        <v>1435</v>
      </c>
      <c r="H304" s="27">
        <v>2.8805013927576603E-2</v>
      </c>
      <c r="I304" s="27">
        <v>2.8804565459610035E-2</v>
      </c>
      <c r="J304" s="27">
        <v>0</v>
      </c>
      <c r="K304" s="27">
        <v>0.20682</v>
      </c>
      <c r="L304" s="27">
        <v>0</v>
      </c>
      <c r="M304" s="27">
        <v>1.6250000000000001E-2</v>
      </c>
      <c r="N304" s="27">
        <v>0.19056999999999999</v>
      </c>
      <c r="O304" s="27">
        <v>0</v>
      </c>
      <c r="P304" s="27">
        <v>0.20681678000000003</v>
      </c>
      <c r="Q304" s="27">
        <v>0</v>
      </c>
      <c r="R304" s="27">
        <v>1.6247800000000003E-2</v>
      </c>
      <c r="S304" s="27">
        <v>0.19056898</v>
      </c>
      <c r="T304" s="27">
        <v>0</v>
      </c>
      <c r="U304" s="27">
        <v>2.8805013927576603E-2</v>
      </c>
      <c r="V304" s="27">
        <v>0.20682</v>
      </c>
      <c r="W304" s="27">
        <v>0</v>
      </c>
      <c r="X304" s="27">
        <f t="shared" si="27"/>
        <v>0</v>
      </c>
      <c r="Y304" s="27">
        <v>0</v>
      </c>
      <c r="Z304" s="27">
        <f t="shared" si="26"/>
        <v>0</v>
      </c>
      <c r="AA304" s="27">
        <v>0</v>
      </c>
      <c r="AB304" s="28">
        <v>0</v>
      </c>
      <c r="AC304" s="27">
        <f>0.2440476/1.18</f>
        <v>0.20682</v>
      </c>
      <c r="AD304" s="28">
        <f>0.2440438004/1.18</f>
        <v>0.20681678000000003</v>
      </c>
      <c r="AE304" s="27">
        <v>0</v>
      </c>
      <c r="AF304" s="28">
        <v>0</v>
      </c>
      <c r="AG304" s="27">
        <v>0</v>
      </c>
      <c r="AH304" s="28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f t="shared" si="30"/>
        <v>0.20681678000000003</v>
      </c>
      <c r="AN304" s="27">
        <f t="shared" si="29"/>
        <v>0.20681678000000003</v>
      </c>
      <c r="AO304" s="35" t="s">
        <v>1490</v>
      </c>
    </row>
    <row r="305" spans="1:41" ht="31.5" customHeight="1" x14ac:dyDescent="0.25">
      <c r="A305" s="8" t="s">
        <v>92</v>
      </c>
      <c r="B305" s="39" t="s">
        <v>559</v>
      </c>
      <c r="C305" s="29" t="s">
        <v>560</v>
      </c>
      <c r="D305" s="38" t="s">
        <v>1481</v>
      </c>
      <c r="E305" s="30">
        <v>2015</v>
      </c>
      <c r="F305" s="30">
        <v>2015</v>
      </c>
      <c r="G305" s="30" t="s">
        <v>1435</v>
      </c>
      <c r="H305" s="27">
        <v>3.5626740947075214E-2</v>
      </c>
      <c r="I305" s="27">
        <v>3.5626318941504184E-2</v>
      </c>
      <c r="J305" s="27">
        <v>0</v>
      </c>
      <c r="K305" s="27">
        <v>0.25580000000000003</v>
      </c>
      <c r="L305" s="27">
        <v>0</v>
      </c>
      <c r="M305" s="27">
        <v>1.6750000000000001E-2</v>
      </c>
      <c r="N305" s="27">
        <v>0.23905000000000001</v>
      </c>
      <c r="O305" s="27">
        <v>0</v>
      </c>
      <c r="P305" s="27">
        <v>0.25579697000000001</v>
      </c>
      <c r="Q305" s="27">
        <v>0</v>
      </c>
      <c r="R305" s="27">
        <v>1.6749969999999999E-2</v>
      </c>
      <c r="S305" s="27">
        <v>0.23904700000000001</v>
      </c>
      <c r="T305" s="27">
        <v>0</v>
      </c>
      <c r="U305" s="27">
        <v>3.5626740947075214E-2</v>
      </c>
      <c r="V305" s="27">
        <v>0.25580000000000003</v>
      </c>
      <c r="W305" s="27">
        <v>0</v>
      </c>
      <c r="X305" s="27">
        <f t="shared" si="27"/>
        <v>0</v>
      </c>
      <c r="Y305" s="27">
        <v>0</v>
      </c>
      <c r="Z305" s="27">
        <f t="shared" si="26"/>
        <v>0</v>
      </c>
      <c r="AA305" s="27">
        <v>0</v>
      </c>
      <c r="AB305" s="28">
        <v>0</v>
      </c>
      <c r="AC305" s="27">
        <f>0.301844/1.18</f>
        <v>0.25580000000000003</v>
      </c>
      <c r="AD305" s="28">
        <f>0.3018404246/1.18</f>
        <v>0.25579697000000001</v>
      </c>
      <c r="AE305" s="27">
        <v>0</v>
      </c>
      <c r="AF305" s="28">
        <v>0</v>
      </c>
      <c r="AG305" s="27">
        <v>0</v>
      </c>
      <c r="AH305" s="28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f t="shared" si="30"/>
        <v>0.25579697000000001</v>
      </c>
      <c r="AN305" s="27">
        <f t="shared" si="29"/>
        <v>0.25579697000000001</v>
      </c>
      <c r="AO305" s="35" t="s">
        <v>1490</v>
      </c>
    </row>
    <row r="306" spans="1:41" ht="31.5" customHeight="1" x14ac:dyDescent="0.25">
      <c r="A306" s="8" t="s">
        <v>92</v>
      </c>
      <c r="B306" s="39" t="s">
        <v>561</v>
      </c>
      <c r="C306" s="29" t="s">
        <v>562</v>
      </c>
      <c r="D306" s="38" t="s">
        <v>1481</v>
      </c>
      <c r="E306" s="30">
        <v>2016</v>
      </c>
      <c r="F306" s="30">
        <v>2016</v>
      </c>
      <c r="G306" s="30" t="s">
        <v>1435</v>
      </c>
      <c r="H306" s="27">
        <v>1.0239101671309192</v>
      </c>
      <c r="I306" s="27">
        <v>0.89699511559888589</v>
      </c>
      <c r="J306" s="27">
        <v>0</v>
      </c>
      <c r="K306" s="27">
        <v>7.3516750000000002</v>
      </c>
      <c r="L306" s="27">
        <v>8.183E-2</v>
      </c>
      <c r="M306" s="27">
        <v>0.91237500000000005</v>
      </c>
      <c r="N306" s="27">
        <v>6.3574700000000002</v>
      </c>
      <c r="O306" s="27">
        <v>0</v>
      </c>
      <c r="P306" s="27">
        <v>6.4404249300000007</v>
      </c>
      <c r="Q306" s="27">
        <v>8.1833409999999995E-2</v>
      </c>
      <c r="R306" s="27">
        <v>0.50809099999999996</v>
      </c>
      <c r="S306" s="27">
        <v>5.8505005199999998</v>
      </c>
      <c r="T306" s="27">
        <v>0</v>
      </c>
      <c r="U306" s="27">
        <v>1.0239101671309192</v>
      </c>
      <c r="V306" s="27">
        <v>7.3516750000000002</v>
      </c>
      <c r="W306" s="27">
        <v>0</v>
      </c>
      <c r="X306" s="27">
        <f t="shared" si="27"/>
        <v>0</v>
      </c>
      <c r="Y306" s="27">
        <v>0</v>
      </c>
      <c r="Z306" s="27">
        <f t="shared" si="26"/>
        <v>0</v>
      </c>
      <c r="AA306" s="27">
        <v>0</v>
      </c>
      <c r="AB306" s="28">
        <v>0</v>
      </c>
      <c r="AC306" s="27">
        <v>0</v>
      </c>
      <c r="AD306" s="28">
        <v>0</v>
      </c>
      <c r="AE306" s="27">
        <f>8.6749765/1.18</f>
        <v>7.3516750000000002</v>
      </c>
      <c r="AF306" s="28">
        <f>7.5997014174/1.18</f>
        <v>6.4404249300000007</v>
      </c>
      <c r="AG306" s="27">
        <v>0</v>
      </c>
      <c r="AH306" s="28">
        <v>0</v>
      </c>
      <c r="AI306" s="27">
        <v>0</v>
      </c>
      <c r="AJ306" s="27">
        <v>0</v>
      </c>
      <c r="AK306" s="27">
        <v>0</v>
      </c>
      <c r="AL306" s="27">
        <v>0</v>
      </c>
      <c r="AM306" s="27">
        <f t="shared" si="30"/>
        <v>6.4404249300000007</v>
      </c>
      <c r="AN306" s="27">
        <f t="shared" si="29"/>
        <v>6.4404249300000007</v>
      </c>
      <c r="AO306" s="35" t="s">
        <v>1490</v>
      </c>
    </row>
    <row r="307" spans="1:41" ht="31.5" customHeight="1" x14ac:dyDescent="0.25">
      <c r="A307" s="8" t="s">
        <v>92</v>
      </c>
      <c r="B307" s="39" t="s">
        <v>563</v>
      </c>
      <c r="C307" s="29" t="s">
        <v>564</v>
      </c>
      <c r="D307" s="38" t="s">
        <v>1481</v>
      </c>
      <c r="E307" s="30">
        <v>2016</v>
      </c>
      <c r="F307" s="30">
        <v>2016</v>
      </c>
      <c r="G307" s="30" t="s">
        <v>1435</v>
      </c>
      <c r="H307" s="27">
        <v>4.8668105849582172E-2</v>
      </c>
      <c r="I307" s="27">
        <v>4.8667935933147638E-2</v>
      </c>
      <c r="J307" s="27">
        <v>0</v>
      </c>
      <c r="K307" s="27">
        <v>0.349437</v>
      </c>
      <c r="L307" s="27">
        <v>0</v>
      </c>
      <c r="M307" s="27">
        <v>4.3929999999999997E-2</v>
      </c>
      <c r="N307" s="27">
        <v>0.30550700000000003</v>
      </c>
      <c r="O307" s="27">
        <v>0</v>
      </c>
      <c r="P307" s="27">
        <v>0.34943578000000003</v>
      </c>
      <c r="Q307" s="27">
        <v>0</v>
      </c>
      <c r="R307" s="27">
        <v>4.3927540000000001E-2</v>
      </c>
      <c r="S307" s="27">
        <v>0.30550823999999999</v>
      </c>
      <c r="T307" s="27">
        <v>0</v>
      </c>
      <c r="U307" s="27">
        <v>4.8668105849582172E-2</v>
      </c>
      <c r="V307" s="27">
        <v>0.349437</v>
      </c>
      <c r="W307" s="27">
        <v>0</v>
      </c>
      <c r="X307" s="27">
        <f t="shared" si="27"/>
        <v>0</v>
      </c>
      <c r="Y307" s="27">
        <v>0</v>
      </c>
      <c r="Z307" s="27">
        <f t="shared" si="26"/>
        <v>0</v>
      </c>
      <c r="AA307" s="27">
        <v>0</v>
      </c>
      <c r="AB307" s="28">
        <v>0</v>
      </c>
      <c r="AC307" s="27">
        <v>0</v>
      </c>
      <c r="AD307" s="28">
        <v>0</v>
      </c>
      <c r="AE307" s="27">
        <f>0.41233566/1.18</f>
        <v>0.349437</v>
      </c>
      <c r="AF307" s="28">
        <f>0.4123342204/1.18</f>
        <v>0.34943578000000003</v>
      </c>
      <c r="AG307" s="27">
        <v>0</v>
      </c>
      <c r="AH307" s="28">
        <v>0</v>
      </c>
      <c r="AI307" s="27">
        <v>0</v>
      </c>
      <c r="AJ307" s="27">
        <v>0</v>
      </c>
      <c r="AK307" s="27">
        <v>0</v>
      </c>
      <c r="AL307" s="27">
        <v>0</v>
      </c>
      <c r="AM307" s="27">
        <f t="shared" si="30"/>
        <v>0.34943578000000003</v>
      </c>
      <c r="AN307" s="27">
        <f t="shared" si="29"/>
        <v>0.34943578000000003</v>
      </c>
      <c r="AO307" s="35" t="s">
        <v>1490</v>
      </c>
    </row>
    <row r="308" spans="1:41" ht="31.5" customHeight="1" x14ac:dyDescent="0.25">
      <c r="A308" s="8" t="s">
        <v>92</v>
      </c>
      <c r="B308" s="39" t="s">
        <v>565</v>
      </c>
      <c r="C308" s="29" t="s">
        <v>566</v>
      </c>
      <c r="D308" s="38" t="s">
        <v>1481</v>
      </c>
      <c r="E308" s="30">
        <v>2016</v>
      </c>
      <c r="F308" s="30">
        <v>2016</v>
      </c>
      <c r="G308" s="30" t="s">
        <v>1435</v>
      </c>
      <c r="H308" s="27">
        <v>3.0159052924791086E-2</v>
      </c>
      <c r="I308" s="27">
        <v>5.260855988857939E-2</v>
      </c>
      <c r="J308" s="27">
        <v>0</v>
      </c>
      <c r="K308" s="27">
        <v>0.21654199999999998</v>
      </c>
      <c r="L308" s="27">
        <v>0</v>
      </c>
      <c r="M308" s="27">
        <v>4.4256999999999998E-2</v>
      </c>
      <c r="N308" s="27">
        <v>0.17228499999999999</v>
      </c>
      <c r="O308" s="27">
        <v>0</v>
      </c>
      <c r="P308" s="27">
        <v>0.37772946000000002</v>
      </c>
      <c r="Q308" s="27">
        <v>0</v>
      </c>
      <c r="R308" s="27">
        <v>4.9913379999999993E-2</v>
      </c>
      <c r="S308" s="27">
        <v>0.32781608000000001</v>
      </c>
      <c r="T308" s="27">
        <v>0</v>
      </c>
      <c r="U308" s="27">
        <v>3.0159052924791086E-2</v>
      </c>
      <c r="V308" s="27">
        <v>0.21654199999999998</v>
      </c>
      <c r="W308" s="27">
        <v>0</v>
      </c>
      <c r="X308" s="27">
        <f t="shared" si="27"/>
        <v>0</v>
      </c>
      <c r="Y308" s="27">
        <v>0</v>
      </c>
      <c r="Z308" s="27">
        <f t="shared" si="26"/>
        <v>0</v>
      </c>
      <c r="AA308" s="27">
        <v>0</v>
      </c>
      <c r="AB308" s="28">
        <v>0</v>
      </c>
      <c r="AC308" s="27">
        <v>0</v>
      </c>
      <c r="AD308" s="28">
        <v>0</v>
      </c>
      <c r="AE308" s="27">
        <f>0.25551956/1.18</f>
        <v>0.21654199999999998</v>
      </c>
      <c r="AF308" s="28">
        <f>0.4457207628/1.18</f>
        <v>0.37772946000000002</v>
      </c>
      <c r="AG308" s="27">
        <v>0</v>
      </c>
      <c r="AH308" s="28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f t="shared" si="30"/>
        <v>0.37772946000000002</v>
      </c>
      <c r="AN308" s="27">
        <f t="shared" si="29"/>
        <v>0.37772946000000002</v>
      </c>
      <c r="AO308" s="35" t="s">
        <v>1490</v>
      </c>
    </row>
    <row r="309" spans="1:41" ht="31.5" customHeight="1" x14ac:dyDescent="0.25">
      <c r="A309" s="8" t="s">
        <v>92</v>
      </c>
      <c r="B309" s="39" t="s">
        <v>567</v>
      </c>
      <c r="C309" s="29" t="s">
        <v>568</v>
      </c>
      <c r="D309" s="38" t="s">
        <v>1481</v>
      </c>
      <c r="E309" s="30">
        <v>2016</v>
      </c>
      <c r="F309" s="30">
        <v>2016</v>
      </c>
      <c r="G309" s="30" t="s">
        <v>1435</v>
      </c>
      <c r="H309" s="27">
        <v>1.8186629526462401E-2</v>
      </c>
      <c r="I309" s="27">
        <v>2.0375615598885795E-2</v>
      </c>
      <c r="J309" s="27">
        <v>0</v>
      </c>
      <c r="K309" s="27">
        <v>0.13058000000000003</v>
      </c>
      <c r="L309" s="27">
        <v>0</v>
      </c>
      <c r="M309" s="27">
        <v>4.3767E-2</v>
      </c>
      <c r="N309" s="27">
        <v>8.6813000000000001E-2</v>
      </c>
      <c r="O309" s="27">
        <v>0</v>
      </c>
      <c r="P309" s="27">
        <v>0.14629692</v>
      </c>
      <c r="Q309" s="27">
        <v>0</v>
      </c>
      <c r="R309" s="27">
        <v>2.9323209999999999E-2</v>
      </c>
      <c r="S309" s="27">
        <v>0.11697370999999999</v>
      </c>
      <c r="T309" s="27">
        <v>0</v>
      </c>
      <c r="U309" s="27">
        <v>1.8186629526462401E-2</v>
      </c>
      <c r="V309" s="27">
        <v>0.13058000000000003</v>
      </c>
      <c r="W309" s="27">
        <v>0</v>
      </c>
      <c r="X309" s="27">
        <f t="shared" si="27"/>
        <v>0</v>
      </c>
      <c r="Y309" s="27">
        <v>0</v>
      </c>
      <c r="Z309" s="27">
        <f t="shared" si="26"/>
        <v>0</v>
      </c>
      <c r="AA309" s="27">
        <v>0</v>
      </c>
      <c r="AB309" s="28">
        <v>0</v>
      </c>
      <c r="AC309" s="27">
        <v>0</v>
      </c>
      <c r="AD309" s="28">
        <v>0</v>
      </c>
      <c r="AE309" s="27">
        <f>0.1540844/1.18</f>
        <v>0.13058000000000003</v>
      </c>
      <c r="AF309" s="28">
        <f>0.1726303656/1.18</f>
        <v>0.14629692</v>
      </c>
      <c r="AG309" s="27">
        <v>0</v>
      </c>
      <c r="AH309" s="28">
        <v>0</v>
      </c>
      <c r="AI309" s="27">
        <v>0</v>
      </c>
      <c r="AJ309" s="27">
        <v>0</v>
      </c>
      <c r="AK309" s="27">
        <v>0</v>
      </c>
      <c r="AL309" s="27">
        <v>0</v>
      </c>
      <c r="AM309" s="27">
        <f t="shared" si="30"/>
        <v>0.14629692</v>
      </c>
      <c r="AN309" s="27">
        <f t="shared" si="29"/>
        <v>0.14629692</v>
      </c>
      <c r="AO309" s="35" t="s">
        <v>1490</v>
      </c>
    </row>
    <row r="310" spans="1:41" ht="31.5" customHeight="1" x14ac:dyDescent="0.25">
      <c r="A310" s="8" t="s">
        <v>92</v>
      </c>
      <c r="B310" s="39" t="s">
        <v>569</v>
      </c>
      <c r="C310" s="29" t="s">
        <v>570</v>
      </c>
      <c r="D310" s="38" t="s">
        <v>1481</v>
      </c>
      <c r="E310" s="30">
        <v>2016</v>
      </c>
      <c r="F310" s="30">
        <v>2016</v>
      </c>
      <c r="G310" s="30" t="s">
        <v>1435</v>
      </c>
      <c r="H310" s="27">
        <v>1.7185793871866296E-2</v>
      </c>
      <c r="I310" s="27">
        <v>1.7185005571030643E-2</v>
      </c>
      <c r="J310" s="27">
        <v>0</v>
      </c>
      <c r="K310" s="27">
        <v>0.123394</v>
      </c>
      <c r="L310" s="27">
        <v>0</v>
      </c>
      <c r="M310" s="27">
        <v>3.7343000000000001E-2</v>
      </c>
      <c r="N310" s="27">
        <v>8.6051000000000002E-2</v>
      </c>
      <c r="O310" s="27">
        <v>0</v>
      </c>
      <c r="P310" s="27">
        <v>0.12338834000000001</v>
      </c>
      <c r="Q310" s="27">
        <v>0</v>
      </c>
      <c r="R310" s="27">
        <v>3.7339089999999998E-2</v>
      </c>
      <c r="S310" s="27">
        <v>8.6049249999999994E-2</v>
      </c>
      <c r="T310" s="27">
        <v>0</v>
      </c>
      <c r="U310" s="27">
        <v>1.7185793871866296E-2</v>
      </c>
      <c r="V310" s="27">
        <v>0.123394</v>
      </c>
      <c r="W310" s="27">
        <v>0</v>
      </c>
      <c r="X310" s="27">
        <f t="shared" si="27"/>
        <v>0</v>
      </c>
      <c r="Y310" s="27">
        <v>0</v>
      </c>
      <c r="Z310" s="27">
        <f t="shared" si="26"/>
        <v>0</v>
      </c>
      <c r="AA310" s="27">
        <v>0</v>
      </c>
      <c r="AB310" s="28">
        <v>0</v>
      </c>
      <c r="AC310" s="27">
        <v>0</v>
      </c>
      <c r="AD310" s="28">
        <v>0</v>
      </c>
      <c r="AE310" s="27">
        <f>0.14560492/1.18</f>
        <v>0.123394</v>
      </c>
      <c r="AF310" s="28">
        <f>0.1455982412/1.18</f>
        <v>0.12338834000000001</v>
      </c>
      <c r="AG310" s="27">
        <v>0</v>
      </c>
      <c r="AH310" s="28">
        <v>0</v>
      </c>
      <c r="AI310" s="27">
        <v>0</v>
      </c>
      <c r="AJ310" s="27">
        <v>0</v>
      </c>
      <c r="AK310" s="27">
        <v>0</v>
      </c>
      <c r="AL310" s="27">
        <v>0</v>
      </c>
      <c r="AM310" s="27">
        <f t="shared" si="30"/>
        <v>0.12338834000000001</v>
      </c>
      <c r="AN310" s="27">
        <f t="shared" si="29"/>
        <v>0.12338834000000001</v>
      </c>
      <c r="AO310" s="35" t="s">
        <v>1490</v>
      </c>
    </row>
    <row r="311" spans="1:41" ht="31.5" customHeight="1" x14ac:dyDescent="0.25">
      <c r="A311" s="8" t="s">
        <v>92</v>
      </c>
      <c r="B311" s="39" t="s">
        <v>571</v>
      </c>
      <c r="C311" s="29" t="s">
        <v>572</v>
      </c>
      <c r="D311" s="38" t="s">
        <v>1481</v>
      </c>
      <c r="E311" s="30">
        <v>2016</v>
      </c>
      <c r="F311" s="30">
        <v>2016</v>
      </c>
      <c r="G311" s="30" t="s">
        <v>1435</v>
      </c>
      <c r="H311" s="27">
        <v>1.913231197771588E-2</v>
      </c>
      <c r="I311" s="27">
        <v>1.9132827298050142E-2</v>
      </c>
      <c r="J311" s="27">
        <v>0</v>
      </c>
      <c r="K311" s="27">
        <v>0.13737000000000002</v>
      </c>
      <c r="L311" s="27">
        <v>0</v>
      </c>
      <c r="M311" s="27">
        <v>2.1170000000000001E-2</v>
      </c>
      <c r="N311" s="27">
        <v>0.1162</v>
      </c>
      <c r="O311" s="27">
        <v>0</v>
      </c>
      <c r="P311" s="27">
        <v>0.13737370000000002</v>
      </c>
      <c r="Q311" s="27">
        <v>0</v>
      </c>
      <c r="R311" s="27">
        <v>2.1172130000000001E-2</v>
      </c>
      <c r="S311" s="27">
        <v>0.11620157</v>
      </c>
      <c r="T311" s="27">
        <v>0</v>
      </c>
      <c r="U311" s="27">
        <v>1.913231197771588E-2</v>
      </c>
      <c r="V311" s="27">
        <v>0.13737000000000002</v>
      </c>
      <c r="W311" s="27">
        <v>0</v>
      </c>
      <c r="X311" s="27">
        <f t="shared" si="27"/>
        <v>0</v>
      </c>
      <c r="Y311" s="27">
        <v>0</v>
      </c>
      <c r="Z311" s="27">
        <f t="shared" si="26"/>
        <v>0</v>
      </c>
      <c r="AA311" s="27">
        <v>0</v>
      </c>
      <c r="AB311" s="28">
        <v>0</v>
      </c>
      <c r="AC311" s="27">
        <v>0</v>
      </c>
      <c r="AD311" s="28">
        <v>0</v>
      </c>
      <c r="AE311" s="27">
        <f>0.1620966/1.18</f>
        <v>0.13737000000000002</v>
      </c>
      <c r="AF311" s="28">
        <f>0.162100966/1.18</f>
        <v>0.13737370000000002</v>
      </c>
      <c r="AG311" s="27">
        <v>0</v>
      </c>
      <c r="AH311" s="28">
        <v>0</v>
      </c>
      <c r="AI311" s="27">
        <v>0</v>
      </c>
      <c r="AJ311" s="27">
        <v>0</v>
      </c>
      <c r="AK311" s="27">
        <v>0</v>
      </c>
      <c r="AL311" s="27">
        <v>0</v>
      </c>
      <c r="AM311" s="27">
        <f t="shared" si="30"/>
        <v>0.13737370000000002</v>
      </c>
      <c r="AN311" s="27">
        <f t="shared" si="29"/>
        <v>0.13737370000000002</v>
      </c>
      <c r="AO311" s="35" t="s">
        <v>1490</v>
      </c>
    </row>
    <row r="312" spans="1:41" ht="31.5" customHeight="1" x14ac:dyDescent="0.25">
      <c r="A312" s="8" t="s">
        <v>92</v>
      </c>
      <c r="B312" s="39" t="s">
        <v>573</v>
      </c>
      <c r="C312" s="29" t="s">
        <v>574</v>
      </c>
      <c r="D312" s="38" t="s">
        <v>1481</v>
      </c>
      <c r="E312" s="30">
        <v>2016</v>
      </c>
      <c r="F312" s="30">
        <v>2016</v>
      </c>
      <c r="G312" s="30" t="s">
        <v>1435</v>
      </c>
      <c r="H312" s="27">
        <v>4.8499164345403904E-2</v>
      </c>
      <c r="I312" s="27">
        <v>6.1081215877437339E-2</v>
      </c>
      <c r="J312" s="27">
        <v>0</v>
      </c>
      <c r="K312" s="27">
        <v>0.34822400000000003</v>
      </c>
      <c r="L312" s="27">
        <v>0</v>
      </c>
      <c r="M312" s="27">
        <v>0.116718</v>
      </c>
      <c r="N312" s="27">
        <v>0.23150599999999999</v>
      </c>
      <c r="O312" s="27">
        <v>0</v>
      </c>
      <c r="P312" s="27">
        <v>0.43856313000000008</v>
      </c>
      <c r="Q312" s="27">
        <v>0</v>
      </c>
      <c r="R312" s="27">
        <v>8.9559780000000005E-2</v>
      </c>
      <c r="S312" s="27">
        <v>0.34900334999999999</v>
      </c>
      <c r="T312" s="27">
        <v>0</v>
      </c>
      <c r="U312" s="27">
        <v>4.8499164345403904E-2</v>
      </c>
      <c r="V312" s="27">
        <v>0.34822400000000003</v>
      </c>
      <c r="W312" s="27">
        <v>0</v>
      </c>
      <c r="X312" s="27">
        <f t="shared" si="27"/>
        <v>0</v>
      </c>
      <c r="Y312" s="27">
        <v>0</v>
      </c>
      <c r="Z312" s="27">
        <f t="shared" si="26"/>
        <v>0</v>
      </c>
      <c r="AA312" s="27">
        <v>0</v>
      </c>
      <c r="AB312" s="28">
        <v>0</v>
      </c>
      <c r="AC312" s="27">
        <v>0</v>
      </c>
      <c r="AD312" s="28">
        <v>0</v>
      </c>
      <c r="AE312" s="27">
        <f>0.41090432/1.18</f>
        <v>0.34822400000000003</v>
      </c>
      <c r="AF312" s="28">
        <f>0.5175044934/1.18</f>
        <v>0.43856313000000008</v>
      </c>
      <c r="AG312" s="27">
        <v>0</v>
      </c>
      <c r="AH312" s="28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f t="shared" si="30"/>
        <v>0.43856313000000008</v>
      </c>
      <c r="AN312" s="27">
        <f t="shared" si="29"/>
        <v>0.43856313000000008</v>
      </c>
      <c r="AO312" s="35" t="s">
        <v>1490</v>
      </c>
    </row>
    <row r="313" spans="1:41" ht="31.5" customHeight="1" x14ac:dyDescent="0.25">
      <c r="A313" s="8" t="s">
        <v>92</v>
      </c>
      <c r="B313" s="39" t="s">
        <v>575</v>
      </c>
      <c r="C313" s="29" t="s">
        <v>576</v>
      </c>
      <c r="D313" s="38" t="s">
        <v>1481</v>
      </c>
      <c r="E313" s="30">
        <v>2016</v>
      </c>
      <c r="F313" s="30">
        <v>2016</v>
      </c>
      <c r="G313" s="30" t="s">
        <v>1435</v>
      </c>
      <c r="H313" s="27">
        <v>1.8187047353760446E-2</v>
      </c>
      <c r="I313" s="27">
        <v>2.3248916434540395E-2</v>
      </c>
      <c r="J313" s="27">
        <v>0</v>
      </c>
      <c r="K313" s="27">
        <v>0.130583</v>
      </c>
      <c r="L313" s="27">
        <v>0</v>
      </c>
      <c r="M313" s="27">
        <v>4.3770000000000003E-2</v>
      </c>
      <c r="N313" s="27">
        <v>8.6813000000000001E-2</v>
      </c>
      <c r="O313" s="27">
        <v>0</v>
      </c>
      <c r="P313" s="27">
        <v>0.16692722000000002</v>
      </c>
      <c r="Q313" s="27">
        <v>0</v>
      </c>
      <c r="R313" s="27">
        <v>3.9742920000000001E-2</v>
      </c>
      <c r="S313" s="27">
        <v>0.1271843</v>
      </c>
      <c r="T313" s="27">
        <v>0</v>
      </c>
      <c r="U313" s="27">
        <v>1.8187047353760446E-2</v>
      </c>
      <c r="V313" s="27">
        <v>0.130583</v>
      </c>
      <c r="W313" s="27">
        <v>0</v>
      </c>
      <c r="X313" s="27">
        <f t="shared" si="27"/>
        <v>0</v>
      </c>
      <c r="Y313" s="27">
        <v>0</v>
      </c>
      <c r="Z313" s="27">
        <f t="shared" si="26"/>
        <v>0</v>
      </c>
      <c r="AA313" s="27">
        <v>0</v>
      </c>
      <c r="AB313" s="28">
        <v>0</v>
      </c>
      <c r="AC313" s="27">
        <v>0</v>
      </c>
      <c r="AD313" s="28">
        <v>0</v>
      </c>
      <c r="AE313" s="27">
        <f>0.15408794/1.18</f>
        <v>0.130583</v>
      </c>
      <c r="AF313" s="28">
        <f>0.1969741196/1.18</f>
        <v>0.16692722000000002</v>
      </c>
      <c r="AG313" s="27">
        <v>0</v>
      </c>
      <c r="AH313" s="28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f t="shared" si="30"/>
        <v>0.16692722000000002</v>
      </c>
      <c r="AN313" s="27">
        <f t="shared" si="29"/>
        <v>0.16692722000000002</v>
      </c>
      <c r="AO313" s="35" t="s">
        <v>1490</v>
      </c>
    </row>
    <row r="314" spans="1:41" ht="31.5" customHeight="1" x14ac:dyDescent="0.25">
      <c r="A314" s="8" t="s">
        <v>92</v>
      </c>
      <c r="B314" s="39" t="s">
        <v>577</v>
      </c>
      <c r="C314" s="29" t="s">
        <v>578</v>
      </c>
      <c r="D314" s="38" t="s">
        <v>1481</v>
      </c>
      <c r="E314" s="30">
        <v>2016</v>
      </c>
      <c r="F314" s="30">
        <v>2016</v>
      </c>
      <c r="G314" s="30" t="s">
        <v>1435</v>
      </c>
      <c r="H314" s="27">
        <v>3.0311977715877441E-2</v>
      </c>
      <c r="I314" s="27">
        <v>3.2315654596100279E-2</v>
      </c>
      <c r="J314" s="27">
        <v>0</v>
      </c>
      <c r="K314" s="27">
        <v>0.21764000000000003</v>
      </c>
      <c r="L314" s="27">
        <v>0</v>
      </c>
      <c r="M314" s="27">
        <v>7.2950000000000001E-2</v>
      </c>
      <c r="N314" s="27">
        <v>0.14468999999999999</v>
      </c>
      <c r="O314" s="27">
        <v>0</v>
      </c>
      <c r="P314" s="27">
        <v>0.23202639999999999</v>
      </c>
      <c r="Q314" s="27">
        <v>0</v>
      </c>
      <c r="R314" s="27">
        <v>3.1044499999999999E-2</v>
      </c>
      <c r="S314" s="27">
        <v>0.20098189999999999</v>
      </c>
      <c r="T314" s="27">
        <v>0</v>
      </c>
      <c r="U314" s="27">
        <v>3.0311977715877441E-2</v>
      </c>
      <c r="V314" s="27">
        <v>0.21764000000000003</v>
      </c>
      <c r="W314" s="27">
        <v>0</v>
      </c>
      <c r="X314" s="27">
        <f t="shared" si="27"/>
        <v>0</v>
      </c>
      <c r="Y314" s="27">
        <v>0</v>
      </c>
      <c r="Z314" s="27">
        <f t="shared" si="26"/>
        <v>0</v>
      </c>
      <c r="AA314" s="27">
        <v>0</v>
      </c>
      <c r="AB314" s="28">
        <v>0</v>
      </c>
      <c r="AC314" s="27">
        <v>0</v>
      </c>
      <c r="AD314" s="28">
        <v>0</v>
      </c>
      <c r="AE314" s="27">
        <f>0.2568152/1.18</f>
        <v>0.21764000000000003</v>
      </c>
      <c r="AF314" s="28">
        <f>0.273791152/1.18</f>
        <v>0.23202639999999999</v>
      </c>
      <c r="AG314" s="27">
        <v>0</v>
      </c>
      <c r="AH314" s="28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f t="shared" si="30"/>
        <v>0.23202639999999999</v>
      </c>
      <c r="AN314" s="27">
        <f t="shared" si="29"/>
        <v>0.23202639999999999</v>
      </c>
      <c r="AO314" s="35" t="s">
        <v>1490</v>
      </c>
    </row>
    <row r="315" spans="1:41" ht="31.5" customHeight="1" x14ac:dyDescent="0.25">
      <c r="A315" s="8" t="s">
        <v>92</v>
      </c>
      <c r="B315" s="39" t="s">
        <v>579</v>
      </c>
      <c r="C315" s="29" t="s">
        <v>580</v>
      </c>
      <c r="D315" s="38" t="s">
        <v>1481</v>
      </c>
      <c r="E315" s="30">
        <v>2016</v>
      </c>
      <c r="F315" s="30">
        <v>2016</v>
      </c>
      <c r="G315" s="30" t="s">
        <v>1435</v>
      </c>
      <c r="H315" s="27">
        <v>1.8186629526462401E-2</v>
      </c>
      <c r="I315" s="27">
        <v>2.5044323119777161E-2</v>
      </c>
      <c r="J315" s="27">
        <v>0</v>
      </c>
      <c r="K315" s="27">
        <v>0.13058000000000003</v>
      </c>
      <c r="L315" s="27">
        <v>0</v>
      </c>
      <c r="M315" s="27">
        <v>4.3770000000000003E-2</v>
      </c>
      <c r="N315" s="27">
        <v>8.6809999999999998E-2</v>
      </c>
      <c r="O315" s="27">
        <v>0</v>
      </c>
      <c r="P315" s="27">
        <v>0.17981824000000002</v>
      </c>
      <c r="Q315" s="27">
        <v>0</v>
      </c>
      <c r="R315" s="27">
        <v>5.5010990000000003E-2</v>
      </c>
      <c r="S315" s="27">
        <v>0.12480724999999999</v>
      </c>
      <c r="T315" s="27">
        <v>0</v>
      </c>
      <c r="U315" s="27">
        <v>1.8186629526462401E-2</v>
      </c>
      <c r="V315" s="27">
        <v>0.13058000000000003</v>
      </c>
      <c r="W315" s="27">
        <v>0</v>
      </c>
      <c r="X315" s="27">
        <f t="shared" si="27"/>
        <v>0</v>
      </c>
      <c r="Y315" s="27">
        <v>0</v>
      </c>
      <c r="Z315" s="27">
        <f t="shared" si="26"/>
        <v>0</v>
      </c>
      <c r="AA315" s="27">
        <v>0</v>
      </c>
      <c r="AB315" s="28">
        <v>0</v>
      </c>
      <c r="AC315" s="27">
        <v>0</v>
      </c>
      <c r="AD315" s="28">
        <v>0</v>
      </c>
      <c r="AE315" s="27">
        <f>0.1540844/1.18</f>
        <v>0.13058000000000003</v>
      </c>
      <c r="AF315" s="28">
        <f>0.2121855232/1.18</f>
        <v>0.17981824000000002</v>
      </c>
      <c r="AG315" s="27">
        <v>0</v>
      </c>
      <c r="AH315" s="28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f t="shared" si="30"/>
        <v>0.17981824000000002</v>
      </c>
      <c r="AN315" s="27">
        <f t="shared" si="29"/>
        <v>0.17981824000000002</v>
      </c>
      <c r="AO315" s="35" t="s">
        <v>1490</v>
      </c>
    </row>
    <row r="316" spans="1:41" ht="31.5" customHeight="1" x14ac:dyDescent="0.25">
      <c r="A316" s="8" t="s">
        <v>92</v>
      </c>
      <c r="B316" s="39" t="s">
        <v>581</v>
      </c>
      <c r="C316" s="29" t="s">
        <v>582</v>
      </c>
      <c r="D316" s="38" t="s">
        <v>1481</v>
      </c>
      <c r="E316" s="30">
        <v>2016</v>
      </c>
      <c r="F316" s="30">
        <v>2016</v>
      </c>
      <c r="G316" s="30" t="s">
        <v>1435</v>
      </c>
      <c r="H316" s="27">
        <v>5.0162952646239566E-2</v>
      </c>
      <c r="I316" s="27">
        <v>5.0163002785515325E-2</v>
      </c>
      <c r="J316" s="27">
        <v>0</v>
      </c>
      <c r="K316" s="27">
        <v>0.36017000000000005</v>
      </c>
      <c r="L316" s="27">
        <v>0</v>
      </c>
      <c r="M316" s="27">
        <v>7.0800000000000002E-2</v>
      </c>
      <c r="N316" s="27">
        <v>0.28937000000000002</v>
      </c>
      <c r="O316" s="27">
        <v>0</v>
      </c>
      <c r="P316" s="27">
        <v>0.36017036000000002</v>
      </c>
      <c r="Q316" s="27">
        <v>0</v>
      </c>
      <c r="R316" s="27">
        <v>7.0802549999999992E-2</v>
      </c>
      <c r="S316" s="27">
        <v>0.28936781</v>
      </c>
      <c r="T316" s="27">
        <v>0</v>
      </c>
      <c r="U316" s="27">
        <v>5.0162952646239566E-2</v>
      </c>
      <c r="V316" s="27">
        <v>0.36017000000000005</v>
      </c>
      <c r="W316" s="27">
        <v>0</v>
      </c>
      <c r="X316" s="27">
        <f t="shared" si="27"/>
        <v>0</v>
      </c>
      <c r="Y316" s="27">
        <v>0</v>
      </c>
      <c r="Z316" s="27">
        <f t="shared" si="26"/>
        <v>0</v>
      </c>
      <c r="AA316" s="27">
        <v>0</v>
      </c>
      <c r="AB316" s="28">
        <v>0</v>
      </c>
      <c r="AC316" s="27">
        <v>0</v>
      </c>
      <c r="AD316" s="28">
        <v>0</v>
      </c>
      <c r="AE316" s="27">
        <f>0.4250006/1.18</f>
        <v>0.36017000000000005</v>
      </c>
      <c r="AF316" s="28">
        <f>0.4250010248/1.18</f>
        <v>0.36017036000000002</v>
      </c>
      <c r="AG316" s="27">
        <v>0</v>
      </c>
      <c r="AH316" s="28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f t="shared" si="30"/>
        <v>0.36017036000000002</v>
      </c>
      <c r="AN316" s="27">
        <f t="shared" si="29"/>
        <v>0.36017036000000002</v>
      </c>
      <c r="AO316" s="35" t="s">
        <v>1490</v>
      </c>
    </row>
    <row r="317" spans="1:41" ht="31.5" customHeight="1" x14ac:dyDescent="0.25">
      <c r="A317" s="8" t="s">
        <v>92</v>
      </c>
      <c r="B317" s="39" t="s">
        <v>583</v>
      </c>
      <c r="C317" s="29" t="s">
        <v>584</v>
      </c>
      <c r="D317" s="38" t="s">
        <v>1481</v>
      </c>
      <c r="E317" s="30">
        <v>2016</v>
      </c>
      <c r="F317" s="30">
        <v>2016</v>
      </c>
      <c r="G317" s="30" t="s">
        <v>1435</v>
      </c>
      <c r="H317" s="27">
        <v>1.6729805013927578E-2</v>
      </c>
      <c r="I317" s="27">
        <v>1.6730476323119779E-2</v>
      </c>
      <c r="J317" s="27">
        <v>0</v>
      </c>
      <c r="K317" s="27">
        <v>0.12012</v>
      </c>
      <c r="L317" s="27">
        <v>0</v>
      </c>
      <c r="M317" s="27">
        <v>3.7039999999999997E-2</v>
      </c>
      <c r="N317" s="27">
        <v>8.3080000000000001E-2</v>
      </c>
      <c r="O317" s="27">
        <v>0</v>
      </c>
      <c r="P317" s="27">
        <v>0.12012482000000001</v>
      </c>
      <c r="Q317" s="27">
        <v>0</v>
      </c>
      <c r="R317" s="27">
        <v>3.7044440000000005E-2</v>
      </c>
      <c r="S317" s="27">
        <v>8.3080380000000009E-2</v>
      </c>
      <c r="T317" s="27">
        <v>0</v>
      </c>
      <c r="U317" s="27">
        <v>1.6729805013927578E-2</v>
      </c>
      <c r="V317" s="27">
        <v>0.12012</v>
      </c>
      <c r="W317" s="27">
        <v>0</v>
      </c>
      <c r="X317" s="27">
        <f t="shared" si="27"/>
        <v>0</v>
      </c>
      <c r="Y317" s="27">
        <v>0</v>
      </c>
      <c r="Z317" s="27">
        <f t="shared" si="26"/>
        <v>0</v>
      </c>
      <c r="AA317" s="27">
        <v>0</v>
      </c>
      <c r="AB317" s="28">
        <v>0</v>
      </c>
      <c r="AC317" s="27">
        <v>0</v>
      </c>
      <c r="AD317" s="28">
        <v>0</v>
      </c>
      <c r="AE317" s="27">
        <f>0.1417416/1.18</f>
        <v>0.12012</v>
      </c>
      <c r="AF317" s="28">
        <f>0.1417472876/1.18</f>
        <v>0.12012482000000001</v>
      </c>
      <c r="AG317" s="27">
        <v>0</v>
      </c>
      <c r="AH317" s="28">
        <v>0</v>
      </c>
      <c r="AI317" s="27">
        <v>0</v>
      </c>
      <c r="AJ317" s="27">
        <v>0</v>
      </c>
      <c r="AK317" s="27">
        <v>0</v>
      </c>
      <c r="AL317" s="27">
        <v>0</v>
      </c>
      <c r="AM317" s="27">
        <f t="shared" si="30"/>
        <v>0.12012482000000001</v>
      </c>
      <c r="AN317" s="27">
        <f t="shared" si="29"/>
        <v>0.12012482000000001</v>
      </c>
      <c r="AO317" s="35" t="s">
        <v>1490</v>
      </c>
    </row>
    <row r="318" spans="1:41" ht="31.5" customHeight="1" x14ac:dyDescent="0.25">
      <c r="A318" s="8" t="s">
        <v>92</v>
      </c>
      <c r="B318" s="39" t="s">
        <v>585</v>
      </c>
      <c r="C318" s="29" t="s">
        <v>586</v>
      </c>
      <c r="D318" s="38" t="s">
        <v>1481</v>
      </c>
      <c r="E318" s="30">
        <v>2016</v>
      </c>
      <c r="F318" s="30">
        <v>2016</v>
      </c>
      <c r="G318" s="30" t="s">
        <v>1435</v>
      </c>
      <c r="H318" s="27">
        <v>4.8499164345403904E-2</v>
      </c>
      <c r="I318" s="27">
        <v>5.4839479108635097E-2</v>
      </c>
      <c r="J318" s="27">
        <v>0</v>
      </c>
      <c r="K318" s="27">
        <v>0.34822400000000003</v>
      </c>
      <c r="L318" s="27">
        <v>0</v>
      </c>
      <c r="M318" s="27">
        <v>0.116717</v>
      </c>
      <c r="N318" s="27">
        <v>0.23150700000000002</v>
      </c>
      <c r="O318" s="27">
        <v>0</v>
      </c>
      <c r="P318" s="27">
        <v>0.39374745999999999</v>
      </c>
      <c r="Q318" s="27">
        <v>0</v>
      </c>
      <c r="R318" s="27">
        <v>8.1366519999999998E-2</v>
      </c>
      <c r="S318" s="27">
        <v>0.31238094</v>
      </c>
      <c r="T318" s="27">
        <v>0</v>
      </c>
      <c r="U318" s="27">
        <v>4.8499164345403904E-2</v>
      </c>
      <c r="V318" s="27">
        <v>0.34822400000000003</v>
      </c>
      <c r="W318" s="27">
        <v>0</v>
      </c>
      <c r="X318" s="27">
        <f t="shared" si="27"/>
        <v>0</v>
      </c>
      <c r="Y318" s="27">
        <v>0</v>
      </c>
      <c r="Z318" s="27">
        <f t="shared" si="26"/>
        <v>0</v>
      </c>
      <c r="AA318" s="27">
        <v>0</v>
      </c>
      <c r="AB318" s="28">
        <v>0</v>
      </c>
      <c r="AC318" s="27">
        <v>0</v>
      </c>
      <c r="AD318" s="28">
        <v>0</v>
      </c>
      <c r="AE318" s="27">
        <f>0.41090432/1.18</f>
        <v>0.34822400000000003</v>
      </c>
      <c r="AF318" s="28">
        <f>0.4646220028/1.18</f>
        <v>0.39374745999999999</v>
      </c>
      <c r="AG318" s="27">
        <v>0</v>
      </c>
      <c r="AH318" s="28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f t="shared" si="30"/>
        <v>0.39374745999999999</v>
      </c>
      <c r="AN318" s="27">
        <f t="shared" si="29"/>
        <v>0.39374745999999999</v>
      </c>
      <c r="AO318" s="35" t="s">
        <v>1435</v>
      </c>
    </row>
    <row r="319" spans="1:41" ht="31.5" customHeight="1" x14ac:dyDescent="0.25">
      <c r="A319" s="8" t="s">
        <v>92</v>
      </c>
      <c r="B319" s="37" t="s">
        <v>587</v>
      </c>
      <c r="C319" s="29" t="s">
        <v>588</v>
      </c>
      <c r="D319" s="38" t="s">
        <v>1481</v>
      </c>
      <c r="E319" s="30">
        <v>2016</v>
      </c>
      <c r="F319" s="30">
        <v>2016</v>
      </c>
      <c r="G319" s="30" t="s">
        <v>1435</v>
      </c>
      <c r="H319" s="27">
        <v>1.465807799442897E-2</v>
      </c>
      <c r="I319" s="27">
        <v>1.4657611420612815E-2</v>
      </c>
      <c r="J319" s="27">
        <v>0</v>
      </c>
      <c r="K319" s="27">
        <v>0.10524500000000001</v>
      </c>
      <c r="L319" s="27">
        <v>0</v>
      </c>
      <c r="M319" s="27">
        <v>1.9753E-2</v>
      </c>
      <c r="N319" s="27">
        <v>8.5491999999999999E-2</v>
      </c>
      <c r="O319" s="27">
        <v>0</v>
      </c>
      <c r="P319" s="27">
        <v>0.10524165000000001</v>
      </c>
      <c r="Q319" s="27">
        <v>0</v>
      </c>
      <c r="R319" s="27">
        <v>1.9748429999999997E-2</v>
      </c>
      <c r="S319" s="27">
        <v>8.5493219999999995E-2</v>
      </c>
      <c r="T319" s="27">
        <v>0</v>
      </c>
      <c r="U319" s="27">
        <v>1.465807799442897E-2</v>
      </c>
      <c r="V319" s="27">
        <v>0.10524500000000001</v>
      </c>
      <c r="W319" s="27">
        <v>0</v>
      </c>
      <c r="X319" s="27">
        <f t="shared" si="27"/>
        <v>0</v>
      </c>
      <c r="Y319" s="27">
        <v>0</v>
      </c>
      <c r="Z319" s="27">
        <f t="shared" si="26"/>
        <v>0</v>
      </c>
      <c r="AA319" s="27">
        <v>0</v>
      </c>
      <c r="AB319" s="28">
        <v>0</v>
      </c>
      <c r="AC319" s="27">
        <v>0</v>
      </c>
      <c r="AD319" s="28">
        <v>0</v>
      </c>
      <c r="AE319" s="27">
        <f>0.1241891/1.18</f>
        <v>0.10524500000000001</v>
      </c>
      <c r="AF319" s="28">
        <f>0.124185147/1.18</f>
        <v>0.10524165000000001</v>
      </c>
      <c r="AG319" s="27">
        <v>0</v>
      </c>
      <c r="AH319" s="28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f t="shared" si="30"/>
        <v>0.10524165000000001</v>
      </c>
      <c r="AN319" s="27">
        <f t="shared" si="29"/>
        <v>0.10524165000000001</v>
      </c>
      <c r="AO319" s="35" t="s">
        <v>1435</v>
      </c>
    </row>
    <row r="320" spans="1:41" ht="31.5" customHeight="1" x14ac:dyDescent="0.25">
      <c r="A320" s="8" t="s">
        <v>92</v>
      </c>
      <c r="B320" s="39" t="s">
        <v>589</v>
      </c>
      <c r="C320" s="29" t="s">
        <v>590</v>
      </c>
      <c r="D320" s="38" t="s">
        <v>1481</v>
      </c>
      <c r="E320" s="30">
        <v>2016</v>
      </c>
      <c r="F320" s="30">
        <v>2016</v>
      </c>
      <c r="G320" s="30" t="s">
        <v>1435</v>
      </c>
      <c r="H320" s="27">
        <v>1.508523676880223E-2</v>
      </c>
      <c r="I320" s="27">
        <v>1.5084511142061285E-2</v>
      </c>
      <c r="J320" s="27">
        <v>0</v>
      </c>
      <c r="K320" s="27">
        <v>0.10831200000000001</v>
      </c>
      <c r="L320" s="27">
        <v>0</v>
      </c>
      <c r="M320" s="27">
        <v>1.4352E-2</v>
      </c>
      <c r="N320" s="27">
        <v>9.3959999999999988E-2</v>
      </c>
      <c r="O320" s="27">
        <v>0</v>
      </c>
      <c r="P320" s="27">
        <v>0.10830679000000001</v>
      </c>
      <c r="Q320" s="27">
        <v>0</v>
      </c>
      <c r="R320" s="27">
        <v>2.6932999999999999E-2</v>
      </c>
      <c r="S320" s="27">
        <v>8.1373790000000001E-2</v>
      </c>
      <c r="T320" s="27">
        <v>0</v>
      </c>
      <c r="U320" s="27">
        <v>1.508523676880223E-2</v>
      </c>
      <c r="V320" s="27">
        <v>0.10831200000000001</v>
      </c>
      <c r="W320" s="27">
        <v>0</v>
      </c>
      <c r="X320" s="27">
        <f t="shared" si="27"/>
        <v>0</v>
      </c>
      <c r="Y320" s="27">
        <v>0</v>
      </c>
      <c r="Z320" s="27">
        <f t="shared" si="26"/>
        <v>0</v>
      </c>
      <c r="AA320" s="27">
        <v>0</v>
      </c>
      <c r="AB320" s="28">
        <v>0</v>
      </c>
      <c r="AC320" s="27">
        <v>0</v>
      </c>
      <c r="AD320" s="28">
        <v>0</v>
      </c>
      <c r="AE320" s="27">
        <f>0.12780816/1.18</f>
        <v>0.10831200000000001</v>
      </c>
      <c r="AF320" s="28">
        <f>0.1278020122/1.18</f>
        <v>0.10830679000000001</v>
      </c>
      <c r="AG320" s="27">
        <v>0</v>
      </c>
      <c r="AH320" s="28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f t="shared" si="30"/>
        <v>0.10830679000000001</v>
      </c>
      <c r="AN320" s="27">
        <f t="shared" si="29"/>
        <v>0.10830679000000001</v>
      </c>
      <c r="AO320" s="35" t="s">
        <v>1490</v>
      </c>
    </row>
    <row r="321" spans="1:41" ht="31.5" customHeight="1" x14ac:dyDescent="0.25">
      <c r="A321" s="8" t="s">
        <v>92</v>
      </c>
      <c r="B321" s="39" t="s">
        <v>591</v>
      </c>
      <c r="C321" s="29" t="s">
        <v>592</v>
      </c>
      <c r="D321" s="38" t="s">
        <v>1481</v>
      </c>
      <c r="E321" s="30">
        <v>2016</v>
      </c>
      <c r="F321" s="30">
        <v>2016</v>
      </c>
      <c r="G321" s="30" t="s">
        <v>1435</v>
      </c>
      <c r="H321" s="27">
        <v>1.9533844011142065E-2</v>
      </c>
      <c r="I321" s="27">
        <v>1.9533658774373259E-2</v>
      </c>
      <c r="J321" s="27">
        <v>0</v>
      </c>
      <c r="K321" s="27">
        <v>0.14025300000000002</v>
      </c>
      <c r="L321" s="27">
        <v>0</v>
      </c>
      <c r="M321" s="27">
        <v>4.9680000000000002E-2</v>
      </c>
      <c r="N321" s="27">
        <v>9.0572999999999987E-2</v>
      </c>
      <c r="O321" s="27">
        <v>0</v>
      </c>
      <c r="P321" s="27">
        <v>0.14025166999999999</v>
      </c>
      <c r="Q321" s="27">
        <v>0</v>
      </c>
      <c r="R321" s="27">
        <v>4.9679560000000005E-2</v>
      </c>
      <c r="S321" s="27">
        <v>9.0572109999999997E-2</v>
      </c>
      <c r="T321" s="27">
        <v>0</v>
      </c>
      <c r="U321" s="27">
        <v>1.9533844011142065E-2</v>
      </c>
      <c r="V321" s="27">
        <v>0.14025300000000002</v>
      </c>
      <c r="W321" s="27">
        <v>0</v>
      </c>
      <c r="X321" s="27">
        <f t="shared" si="27"/>
        <v>0</v>
      </c>
      <c r="Y321" s="27">
        <v>0</v>
      </c>
      <c r="Z321" s="27">
        <f t="shared" si="26"/>
        <v>0</v>
      </c>
      <c r="AA321" s="27">
        <v>0</v>
      </c>
      <c r="AB321" s="28">
        <v>0</v>
      </c>
      <c r="AC321" s="27">
        <v>0</v>
      </c>
      <c r="AD321" s="28">
        <v>0</v>
      </c>
      <c r="AE321" s="27">
        <f>0.16549854/1.18</f>
        <v>0.14025300000000002</v>
      </c>
      <c r="AF321" s="28">
        <f>0.1654969706/1.18</f>
        <v>0.14025166999999999</v>
      </c>
      <c r="AG321" s="27">
        <v>0</v>
      </c>
      <c r="AH321" s="28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f t="shared" si="30"/>
        <v>0.14025166999999999</v>
      </c>
      <c r="AN321" s="27">
        <f t="shared" si="29"/>
        <v>0.14025166999999999</v>
      </c>
      <c r="AO321" s="35" t="s">
        <v>1490</v>
      </c>
    </row>
    <row r="322" spans="1:41" ht="31.5" customHeight="1" x14ac:dyDescent="0.25">
      <c r="A322" s="8" t="s">
        <v>92</v>
      </c>
      <c r="B322" s="39" t="s">
        <v>593</v>
      </c>
      <c r="C322" s="29" t="s">
        <v>482</v>
      </c>
      <c r="D322" s="38" t="s">
        <v>1481</v>
      </c>
      <c r="E322" s="30">
        <v>2016</v>
      </c>
      <c r="F322" s="30">
        <v>2016</v>
      </c>
      <c r="G322" s="30" t="s">
        <v>1435</v>
      </c>
      <c r="H322" s="27">
        <v>4.8024373259052934E-2</v>
      </c>
      <c r="I322" s="27">
        <v>4.8024516713091922E-2</v>
      </c>
      <c r="J322" s="27">
        <v>0</v>
      </c>
      <c r="K322" s="27">
        <v>0.34481500000000004</v>
      </c>
      <c r="L322" s="27">
        <v>0</v>
      </c>
      <c r="M322" s="27">
        <v>6.1851999999999997E-2</v>
      </c>
      <c r="N322" s="27">
        <v>0.28296300000000002</v>
      </c>
      <c r="O322" s="27">
        <v>0</v>
      </c>
      <c r="P322" s="27">
        <v>0.34481603</v>
      </c>
      <c r="Q322" s="27">
        <v>0</v>
      </c>
      <c r="R322" s="27">
        <v>6.1851919999999998E-2</v>
      </c>
      <c r="S322" s="27">
        <v>0.28296410999999999</v>
      </c>
      <c r="T322" s="27">
        <v>0</v>
      </c>
      <c r="U322" s="27">
        <v>4.8024373259052934E-2</v>
      </c>
      <c r="V322" s="27">
        <v>0.34481500000000004</v>
      </c>
      <c r="W322" s="27">
        <v>0</v>
      </c>
      <c r="X322" s="27">
        <f t="shared" si="27"/>
        <v>0</v>
      </c>
      <c r="Y322" s="27">
        <v>0</v>
      </c>
      <c r="Z322" s="27">
        <f t="shared" si="26"/>
        <v>0</v>
      </c>
      <c r="AA322" s="27">
        <v>0</v>
      </c>
      <c r="AB322" s="28">
        <v>0</v>
      </c>
      <c r="AC322" s="27">
        <v>0</v>
      </c>
      <c r="AD322" s="28">
        <v>0</v>
      </c>
      <c r="AE322" s="27">
        <f>0.4068817/1.18</f>
        <v>0.34481500000000004</v>
      </c>
      <c r="AF322" s="28">
        <f>0.4068829154/1.18</f>
        <v>0.34481603</v>
      </c>
      <c r="AG322" s="27">
        <v>0</v>
      </c>
      <c r="AH322" s="28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f t="shared" si="30"/>
        <v>0.34481603</v>
      </c>
      <c r="AN322" s="27">
        <f t="shared" si="29"/>
        <v>0.34481603</v>
      </c>
      <c r="AO322" s="35" t="s">
        <v>1490</v>
      </c>
    </row>
    <row r="323" spans="1:41" ht="31.5" customHeight="1" x14ac:dyDescent="0.25">
      <c r="A323" s="8" t="s">
        <v>92</v>
      </c>
      <c r="B323" s="39" t="s">
        <v>594</v>
      </c>
      <c r="C323" s="29" t="s">
        <v>484</v>
      </c>
      <c r="D323" s="38" t="s">
        <v>1481</v>
      </c>
      <c r="E323" s="30">
        <v>2016</v>
      </c>
      <c r="F323" s="30">
        <v>2016</v>
      </c>
      <c r="G323" s="30" t="s">
        <v>1435</v>
      </c>
      <c r="H323" s="27">
        <v>1.2125348189415042E-2</v>
      </c>
      <c r="I323" s="27">
        <v>3.0887277158774377E-2</v>
      </c>
      <c r="J323" s="27">
        <v>0</v>
      </c>
      <c r="K323" s="27">
        <v>8.7059999999999998E-2</v>
      </c>
      <c r="L323" s="27">
        <v>0</v>
      </c>
      <c r="M323" s="27">
        <v>2.9180000000000001E-2</v>
      </c>
      <c r="N323" s="27">
        <v>5.7880000000000001E-2</v>
      </c>
      <c r="O323" s="27">
        <v>0</v>
      </c>
      <c r="P323" s="27">
        <v>0.22177065000000001</v>
      </c>
      <c r="Q323" s="27">
        <v>0</v>
      </c>
      <c r="R323" s="27">
        <v>0.12794005</v>
      </c>
      <c r="S323" s="27">
        <v>9.38306E-2</v>
      </c>
      <c r="T323" s="27">
        <v>0</v>
      </c>
      <c r="U323" s="27">
        <v>1.2125348189415042E-2</v>
      </c>
      <c r="V323" s="27">
        <v>8.7059999999999998E-2</v>
      </c>
      <c r="W323" s="27">
        <v>0</v>
      </c>
      <c r="X323" s="27">
        <f t="shared" si="27"/>
        <v>0</v>
      </c>
      <c r="Y323" s="27">
        <v>0</v>
      </c>
      <c r="Z323" s="27">
        <f t="shared" si="26"/>
        <v>0</v>
      </c>
      <c r="AA323" s="27">
        <v>0</v>
      </c>
      <c r="AB323" s="28">
        <v>0</v>
      </c>
      <c r="AC323" s="27">
        <v>0</v>
      </c>
      <c r="AD323" s="28">
        <v>0</v>
      </c>
      <c r="AE323" s="27">
        <f>0.1027308/1.18</f>
        <v>8.7059999999999998E-2</v>
      </c>
      <c r="AF323" s="28">
        <f>0.261689367/1.18</f>
        <v>0.22177065000000001</v>
      </c>
      <c r="AG323" s="27">
        <v>0</v>
      </c>
      <c r="AH323" s="28">
        <v>0</v>
      </c>
      <c r="AI323" s="27">
        <v>0</v>
      </c>
      <c r="AJ323" s="27">
        <v>0</v>
      </c>
      <c r="AK323" s="27">
        <v>0</v>
      </c>
      <c r="AL323" s="27">
        <v>0</v>
      </c>
      <c r="AM323" s="27">
        <f t="shared" si="30"/>
        <v>0.22177065000000001</v>
      </c>
      <c r="AN323" s="27">
        <f t="shared" si="29"/>
        <v>0.22177065000000001</v>
      </c>
      <c r="AO323" s="35" t="s">
        <v>1490</v>
      </c>
    </row>
    <row r="324" spans="1:41" ht="31.5" customHeight="1" x14ac:dyDescent="0.25">
      <c r="A324" s="8" t="s">
        <v>92</v>
      </c>
      <c r="B324" s="39" t="s">
        <v>595</v>
      </c>
      <c r="C324" s="29" t="s">
        <v>596</v>
      </c>
      <c r="D324" s="38" t="s">
        <v>1481</v>
      </c>
      <c r="E324" s="30">
        <v>2016</v>
      </c>
      <c r="F324" s="30">
        <v>2016</v>
      </c>
      <c r="G324" s="30" t="s">
        <v>1435</v>
      </c>
      <c r="H324" s="27">
        <v>0.47026657381615605</v>
      </c>
      <c r="I324" s="27">
        <v>0.51925554735376045</v>
      </c>
      <c r="J324" s="27">
        <v>0</v>
      </c>
      <c r="K324" s="27">
        <v>3.3765140000000002</v>
      </c>
      <c r="L324" s="27">
        <v>0</v>
      </c>
      <c r="M324" s="27">
        <v>0.28964699999999999</v>
      </c>
      <c r="N324" s="27">
        <v>3.0868670000000002</v>
      </c>
      <c r="O324" s="27">
        <v>0</v>
      </c>
      <c r="P324" s="27">
        <v>3.72825483</v>
      </c>
      <c r="Q324" s="27">
        <v>0</v>
      </c>
      <c r="R324" s="27">
        <v>0.30935744999999998</v>
      </c>
      <c r="S324" s="27">
        <v>3.4188973799999998</v>
      </c>
      <c r="T324" s="27">
        <v>0</v>
      </c>
      <c r="U324" s="27">
        <v>0.47026657381615605</v>
      </c>
      <c r="V324" s="27">
        <v>3.3765140000000002</v>
      </c>
      <c r="W324" s="27">
        <v>0</v>
      </c>
      <c r="X324" s="27">
        <f t="shared" si="27"/>
        <v>0</v>
      </c>
      <c r="Y324" s="27">
        <v>0</v>
      </c>
      <c r="Z324" s="27">
        <f t="shared" ref="Z324:Z387" si="31">AH324</f>
        <v>0</v>
      </c>
      <c r="AA324" s="27">
        <v>0</v>
      </c>
      <c r="AB324" s="28">
        <v>0</v>
      </c>
      <c r="AC324" s="27">
        <v>0</v>
      </c>
      <c r="AD324" s="28">
        <v>0</v>
      </c>
      <c r="AE324" s="27">
        <f>3.98428652/1.18</f>
        <v>3.3765140000000002</v>
      </c>
      <c r="AF324" s="28">
        <f>4.3993406994/1.18</f>
        <v>3.72825483</v>
      </c>
      <c r="AG324" s="27">
        <v>0</v>
      </c>
      <c r="AH324" s="28">
        <v>0</v>
      </c>
      <c r="AI324" s="27">
        <v>0</v>
      </c>
      <c r="AJ324" s="27">
        <v>0</v>
      </c>
      <c r="AK324" s="27">
        <v>0</v>
      </c>
      <c r="AL324" s="27">
        <v>0</v>
      </c>
      <c r="AM324" s="27">
        <f t="shared" si="30"/>
        <v>3.72825483</v>
      </c>
      <c r="AN324" s="27">
        <f t="shared" si="29"/>
        <v>3.72825483</v>
      </c>
      <c r="AO324" s="35" t="s">
        <v>1435</v>
      </c>
    </row>
    <row r="325" spans="1:41" ht="31.5" customHeight="1" x14ac:dyDescent="0.25">
      <c r="A325" s="8" t="s">
        <v>92</v>
      </c>
      <c r="B325" s="39" t="s">
        <v>597</v>
      </c>
      <c r="C325" s="29" t="s">
        <v>598</v>
      </c>
      <c r="D325" s="38" t="s">
        <v>1481</v>
      </c>
      <c r="E325" s="30">
        <v>2016</v>
      </c>
      <c r="F325" s="30">
        <v>2016</v>
      </c>
      <c r="G325" s="30" t="s">
        <v>1435</v>
      </c>
      <c r="H325" s="27">
        <v>0.42323927576601678</v>
      </c>
      <c r="I325" s="27">
        <v>0.54086504178272987</v>
      </c>
      <c r="J325" s="27">
        <v>0</v>
      </c>
      <c r="K325" s="27">
        <v>3.0388580000000003</v>
      </c>
      <c r="L325" s="27">
        <v>0</v>
      </c>
      <c r="M325" s="27">
        <v>0.26068000000000002</v>
      </c>
      <c r="N325" s="27">
        <v>2.778178</v>
      </c>
      <c r="O325" s="27">
        <v>0</v>
      </c>
      <c r="P325" s="27">
        <v>3.8834110000000002</v>
      </c>
      <c r="Q325" s="27">
        <v>0</v>
      </c>
      <c r="R325" s="27">
        <v>0.2974733</v>
      </c>
      <c r="S325" s="27">
        <v>3.5859377000000001</v>
      </c>
      <c r="T325" s="27">
        <v>0</v>
      </c>
      <c r="U325" s="27">
        <v>0.42323927576601678</v>
      </c>
      <c r="V325" s="27">
        <v>3.0388580000000003</v>
      </c>
      <c r="W325" s="27">
        <v>0</v>
      </c>
      <c r="X325" s="27">
        <f t="shared" si="27"/>
        <v>0</v>
      </c>
      <c r="Y325" s="27">
        <v>0</v>
      </c>
      <c r="Z325" s="27">
        <f t="shared" si="31"/>
        <v>0</v>
      </c>
      <c r="AA325" s="27">
        <v>0</v>
      </c>
      <c r="AB325" s="28">
        <v>0</v>
      </c>
      <c r="AC325" s="27">
        <v>0</v>
      </c>
      <c r="AD325" s="28">
        <v>0</v>
      </c>
      <c r="AE325" s="27">
        <f>3.58585244/1.18</f>
        <v>3.0388580000000003</v>
      </c>
      <c r="AF325" s="28">
        <f>4.58242498/1.18</f>
        <v>3.8834110000000002</v>
      </c>
      <c r="AG325" s="27">
        <v>0</v>
      </c>
      <c r="AH325" s="28">
        <v>0</v>
      </c>
      <c r="AI325" s="27">
        <v>0</v>
      </c>
      <c r="AJ325" s="27">
        <v>0</v>
      </c>
      <c r="AK325" s="27">
        <v>0</v>
      </c>
      <c r="AL325" s="27">
        <v>0</v>
      </c>
      <c r="AM325" s="27">
        <f t="shared" si="30"/>
        <v>3.8834110000000002</v>
      </c>
      <c r="AN325" s="27">
        <f t="shared" si="29"/>
        <v>3.8834110000000002</v>
      </c>
      <c r="AO325" s="35" t="s">
        <v>1435</v>
      </c>
    </row>
    <row r="326" spans="1:41" ht="31.5" customHeight="1" x14ac:dyDescent="0.25">
      <c r="A326" s="8" t="s">
        <v>92</v>
      </c>
      <c r="B326" s="39" t="s">
        <v>599</v>
      </c>
      <c r="C326" s="29" t="s">
        <v>600</v>
      </c>
      <c r="D326" s="38" t="s">
        <v>1481</v>
      </c>
      <c r="E326" s="30">
        <v>2016</v>
      </c>
      <c r="F326" s="30">
        <v>2016</v>
      </c>
      <c r="G326" s="30" t="s">
        <v>1435</v>
      </c>
      <c r="H326" s="27">
        <v>0.37621309192200558</v>
      </c>
      <c r="I326" s="27">
        <v>0.46232375487465188</v>
      </c>
      <c r="J326" s="27">
        <v>0</v>
      </c>
      <c r="K326" s="27">
        <v>2.7012100000000001</v>
      </c>
      <c r="L326" s="27">
        <v>0</v>
      </c>
      <c r="M326" s="27">
        <v>0.23172000000000001</v>
      </c>
      <c r="N326" s="27">
        <v>2.46949</v>
      </c>
      <c r="O326" s="27">
        <v>0</v>
      </c>
      <c r="P326" s="27">
        <v>3.3194845600000003</v>
      </c>
      <c r="Q326" s="27">
        <v>0</v>
      </c>
      <c r="R326" s="27">
        <v>0.27122751</v>
      </c>
      <c r="S326" s="27">
        <v>3.0482570500000001</v>
      </c>
      <c r="T326" s="27">
        <v>0</v>
      </c>
      <c r="U326" s="27">
        <v>0.37621309192200558</v>
      </c>
      <c r="V326" s="27">
        <v>2.7012100000000001</v>
      </c>
      <c r="W326" s="27">
        <v>0</v>
      </c>
      <c r="X326" s="27">
        <f t="shared" si="27"/>
        <v>0</v>
      </c>
      <c r="Y326" s="27">
        <v>0</v>
      </c>
      <c r="Z326" s="27">
        <f t="shared" si="31"/>
        <v>0</v>
      </c>
      <c r="AA326" s="27">
        <v>0</v>
      </c>
      <c r="AB326" s="28">
        <v>0</v>
      </c>
      <c r="AC326" s="27">
        <v>0</v>
      </c>
      <c r="AD326" s="28">
        <v>0</v>
      </c>
      <c r="AE326" s="27">
        <f>3.1874278/1.18</f>
        <v>2.7012100000000001</v>
      </c>
      <c r="AF326" s="28">
        <f>3.9169917808/1.18</f>
        <v>3.3194845600000003</v>
      </c>
      <c r="AG326" s="27">
        <v>0</v>
      </c>
      <c r="AH326" s="28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f t="shared" si="30"/>
        <v>3.3194845600000003</v>
      </c>
      <c r="AN326" s="27">
        <f t="shared" si="29"/>
        <v>3.3194845600000003</v>
      </c>
      <c r="AO326" s="35" t="s">
        <v>1490</v>
      </c>
    </row>
    <row r="327" spans="1:41" ht="31.5" customHeight="1" x14ac:dyDescent="0.25">
      <c r="A327" s="8" t="s">
        <v>92</v>
      </c>
      <c r="B327" s="39" t="s">
        <v>601</v>
      </c>
      <c r="C327" s="29" t="s">
        <v>602</v>
      </c>
      <c r="D327" s="38" t="s">
        <v>1481</v>
      </c>
      <c r="E327" s="30">
        <v>2016</v>
      </c>
      <c r="F327" s="30">
        <v>2016</v>
      </c>
      <c r="G327" s="30" t="s">
        <v>1435</v>
      </c>
      <c r="H327" s="27">
        <v>0.47026643454039002</v>
      </c>
      <c r="I327" s="27">
        <v>0.54008242200557111</v>
      </c>
      <c r="J327" s="27">
        <v>0</v>
      </c>
      <c r="K327" s="27">
        <v>3.3765130000000001</v>
      </c>
      <c r="L327" s="27">
        <v>0</v>
      </c>
      <c r="M327" s="27">
        <v>0.28964699999999999</v>
      </c>
      <c r="N327" s="27">
        <v>3.0868660000000001</v>
      </c>
      <c r="O327" s="27">
        <v>0</v>
      </c>
      <c r="P327" s="27">
        <v>3.8777917900000003</v>
      </c>
      <c r="Q327" s="27">
        <v>0</v>
      </c>
      <c r="R327" s="27">
        <v>0.34292486999999999</v>
      </c>
      <c r="S327" s="27">
        <v>3.5348669199999998</v>
      </c>
      <c r="T327" s="27">
        <v>0</v>
      </c>
      <c r="U327" s="27">
        <v>0.47026643454039002</v>
      </c>
      <c r="V327" s="27">
        <v>3.3765130000000001</v>
      </c>
      <c r="W327" s="27">
        <v>0</v>
      </c>
      <c r="X327" s="27">
        <f t="shared" si="27"/>
        <v>0</v>
      </c>
      <c r="Y327" s="27">
        <v>0</v>
      </c>
      <c r="Z327" s="27">
        <f t="shared" si="31"/>
        <v>0</v>
      </c>
      <c r="AA327" s="27">
        <v>0</v>
      </c>
      <c r="AB327" s="28">
        <v>0</v>
      </c>
      <c r="AC327" s="27">
        <v>0</v>
      </c>
      <c r="AD327" s="28">
        <v>0</v>
      </c>
      <c r="AE327" s="27">
        <f>3.98428534/1.18</f>
        <v>3.3765130000000001</v>
      </c>
      <c r="AF327" s="28">
        <f>4.5757943122/1.18</f>
        <v>3.8777917900000003</v>
      </c>
      <c r="AG327" s="27">
        <v>0</v>
      </c>
      <c r="AH327" s="28">
        <v>0</v>
      </c>
      <c r="AI327" s="27">
        <v>0</v>
      </c>
      <c r="AJ327" s="27">
        <v>0</v>
      </c>
      <c r="AK327" s="27">
        <v>0</v>
      </c>
      <c r="AL327" s="27">
        <v>0</v>
      </c>
      <c r="AM327" s="27">
        <f t="shared" si="30"/>
        <v>3.8777917900000003</v>
      </c>
      <c r="AN327" s="27">
        <f t="shared" si="29"/>
        <v>3.8777917900000003</v>
      </c>
      <c r="AO327" s="35" t="s">
        <v>1435</v>
      </c>
    </row>
    <row r="328" spans="1:41" ht="31.5" customHeight="1" x14ac:dyDescent="0.25">
      <c r="A328" s="8" t="s">
        <v>92</v>
      </c>
      <c r="B328" s="39" t="s">
        <v>603</v>
      </c>
      <c r="C328" s="29" t="s">
        <v>604</v>
      </c>
      <c r="D328" s="38" t="s">
        <v>1481</v>
      </c>
      <c r="E328" s="30">
        <v>2016</v>
      </c>
      <c r="F328" s="30">
        <v>2016</v>
      </c>
      <c r="G328" s="30" t="s">
        <v>1435</v>
      </c>
      <c r="H328" s="27">
        <v>3.4750000000000003E-2</v>
      </c>
      <c r="I328" s="27">
        <v>4.9946389972144851E-2</v>
      </c>
      <c r="J328" s="27">
        <v>0</v>
      </c>
      <c r="K328" s="27">
        <v>0.24950500000000003</v>
      </c>
      <c r="L328" s="27">
        <v>0</v>
      </c>
      <c r="M328" s="27">
        <v>1.7340000000000001E-2</v>
      </c>
      <c r="N328" s="27">
        <v>0.23216499999999998</v>
      </c>
      <c r="O328" s="27">
        <v>0</v>
      </c>
      <c r="P328" s="27">
        <v>0.35861508000000003</v>
      </c>
      <c r="Q328" s="27">
        <v>0</v>
      </c>
      <c r="R328" s="27">
        <v>1.835034E-2</v>
      </c>
      <c r="S328" s="27">
        <v>0.34026474000000001</v>
      </c>
      <c r="T328" s="27">
        <v>0</v>
      </c>
      <c r="U328" s="27">
        <v>3.4750000000000003E-2</v>
      </c>
      <c r="V328" s="27">
        <v>0.24950500000000003</v>
      </c>
      <c r="W328" s="27">
        <v>0</v>
      </c>
      <c r="X328" s="27">
        <f t="shared" si="27"/>
        <v>0</v>
      </c>
      <c r="Y328" s="27">
        <v>0</v>
      </c>
      <c r="Z328" s="27">
        <f t="shared" si="31"/>
        <v>0</v>
      </c>
      <c r="AA328" s="27">
        <v>0</v>
      </c>
      <c r="AB328" s="28">
        <v>0</v>
      </c>
      <c r="AC328" s="27">
        <v>0</v>
      </c>
      <c r="AD328" s="28">
        <v>0</v>
      </c>
      <c r="AE328" s="27">
        <f>0.2944159/1.18</f>
        <v>0.24950500000000003</v>
      </c>
      <c r="AF328" s="28">
        <f>0.4231657944/1.18</f>
        <v>0.35861508000000003</v>
      </c>
      <c r="AG328" s="27">
        <v>0</v>
      </c>
      <c r="AH328" s="28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f t="shared" si="30"/>
        <v>0.35861508000000003</v>
      </c>
      <c r="AN328" s="27">
        <f t="shared" si="29"/>
        <v>0.35861508000000003</v>
      </c>
      <c r="AO328" s="35" t="s">
        <v>1435</v>
      </c>
    </row>
    <row r="329" spans="1:41" ht="31.5" customHeight="1" x14ac:dyDescent="0.25">
      <c r="A329" s="8" t="s">
        <v>92</v>
      </c>
      <c r="B329" s="39" t="s">
        <v>605</v>
      </c>
      <c r="C329" s="29" t="s">
        <v>606</v>
      </c>
      <c r="D329" s="38" t="s">
        <v>1481</v>
      </c>
      <c r="E329" s="30">
        <v>2016</v>
      </c>
      <c r="F329" s="30">
        <v>2016</v>
      </c>
      <c r="G329" s="30" t="s">
        <v>1435</v>
      </c>
      <c r="H329" s="27">
        <v>3.4750696378830083E-2</v>
      </c>
      <c r="I329" s="27">
        <v>5.0132149025069642E-2</v>
      </c>
      <c r="J329" s="27">
        <v>0</v>
      </c>
      <c r="K329" s="27">
        <v>0.24951000000000001</v>
      </c>
      <c r="L329" s="27">
        <v>0</v>
      </c>
      <c r="M329" s="27">
        <v>1.7342E-2</v>
      </c>
      <c r="N329" s="27">
        <v>0.23216800000000001</v>
      </c>
      <c r="O329" s="27">
        <v>0</v>
      </c>
      <c r="P329" s="27">
        <v>0.35994883</v>
      </c>
      <c r="Q329" s="27">
        <v>0</v>
      </c>
      <c r="R329" s="27">
        <v>1.906325E-2</v>
      </c>
      <c r="S329" s="27">
        <v>0.34088558000000002</v>
      </c>
      <c r="T329" s="27">
        <v>0</v>
      </c>
      <c r="U329" s="27">
        <v>3.4750696378830083E-2</v>
      </c>
      <c r="V329" s="27">
        <v>0.24951000000000001</v>
      </c>
      <c r="W329" s="27">
        <v>0</v>
      </c>
      <c r="X329" s="27">
        <f t="shared" ref="X329:X392" si="32">AG329+AI329+AK329</f>
        <v>0</v>
      </c>
      <c r="Y329" s="27">
        <v>0</v>
      </c>
      <c r="Z329" s="27">
        <f t="shared" si="31"/>
        <v>0</v>
      </c>
      <c r="AA329" s="27">
        <v>0</v>
      </c>
      <c r="AB329" s="28">
        <v>0</v>
      </c>
      <c r="AC329" s="27">
        <v>0</v>
      </c>
      <c r="AD329" s="28">
        <v>0</v>
      </c>
      <c r="AE329" s="27">
        <f>0.2944218/1.18</f>
        <v>0.24951000000000001</v>
      </c>
      <c r="AF329" s="28">
        <f>0.4247396194/1.18</f>
        <v>0.35994883</v>
      </c>
      <c r="AG329" s="27">
        <v>0</v>
      </c>
      <c r="AH329" s="28">
        <v>0</v>
      </c>
      <c r="AI329" s="27">
        <v>0</v>
      </c>
      <c r="AJ329" s="27">
        <v>0</v>
      </c>
      <c r="AK329" s="27">
        <v>0</v>
      </c>
      <c r="AL329" s="27">
        <v>0</v>
      </c>
      <c r="AM329" s="27">
        <f t="shared" si="30"/>
        <v>0.35994883</v>
      </c>
      <c r="AN329" s="27">
        <f t="shared" si="29"/>
        <v>0.35994883</v>
      </c>
      <c r="AO329" s="35" t="s">
        <v>1435</v>
      </c>
    </row>
    <row r="330" spans="1:41" ht="31.5" customHeight="1" x14ac:dyDescent="0.25">
      <c r="A330" s="8" t="s">
        <v>92</v>
      </c>
      <c r="B330" s="39" t="s">
        <v>607</v>
      </c>
      <c r="C330" s="29" t="s">
        <v>608</v>
      </c>
      <c r="D330" s="38" t="s">
        <v>1481</v>
      </c>
      <c r="E330" s="30">
        <v>2016</v>
      </c>
      <c r="F330" s="30">
        <v>2016</v>
      </c>
      <c r="G330" s="30" t="s">
        <v>1435</v>
      </c>
      <c r="H330" s="27">
        <v>5.2126044568245128E-2</v>
      </c>
      <c r="I330" s="27">
        <v>6.1150176880222847E-2</v>
      </c>
      <c r="J330" s="27">
        <v>0</v>
      </c>
      <c r="K330" s="27">
        <v>0.37426500000000001</v>
      </c>
      <c r="L330" s="27">
        <v>0</v>
      </c>
      <c r="M330" s="27">
        <v>2.6013000000000001E-2</v>
      </c>
      <c r="N330" s="27">
        <v>0.34825200000000001</v>
      </c>
      <c r="O330" s="27">
        <v>0</v>
      </c>
      <c r="P330" s="27">
        <v>0.43905827000000003</v>
      </c>
      <c r="Q330" s="27">
        <v>0</v>
      </c>
      <c r="R330" s="27">
        <v>2.8480109999999999E-2</v>
      </c>
      <c r="S330" s="27">
        <v>0.41057816000000003</v>
      </c>
      <c r="T330" s="27">
        <v>0</v>
      </c>
      <c r="U330" s="27">
        <v>5.2126044568245128E-2</v>
      </c>
      <c r="V330" s="27">
        <v>0.37426500000000001</v>
      </c>
      <c r="W330" s="27">
        <v>0</v>
      </c>
      <c r="X330" s="27">
        <f t="shared" si="32"/>
        <v>0</v>
      </c>
      <c r="Y330" s="27">
        <v>0</v>
      </c>
      <c r="Z330" s="27">
        <f t="shared" si="31"/>
        <v>0</v>
      </c>
      <c r="AA330" s="27">
        <v>0</v>
      </c>
      <c r="AB330" s="28">
        <v>0</v>
      </c>
      <c r="AC330" s="27">
        <v>0</v>
      </c>
      <c r="AD330" s="28">
        <v>0</v>
      </c>
      <c r="AE330" s="27">
        <f>0.4416327/1.18</f>
        <v>0.37426500000000001</v>
      </c>
      <c r="AF330" s="28">
        <f>0.5180887586/1.18</f>
        <v>0.43905827000000003</v>
      </c>
      <c r="AG330" s="27">
        <v>0</v>
      </c>
      <c r="AH330" s="28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f t="shared" si="30"/>
        <v>0.43905827000000003</v>
      </c>
      <c r="AN330" s="27">
        <f t="shared" si="29"/>
        <v>0.43905827000000003</v>
      </c>
      <c r="AO330" s="35" t="s">
        <v>1435</v>
      </c>
    </row>
    <row r="331" spans="1:41" ht="31.5" customHeight="1" x14ac:dyDescent="0.25">
      <c r="A331" s="8" t="s">
        <v>92</v>
      </c>
      <c r="B331" s="39" t="s">
        <v>609</v>
      </c>
      <c r="C331" s="29" t="s">
        <v>610</v>
      </c>
      <c r="D331" s="38" t="s">
        <v>1481</v>
      </c>
      <c r="E331" s="30">
        <v>2016</v>
      </c>
      <c r="F331" s="30">
        <v>2016</v>
      </c>
      <c r="G331" s="30" t="s">
        <v>1435</v>
      </c>
      <c r="H331" s="27">
        <v>3.4750557103064073E-2</v>
      </c>
      <c r="I331" s="27">
        <v>5.020493871866296E-2</v>
      </c>
      <c r="J331" s="27">
        <v>0</v>
      </c>
      <c r="K331" s="27">
        <v>0.24950900000000004</v>
      </c>
      <c r="L331" s="27">
        <v>0</v>
      </c>
      <c r="M331" s="27">
        <v>1.7342E-2</v>
      </c>
      <c r="N331" s="27">
        <v>0.23216700000000001</v>
      </c>
      <c r="O331" s="27">
        <v>0</v>
      </c>
      <c r="P331" s="27">
        <v>0.36047146000000002</v>
      </c>
      <c r="Q331" s="27">
        <v>0</v>
      </c>
      <c r="R331" s="27">
        <v>1.906325E-2</v>
      </c>
      <c r="S331" s="27">
        <v>0.34140820999999999</v>
      </c>
      <c r="T331" s="27">
        <v>0</v>
      </c>
      <c r="U331" s="27">
        <v>3.4750557103064073E-2</v>
      </c>
      <c r="V331" s="27">
        <v>0.24950900000000004</v>
      </c>
      <c r="W331" s="27">
        <v>0</v>
      </c>
      <c r="X331" s="27">
        <f t="shared" si="32"/>
        <v>0</v>
      </c>
      <c r="Y331" s="27">
        <v>0</v>
      </c>
      <c r="Z331" s="27">
        <f t="shared" si="31"/>
        <v>0</v>
      </c>
      <c r="AA331" s="27">
        <v>0</v>
      </c>
      <c r="AB331" s="28">
        <v>0</v>
      </c>
      <c r="AC331" s="27">
        <v>0</v>
      </c>
      <c r="AD331" s="28">
        <v>0</v>
      </c>
      <c r="AE331" s="27">
        <f>0.29442062/1.18</f>
        <v>0.24950900000000004</v>
      </c>
      <c r="AF331" s="28">
        <f>0.4253563228/1.18</f>
        <v>0.36047146000000002</v>
      </c>
      <c r="AG331" s="27">
        <v>0</v>
      </c>
      <c r="AH331" s="28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f t="shared" si="30"/>
        <v>0.36047146000000002</v>
      </c>
      <c r="AN331" s="27">
        <f t="shared" si="29"/>
        <v>0.36047146000000002</v>
      </c>
      <c r="AO331" s="35" t="s">
        <v>1490</v>
      </c>
    </row>
    <row r="332" spans="1:41" ht="31.5" customHeight="1" x14ac:dyDescent="0.25">
      <c r="A332" s="8" t="s">
        <v>92</v>
      </c>
      <c r="B332" s="39" t="s">
        <v>611</v>
      </c>
      <c r="C332" s="29" t="s">
        <v>612</v>
      </c>
      <c r="D332" s="38" t="s">
        <v>1481</v>
      </c>
      <c r="E332" s="30">
        <v>2016</v>
      </c>
      <c r="F332" s="30">
        <v>2016</v>
      </c>
      <c r="G332" s="30" t="s">
        <v>1435</v>
      </c>
      <c r="H332" s="27">
        <v>5.2126044568245128E-2</v>
      </c>
      <c r="I332" s="27">
        <v>6.0151756267409477E-2</v>
      </c>
      <c r="J332" s="27">
        <v>0</v>
      </c>
      <c r="K332" s="27">
        <v>0.37426500000000001</v>
      </c>
      <c r="L332" s="27">
        <v>0</v>
      </c>
      <c r="M332" s="27">
        <v>2.6013000000000001E-2</v>
      </c>
      <c r="N332" s="27">
        <v>0.34825200000000001</v>
      </c>
      <c r="O332" s="27">
        <v>0</v>
      </c>
      <c r="P332" s="27">
        <v>0.43188961000000003</v>
      </c>
      <c r="Q332" s="27">
        <v>0</v>
      </c>
      <c r="R332" s="27">
        <v>2.4954460000000001E-2</v>
      </c>
      <c r="S332" s="27">
        <v>0.40693515000000002</v>
      </c>
      <c r="T332" s="27">
        <v>0</v>
      </c>
      <c r="U332" s="27">
        <v>5.2126044568245128E-2</v>
      </c>
      <c r="V332" s="27">
        <v>0.37426500000000001</v>
      </c>
      <c r="W332" s="27">
        <v>0</v>
      </c>
      <c r="X332" s="27">
        <f t="shared" si="32"/>
        <v>0</v>
      </c>
      <c r="Y332" s="27">
        <v>0</v>
      </c>
      <c r="Z332" s="27">
        <f t="shared" si="31"/>
        <v>0</v>
      </c>
      <c r="AA332" s="27">
        <v>0</v>
      </c>
      <c r="AB332" s="28">
        <v>0</v>
      </c>
      <c r="AC332" s="27">
        <v>0</v>
      </c>
      <c r="AD332" s="28">
        <v>0</v>
      </c>
      <c r="AE332" s="27">
        <f>0.4416327/1.18</f>
        <v>0.37426500000000001</v>
      </c>
      <c r="AF332" s="28">
        <f>0.5096297398/1.18</f>
        <v>0.43188961000000003</v>
      </c>
      <c r="AG332" s="27">
        <v>0</v>
      </c>
      <c r="AH332" s="28">
        <v>0</v>
      </c>
      <c r="AI332" s="27">
        <v>0</v>
      </c>
      <c r="AJ332" s="27">
        <v>0</v>
      </c>
      <c r="AK332" s="27">
        <v>0</v>
      </c>
      <c r="AL332" s="27">
        <v>0</v>
      </c>
      <c r="AM332" s="27">
        <f t="shared" si="30"/>
        <v>0.43188961000000003</v>
      </c>
      <c r="AN332" s="27">
        <f t="shared" si="29"/>
        <v>0.43188961000000003</v>
      </c>
      <c r="AO332" s="35" t="s">
        <v>1490</v>
      </c>
    </row>
    <row r="333" spans="1:41" ht="31.5" customHeight="1" x14ac:dyDescent="0.25">
      <c r="A333" s="8" t="s">
        <v>92</v>
      </c>
      <c r="B333" s="39" t="s">
        <v>613</v>
      </c>
      <c r="C333" s="29" t="s">
        <v>614</v>
      </c>
      <c r="D333" s="38" t="s">
        <v>1481</v>
      </c>
      <c r="E333" s="30">
        <v>2016</v>
      </c>
      <c r="F333" s="30">
        <v>2016</v>
      </c>
      <c r="G333" s="30" t="s">
        <v>1435</v>
      </c>
      <c r="H333" s="27">
        <v>3.4751114206128135E-2</v>
      </c>
      <c r="I333" s="27">
        <v>5.0375869080779949E-2</v>
      </c>
      <c r="J333" s="27">
        <v>0</v>
      </c>
      <c r="K333" s="27">
        <v>0.24951299999999998</v>
      </c>
      <c r="L333" s="27">
        <v>0</v>
      </c>
      <c r="M333" s="27">
        <v>1.7343000000000001E-2</v>
      </c>
      <c r="N333" s="27">
        <v>0.23216999999999999</v>
      </c>
      <c r="O333" s="27">
        <v>0</v>
      </c>
      <c r="P333" s="27">
        <v>0.36169874000000002</v>
      </c>
      <c r="Q333" s="27">
        <v>0</v>
      </c>
      <c r="R333" s="27">
        <v>1.835034E-2</v>
      </c>
      <c r="S333" s="27">
        <v>0.34334840000000005</v>
      </c>
      <c r="T333" s="27">
        <v>0</v>
      </c>
      <c r="U333" s="27">
        <v>3.4751114206128135E-2</v>
      </c>
      <c r="V333" s="27">
        <v>0.24951299999999998</v>
      </c>
      <c r="W333" s="27">
        <v>0</v>
      </c>
      <c r="X333" s="27">
        <f t="shared" si="32"/>
        <v>0</v>
      </c>
      <c r="Y333" s="27">
        <v>0</v>
      </c>
      <c r="Z333" s="27">
        <f t="shared" si="31"/>
        <v>0</v>
      </c>
      <c r="AA333" s="27">
        <v>0</v>
      </c>
      <c r="AB333" s="28">
        <v>0</v>
      </c>
      <c r="AC333" s="27">
        <v>0</v>
      </c>
      <c r="AD333" s="28">
        <v>0</v>
      </c>
      <c r="AE333" s="27">
        <f>0.29442534/1.18</f>
        <v>0.24951299999999998</v>
      </c>
      <c r="AF333" s="28">
        <f>0.4268045132/1.18</f>
        <v>0.36169874000000002</v>
      </c>
      <c r="AG333" s="27">
        <v>0</v>
      </c>
      <c r="AH333" s="28">
        <v>0</v>
      </c>
      <c r="AI333" s="27">
        <v>0</v>
      </c>
      <c r="AJ333" s="27">
        <v>0</v>
      </c>
      <c r="AK333" s="27">
        <v>0</v>
      </c>
      <c r="AL333" s="27">
        <v>0</v>
      </c>
      <c r="AM333" s="27">
        <f t="shared" si="30"/>
        <v>0.36169874000000002</v>
      </c>
      <c r="AN333" s="27">
        <f t="shared" si="29"/>
        <v>0.36169874000000002</v>
      </c>
      <c r="AO333" s="35" t="s">
        <v>1490</v>
      </c>
    </row>
    <row r="334" spans="1:41" s="2" customFormat="1" ht="31.5" customHeight="1" x14ac:dyDescent="0.25">
      <c r="A334" s="8" t="s">
        <v>92</v>
      </c>
      <c r="B334" s="39" t="s">
        <v>615</v>
      </c>
      <c r="C334" s="29" t="s">
        <v>616</v>
      </c>
      <c r="D334" s="36" t="s">
        <v>1481</v>
      </c>
      <c r="E334" s="30">
        <v>2016</v>
      </c>
      <c r="F334" s="30">
        <v>2016</v>
      </c>
      <c r="G334" s="30" t="s">
        <v>1435</v>
      </c>
      <c r="H334" s="27">
        <v>3.4751114206128135E-2</v>
      </c>
      <c r="I334" s="27">
        <v>5.0298935933147632E-2</v>
      </c>
      <c r="J334" s="27">
        <v>0</v>
      </c>
      <c r="K334" s="27">
        <v>0.24951299999999998</v>
      </c>
      <c r="L334" s="27">
        <v>0</v>
      </c>
      <c r="M334" s="27">
        <v>1.7343000000000001E-2</v>
      </c>
      <c r="N334" s="27">
        <v>0.23216999999999999</v>
      </c>
      <c r="O334" s="27">
        <v>0</v>
      </c>
      <c r="P334" s="27">
        <v>0.36114636</v>
      </c>
      <c r="Q334" s="27">
        <v>0</v>
      </c>
      <c r="R334" s="27">
        <v>1.8706800000000003E-2</v>
      </c>
      <c r="S334" s="27">
        <v>0.34243955999999998</v>
      </c>
      <c r="T334" s="27">
        <v>0</v>
      </c>
      <c r="U334" s="27">
        <v>3.4751114206128135E-2</v>
      </c>
      <c r="V334" s="27">
        <v>0.24951299999999998</v>
      </c>
      <c r="W334" s="27">
        <v>0</v>
      </c>
      <c r="X334" s="27">
        <f t="shared" si="32"/>
        <v>0</v>
      </c>
      <c r="Y334" s="27">
        <v>0</v>
      </c>
      <c r="Z334" s="27">
        <f t="shared" si="31"/>
        <v>0</v>
      </c>
      <c r="AA334" s="27">
        <v>0</v>
      </c>
      <c r="AB334" s="28">
        <v>0</v>
      </c>
      <c r="AC334" s="27">
        <v>0</v>
      </c>
      <c r="AD334" s="28">
        <v>0</v>
      </c>
      <c r="AE334" s="27">
        <f>0.29442534/1.18</f>
        <v>0.24951299999999998</v>
      </c>
      <c r="AF334" s="28">
        <f>0.4261527048/1.18</f>
        <v>0.36114636</v>
      </c>
      <c r="AG334" s="27">
        <v>0</v>
      </c>
      <c r="AH334" s="28">
        <v>0</v>
      </c>
      <c r="AI334" s="27">
        <v>0</v>
      </c>
      <c r="AJ334" s="27">
        <v>0</v>
      </c>
      <c r="AK334" s="27">
        <v>0</v>
      </c>
      <c r="AL334" s="27">
        <v>0</v>
      </c>
      <c r="AM334" s="27">
        <f t="shared" si="30"/>
        <v>0.36114636</v>
      </c>
      <c r="AN334" s="27">
        <f t="shared" si="29"/>
        <v>0.36114636</v>
      </c>
      <c r="AO334" s="35" t="s">
        <v>1490</v>
      </c>
    </row>
    <row r="335" spans="1:41" ht="31.5" customHeight="1" x14ac:dyDescent="0.25">
      <c r="A335" s="8" t="s">
        <v>92</v>
      </c>
      <c r="B335" s="39" t="s">
        <v>617</v>
      </c>
      <c r="C335" s="29" t="s">
        <v>470</v>
      </c>
      <c r="D335" s="38" t="s">
        <v>1481</v>
      </c>
      <c r="E335" s="30">
        <v>2016</v>
      </c>
      <c r="F335" s="30">
        <v>2016</v>
      </c>
      <c r="G335" s="30" t="s">
        <v>1435</v>
      </c>
      <c r="H335" s="27">
        <v>4.7487465181058494E-2</v>
      </c>
      <c r="I335" s="27">
        <v>4.7487869080779947E-2</v>
      </c>
      <c r="J335" s="27">
        <v>0</v>
      </c>
      <c r="K335" s="27">
        <v>0.34095999999999999</v>
      </c>
      <c r="L335" s="27">
        <v>0</v>
      </c>
      <c r="M335" s="27">
        <v>0.19634000000000001</v>
      </c>
      <c r="N335" s="27">
        <v>0.14462</v>
      </c>
      <c r="O335" s="27">
        <v>0</v>
      </c>
      <c r="P335" s="27">
        <v>0.34096290000000001</v>
      </c>
      <c r="Q335" s="27">
        <v>0</v>
      </c>
      <c r="R335" s="27">
        <v>0.19634346</v>
      </c>
      <c r="S335" s="27">
        <v>0.14461943999999999</v>
      </c>
      <c r="T335" s="27">
        <v>0</v>
      </c>
      <c r="U335" s="27">
        <v>4.7487465181058494E-2</v>
      </c>
      <c r="V335" s="27">
        <v>0.34095999999999999</v>
      </c>
      <c r="W335" s="27">
        <v>0</v>
      </c>
      <c r="X335" s="27">
        <f t="shared" si="32"/>
        <v>0</v>
      </c>
      <c r="Y335" s="27">
        <v>0</v>
      </c>
      <c r="Z335" s="27">
        <f t="shared" si="31"/>
        <v>0</v>
      </c>
      <c r="AA335" s="27">
        <v>0</v>
      </c>
      <c r="AB335" s="28">
        <v>0</v>
      </c>
      <c r="AC335" s="27">
        <v>0</v>
      </c>
      <c r="AD335" s="28">
        <v>0</v>
      </c>
      <c r="AE335" s="27">
        <f>0.4023328/1.18</f>
        <v>0.34095999999999999</v>
      </c>
      <c r="AF335" s="28">
        <f>0.402336222/1.18</f>
        <v>0.34096290000000001</v>
      </c>
      <c r="AG335" s="27">
        <v>0</v>
      </c>
      <c r="AH335" s="28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f t="shared" si="30"/>
        <v>0.34096290000000001</v>
      </c>
      <c r="AN335" s="27">
        <f t="shared" si="29"/>
        <v>0.34096290000000001</v>
      </c>
      <c r="AO335" s="35" t="s">
        <v>1490</v>
      </c>
    </row>
    <row r="336" spans="1:41" ht="31.5" customHeight="1" x14ac:dyDescent="0.25">
      <c r="A336" s="8" t="s">
        <v>92</v>
      </c>
      <c r="B336" s="39" t="s">
        <v>618</v>
      </c>
      <c r="C336" s="29" t="s">
        <v>619</v>
      </c>
      <c r="D336" s="38" t="s">
        <v>1481</v>
      </c>
      <c r="E336" s="30">
        <v>2016</v>
      </c>
      <c r="F336" s="30">
        <v>2016</v>
      </c>
      <c r="G336" s="30" t="s">
        <v>1435</v>
      </c>
      <c r="H336" s="27">
        <v>3.2136490250696381E-3</v>
      </c>
      <c r="I336" s="27">
        <v>3.2133802228412256E-3</v>
      </c>
      <c r="J336" s="27">
        <v>0</v>
      </c>
      <c r="K336" s="27">
        <v>2.3074000000000001E-2</v>
      </c>
      <c r="L336" s="27">
        <v>0</v>
      </c>
      <c r="M336" s="27">
        <v>1.5436999999999999E-2</v>
      </c>
      <c r="N336" s="27">
        <v>7.6369999999999997E-3</v>
      </c>
      <c r="O336" s="27">
        <v>0</v>
      </c>
      <c r="P336" s="27">
        <v>2.307207E-2</v>
      </c>
      <c r="Q336" s="27">
        <v>0</v>
      </c>
      <c r="R336" s="27">
        <v>1.54351E-2</v>
      </c>
      <c r="S336" s="27">
        <v>7.6369699999999999E-3</v>
      </c>
      <c r="T336" s="27">
        <v>0</v>
      </c>
      <c r="U336" s="27">
        <v>3.2136490250696381E-3</v>
      </c>
      <c r="V336" s="27">
        <v>2.3074000000000001E-2</v>
      </c>
      <c r="W336" s="27">
        <v>0</v>
      </c>
      <c r="X336" s="27">
        <f t="shared" si="32"/>
        <v>0</v>
      </c>
      <c r="Y336" s="27">
        <v>0</v>
      </c>
      <c r="Z336" s="27">
        <f t="shared" si="31"/>
        <v>0</v>
      </c>
      <c r="AA336" s="27">
        <v>0</v>
      </c>
      <c r="AB336" s="28">
        <v>0</v>
      </c>
      <c r="AC336" s="27">
        <v>0</v>
      </c>
      <c r="AD336" s="28">
        <v>0</v>
      </c>
      <c r="AE336" s="27">
        <f>0.02722732/1.18</f>
        <v>2.3074000000000001E-2</v>
      </c>
      <c r="AF336" s="28">
        <f>0.0272250426/1.18</f>
        <v>2.307207E-2</v>
      </c>
      <c r="AG336" s="27">
        <v>0</v>
      </c>
      <c r="AH336" s="28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f t="shared" si="30"/>
        <v>2.307207E-2</v>
      </c>
      <c r="AN336" s="27">
        <f t="shared" si="29"/>
        <v>2.307207E-2</v>
      </c>
      <c r="AO336" s="35" t="s">
        <v>1490</v>
      </c>
    </row>
    <row r="337" spans="1:41" ht="31.5" customHeight="1" x14ac:dyDescent="0.25">
      <c r="A337" s="8" t="s">
        <v>92</v>
      </c>
      <c r="B337" s="39" t="s">
        <v>620</v>
      </c>
      <c r="C337" s="29" t="s">
        <v>621</v>
      </c>
      <c r="D337" s="38" t="s">
        <v>1481</v>
      </c>
      <c r="E337" s="30">
        <v>2016</v>
      </c>
      <c r="F337" s="30">
        <v>2016</v>
      </c>
      <c r="G337" s="30" t="s">
        <v>1435</v>
      </c>
      <c r="H337" s="27">
        <v>2.3537604456824518E-3</v>
      </c>
      <c r="I337" s="27">
        <v>2.3535473537604455E-3</v>
      </c>
      <c r="J337" s="27">
        <v>0</v>
      </c>
      <c r="K337" s="27">
        <v>1.6900000000000002E-2</v>
      </c>
      <c r="L337" s="27">
        <v>0</v>
      </c>
      <c r="M337" s="27">
        <v>1.107E-2</v>
      </c>
      <c r="N337" s="27">
        <v>5.8300000000000001E-3</v>
      </c>
      <c r="O337" s="27">
        <v>0</v>
      </c>
      <c r="P337" s="27">
        <v>1.6898469999999999E-2</v>
      </c>
      <c r="Q337" s="27">
        <v>0</v>
      </c>
      <c r="R337" s="27">
        <v>1.106852E-2</v>
      </c>
      <c r="S337" s="27">
        <v>5.8299500000000004E-3</v>
      </c>
      <c r="T337" s="27">
        <v>0</v>
      </c>
      <c r="U337" s="27">
        <v>2.3537604456824518E-3</v>
      </c>
      <c r="V337" s="27">
        <v>1.6900000000000002E-2</v>
      </c>
      <c r="W337" s="27">
        <v>0</v>
      </c>
      <c r="X337" s="27">
        <f t="shared" si="32"/>
        <v>0</v>
      </c>
      <c r="Y337" s="27">
        <v>0</v>
      </c>
      <c r="Z337" s="27">
        <f t="shared" si="31"/>
        <v>0</v>
      </c>
      <c r="AA337" s="27">
        <v>0</v>
      </c>
      <c r="AB337" s="28">
        <v>0</v>
      </c>
      <c r="AC337" s="27">
        <v>0</v>
      </c>
      <c r="AD337" s="28">
        <v>0</v>
      </c>
      <c r="AE337" s="27">
        <f>0.019942/1.18</f>
        <v>1.6900000000000002E-2</v>
      </c>
      <c r="AF337" s="28">
        <f>0.0199401946/1.18</f>
        <v>1.6898469999999999E-2</v>
      </c>
      <c r="AG337" s="27">
        <v>0</v>
      </c>
      <c r="AH337" s="28">
        <v>0</v>
      </c>
      <c r="AI337" s="27">
        <v>0</v>
      </c>
      <c r="AJ337" s="27">
        <v>0</v>
      </c>
      <c r="AK337" s="27">
        <v>0</v>
      </c>
      <c r="AL337" s="27">
        <v>0</v>
      </c>
      <c r="AM337" s="27">
        <f t="shared" si="30"/>
        <v>1.6898469999999999E-2</v>
      </c>
      <c r="AN337" s="27">
        <f t="shared" si="29"/>
        <v>1.6898469999999999E-2</v>
      </c>
      <c r="AO337" s="35" t="s">
        <v>1490</v>
      </c>
    </row>
    <row r="338" spans="1:41" ht="31.5" customHeight="1" x14ac:dyDescent="0.25">
      <c r="A338" s="8" t="s">
        <v>92</v>
      </c>
      <c r="B338" s="39" t="s">
        <v>622</v>
      </c>
      <c r="C338" s="29" t="s">
        <v>623</v>
      </c>
      <c r="D338" s="38" t="s">
        <v>1481</v>
      </c>
      <c r="E338" s="30">
        <v>2016</v>
      </c>
      <c r="F338" s="30">
        <v>2016</v>
      </c>
      <c r="G338" s="30" t="s">
        <v>1435</v>
      </c>
      <c r="H338" s="27">
        <v>3.9525069637883015E-3</v>
      </c>
      <c r="I338" s="27">
        <v>1.9314220055710305E-3</v>
      </c>
      <c r="J338" s="27">
        <v>0</v>
      </c>
      <c r="K338" s="27">
        <v>2.8379000000000001E-2</v>
      </c>
      <c r="L338" s="27">
        <v>0</v>
      </c>
      <c r="M338" s="27">
        <v>1.8301999999999999E-2</v>
      </c>
      <c r="N338" s="27">
        <v>1.0076999999999999E-2</v>
      </c>
      <c r="O338" s="27">
        <v>0</v>
      </c>
      <c r="P338" s="27">
        <v>1.3867609999999999E-2</v>
      </c>
      <c r="Q338" s="27">
        <v>0</v>
      </c>
      <c r="R338" s="27">
        <v>9.4237899999999996E-3</v>
      </c>
      <c r="S338" s="27">
        <v>4.4438199999999994E-3</v>
      </c>
      <c r="T338" s="27">
        <v>0</v>
      </c>
      <c r="U338" s="27">
        <v>3.9525069637883015E-3</v>
      </c>
      <c r="V338" s="27">
        <v>2.8379000000000001E-2</v>
      </c>
      <c r="W338" s="27">
        <v>0</v>
      </c>
      <c r="X338" s="27">
        <f t="shared" si="32"/>
        <v>0</v>
      </c>
      <c r="Y338" s="27">
        <v>0</v>
      </c>
      <c r="Z338" s="27">
        <f t="shared" si="31"/>
        <v>0</v>
      </c>
      <c r="AA338" s="27">
        <v>0</v>
      </c>
      <c r="AB338" s="28">
        <v>0</v>
      </c>
      <c r="AC338" s="27">
        <v>0</v>
      </c>
      <c r="AD338" s="28">
        <v>0</v>
      </c>
      <c r="AE338" s="27">
        <f>0.03348722/1.18</f>
        <v>2.8379000000000001E-2</v>
      </c>
      <c r="AF338" s="28">
        <f>0.0163637798/1.18</f>
        <v>1.3867609999999999E-2</v>
      </c>
      <c r="AG338" s="27">
        <v>0</v>
      </c>
      <c r="AH338" s="28">
        <v>0</v>
      </c>
      <c r="AI338" s="27">
        <v>0</v>
      </c>
      <c r="AJ338" s="27">
        <v>0</v>
      </c>
      <c r="AK338" s="27">
        <v>0</v>
      </c>
      <c r="AL338" s="27">
        <v>0</v>
      </c>
      <c r="AM338" s="27">
        <f t="shared" si="30"/>
        <v>1.3867609999999999E-2</v>
      </c>
      <c r="AN338" s="27">
        <f t="shared" si="29"/>
        <v>1.3867609999999999E-2</v>
      </c>
      <c r="AO338" s="35" t="s">
        <v>1490</v>
      </c>
    </row>
    <row r="339" spans="1:41" ht="31.5" customHeight="1" x14ac:dyDescent="0.25">
      <c r="A339" s="8" t="s">
        <v>92</v>
      </c>
      <c r="B339" s="39" t="s">
        <v>624</v>
      </c>
      <c r="C339" s="29" t="s">
        <v>625</v>
      </c>
      <c r="D339" s="38" t="s">
        <v>1481</v>
      </c>
      <c r="E339" s="30">
        <v>2016</v>
      </c>
      <c r="F339" s="30">
        <v>2016</v>
      </c>
      <c r="G339" s="30" t="s">
        <v>1435</v>
      </c>
      <c r="H339" s="27">
        <v>1.7440111420612815E-3</v>
      </c>
      <c r="I339" s="27">
        <v>1.7438844011142063E-3</v>
      </c>
      <c r="J339" s="27">
        <v>0</v>
      </c>
      <c r="K339" s="27">
        <v>1.2522E-2</v>
      </c>
      <c r="L339" s="27">
        <v>0</v>
      </c>
      <c r="M339" s="27">
        <v>8.3920000000000002E-3</v>
      </c>
      <c r="N339" s="27">
        <v>4.13E-3</v>
      </c>
      <c r="O339" s="27">
        <v>0</v>
      </c>
      <c r="P339" s="27">
        <v>1.252109E-2</v>
      </c>
      <c r="Q339" s="27">
        <v>0</v>
      </c>
      <c r="R339" s="27">
        <v>8.3939099999999992E-3</v>
      </c>
      <c r="S339" s="27">
        <v>4.1271800000000003E-3</v>
      </c>
      <c r="T339" s="27">
        <v>0</v>
      </c>
      <c r="U339" s="27">
        <v>1.7440111420612815E-3</v>
      </c>
      <c r="V339" s="27">
        <v>1.2522E-2</v>
      </c>
      <c r="W339" s="27">
        <v>0</v>
      </c>
      <c r="X339" s="27">
        <f t="shared" si="32"/>
        <v>0</v>
      </c>
      <c r="Y339" s="27">
        <v>0</v>
      </c>
      <c r="Z339" s="27">
        <f t="shared" si="31"/>
        <v>0</v>
      </c>
      <c r="AA339" s="27">
        <v>0</v>
      </c>
      <c r="AB339" s="28">
        <v>0</v>
      </c>
      <c r="AC339" s="27">
        <v>0</v>
      </c>
      <c r="AD339" s="28">
        <v>0</v>
      </c>
      <c r="AE339" s="27">
        <f>0.01477596/1.18</f>
        <v>1.2522E-2</v>
      </c>
      <c r="AF339" s="28">
        <f>0.0147748862/1.18</f>
        <v>1.252109E-2</v>
      </c>
      <c r="AG339" s="27">
        <v>0</v>
      </c>
      <c r="AH339" s="28">
        <v>0</v>
      </c>
      <c r="AI339" s="27">
        <v>0</v>
      </c>
      <c r="AJ339" s="27">
        <v>0</v>
      </c>
      <c r="AK339" s="27">
        <v>0</v>
      </c>
      <c r="AL339" s="27">
        <v>0</v>
      </c>
      <c r="AM339" s="27">
        <f t="shared" si="30"/>
        <v>1.252109E-2</v>
      </c>
      <c r="AN339" s="27">
        <f t="shared" ref="AN339:AN402" si="33">AD339+AF339+AH339</f>
        <v>1.252109E-2</v>
      </c>
      <c r="AO339" s="35" t="s">
        <v>1490</v>
      </c>
    </row>
    <row r="340" spans="1:41" ht="31.5" customHeight="1" x14ac:dyDescent="0.25">
      <c r="A340" s="8" t="s">
        <v>92</v>
      </c>
      <c r="B340" s="39" t="s">
        <v>626</v>
      </c>
      <c r="C340" s="29" t="s">
        <v>627</v>
      </c>
      <c r="D340" s="38" t="s">
        <v>1481</v>
      </c>
      <c r="E340" s="30">
        <v>2016</v>
      </c>
      <c r="F340" s="30">
        <v>2016</v>
      </c>
      <c r="G340" s="30" t="s">
        <v>1435</v>
      </c>
      <c r="H340" s="27">
        <v>1.6633704735376047E-3</v>
      </c>
      <c r="I340" s="27">
        <v>1.6635612813370477E-3</v>
      </c>
      <c r="J340" s="27">
        <v>0</v>
      </c>
      <c r="K340" s="27">
        <v>1.1943E-2</v>
      </c>
      <c r="L340" s="27">
        <v>0</v>
      </c>
      <c r="M340" s="27">
        <v>8.3899999999999999E-3</v>
      </c>
      <c r="N340" s="27">
        <v>3.5529999999999997E-3</v>
      </c>
      <c r="O340" s="27">
        <v>0</v>
      </c>
      <c r="P340" s="27">
        <v>1.1944370000000001E-2</v>
      </c>
      <c r="Q340" s="27">
        <v>0</v>
      </c>
      <c r="R340" s="27">
        <v>8.3939099999999992E-3</v>
      </c>
      <c r="S340" s="27">
        <v>3.5504600000000001E-3</v>
      </c>
      <c r="T340" s="27">
        <v>0</v>
      </c>
      <c r="U340" s="27">
        <v>1.6633704735376047E-3</v>
      </c>
      <c r="V340" s="27">
        <v>1.1943E-2</v>
      </c>
      <c r="W340" s="27">
        <v>0</v>
      </c>
      <c r="X340" s="27">
        <f t="shared" si="32"/>
        <v>0</v>
      </c>
      <c r="Y340" s="27">
        <v>0</v>
      </c>
      <c r="Z340" s="27">
        <f t="shared" si="31"/>
        <v>0</v>
      </c>
      <c r="AA340" s="27">
        <v>0</v>
      </c>
      <c r="AB340" s="28">
        <v>0</v>
      </c>
      <c r="AC340" s="27">
        <v>0</v>
      </c>
      <c r="AD340" s="28">
        <v>0</v>
      </c>
      <c r="AE340" s="27">
        <f>0.01409274/1.18</f>
        <v>1.1943E-2</v>
      </c>
      <c r="AF340" s="28">
        <f>0.0140943566/1.18</f>
        <v>1.1944370000000001E-2</v>
      </c>
      <c r="AG340" s="27">
        <v>0</v>
      </c>
      <c r="AH340" s="28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f t="shared" si="30"/>
        <v>1.1944370000000001E-2</v>
      </c>
      <c r="AN340" s="27">
        <f t="shared" si="33"/>
        <v>1.1944370000000001E-2</v>
      </c>
      <c r="AO340" s="35" t="s">
        <v>1490</v>
      </c>
    </row>
    <row r="341" spans="1:41" ht="31.5" customHeight="1" x14ac:dyDescent="0.25">
      <c r="A341" s="8" t="s">
        <v>92</v>
      </c>
      <c r="B341" s="39" t="s">
        <v>628</v>
      </c>
      <c r="C341" s="29" t="s">
        <v>629</v>
      </c>
      <c r="D341" s="38" t="s">
        <v>1481</v>
      </c>
      <c r="E341" s="30">
        <v>2016</v>
      </c>
      <c r="F341" s="30">
        <v>2016</v>
      </c>
      <c r="G341" s="30" t="s">
        <v>1435</v>
      </c>
      <c r="H341" s="27">
        <v>2.3242339832869083E-3</v>
      </c>
      <c r="I341" s="27">
        <v>2.3245376044568251E-3</v>
      </c>
      <c r="J341" s="27">
        <v>0</v>
      </c>
      <c r="K341" s="27">
        <v>1.6688000000000001E-2</v>
      </c>
      <c r="L341" s="27">
        <v>0</v>
      </c>
      <c r="M341" s="27">
        <v>1.107E-2</v>
      </c>
      <c r="N341" s="27">
        <v>5.6180000000000006E-3</v>
      </c>
      <c r="O341" s="27">
        <v>0</v>
      </c>
      <c r="P341" s="27">
        <v>1.6690180000000002E-2</v>
      </c>
      <c r="Q341" s="27">
        <v>0</v>
      </c>
      <c r="R341" s="27">
        <v>1.106852E-2</v>
      </c>
      <c r="S341" s="27">
        <v>5.6216600000000005E-3</v>
      </c>
      <c r="T341" s="27">
        <v>0</v>
      </c>
      <c r="U341" s="27">
        <v>2.3242339832869083E-3</v>
      </c>
      <c r="V341" s="27">
        <v>1.6688000000000001E-2</v>
      </c>
      <c r="W341" s="27">
        <v>0</v>
      </c>
      <c r="X341" s="27">
        <f t="shared" si="32"/>
        <v>0</v>
      </c>
      <c r="Y341" s="27">
        <v>0</v>
      </c>
      <c r="Z341" s="27">
        <f t="shared" si="31"/>
        <v>0</v>
      </c>
      <c r="AA341" s="27">
        <v>0</v>
      </c>
      <c r="AB341" s="28">
        <v>0</v>
      </c>
      <c r="AC341" s="27">
        <v>0</v>
      </c>
      <c r="AD341" s="28">
        <v>0</v>
      </c>
      <c r="AE341" s="27">
        <f>0.01969184/1.18</f>
        <v>1.6688000000000001E-2</v>
      </c>
      <c r="AF341" s="28">
        <f>0.0196944124/1.18</f>
        <v>1.6690180000000002E-2</v>
      </c>
      <c r="AG341" s="27">
        <v>0</v>
      </c>
      <c r="AH341" s="28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f t="shared" si="30"/>
        <v>1.6690180000000002E-2</v>
      </c>
      <c r="AN341" s="27">
        <f t="shared" si="33"/>
        <v>1.6690180000000002E-2</v>
      </c>
      <c r="AO341" s="35" t="s">
        <v>1490</v>
      </c>
    </row>
    <row r="342" spans="1:41" ht="31.5" customHeight="1" x14ac:dyDescent="0.25">
      <c r="A342" s="8" t="s">
        <v>92</v>
      </c>
      <c r="B342" s="39" t="s">
        <v>630</v>
      </c>
      <c r="C342" s="29" t="s">
        <v>631</v>
      </c>
      <c r="D342" s="38" t="s">
        <v>1481</v>
      </c>
      <c r="E342" s="30">
        <v>2016</v>
      </c>
      <c r="F342" s="30">
        <v>2016</v>
      </c>
      <c r="G342" s="30" t="s">
        <v>1435</v>
      </c>
      <c r="H342" s="27">
        <v>3.952646239554318E-3</v>
      </c>
      <c r="I342" s="27">
        <v>4.3210557103064073E-3</v>
      </c>
      <c r="J342" s="27">
        <v>0</v>
      </c>
      <c r="K342" s="27">
        <v>2.8380000000000002E-2</v>
      </c>
      <c r="L342" s="27">
        <v>0</v>
      </c>
      <c r="M342" s="27">
        <v>1.8301999999999999E-2</v>
      </c>
      <c r="N342" s="27">
        <v>1.0078E-2</v>
      </c>
      <c r="O342" s="27">
        <v>0</v>
      </c>
      <c r="P342" s="27">
        <v>3.1025180000000003E-2</v>
      </c>
      <c r="Q342" s="27">
        <v>0</v>
      </c>
      <c r="R342" s="27">
        <v>2.1899660000000001E-2</v>
      </c>
      <c r="S342" s="27">
        <v>9.1255199999999998E-3</v>
      </c>
      <c r="T342" s="27">
        <v>0</v>
      </c>
      <c r="U342" s="27">
        <v>3.952646239554318E-3</v>
      </c>
      <c r="V342" s="27">
        <v>2.8380000000000002E-2</v>
      </c>
      <c r="W342" s="27">
        <v>0</v>
      </c>
      <c r="X342" s="27">
        <f t="shared" si="32"/>
        <v>0</v>
      </c>
      <c r="Y342" s="27">
        <v>0</v>
      </c>
      <c r="Z342" s="27">
        <f t="shared" si="31"/>
        <v>0</v>
      </c>
      <c r="AA342" s="27">
        <v>0</v>
      </c>
      <c r="AB342" s="28">
        <v>0</v>
      </c>
      <c r="AC342" s="27">
        <v>0</v>
      </c>
      <c r="AD342" s="28">
        <v>0</v>
      </c>
      <c r="AE342" s="27">
        <f>0.0334884/1.18</f>
        <v>2.8380000000000002E-2</v>
      </c>
      <c r="AF342" s="28">
        <f>0.0366097124/1.18</f>
        <v>3.1025180000000003E-2</v>
      </c>
      <c r="AG342" s="27">
        <v>0</v>
      </c>
      <c r="AH342" s="28">
        <v>0</v>
      </c>
      <c r="AI342" s="27">
        <v>0</v>
      </c>
      <c r="AJ342" s="27">
        <v>0</v>
      </c>
      <c r="AK342" s="27">
        <v>0</v>
      </c>
      <c r="AL342" s="27">
        <v>0</v>
      </c>
      <c r="AM342" s="27">
        <f t="shared" si="30"/>
        <v>3.1025180000000003E-2</v>
      </c>
      <c r="AN342" s="27">
        <f t="shared" si="33"/>
        <v>3.1025180000000003E-2</v>
      </c>
      <c r="AO342" s="35" t="s">
        <v>1490</v>
      </c>
    </row>
    <row r="343" spans="1:41" ht="31.5" customHeight="1" x14ac:dyDescent="0.25">
      <c r="A343" s="8" t="s">
        <v>92</v>
      </c>
      <c r="B343" s="39" t="s">
        <v>632</v>
      </c>
      <c r="C343" s="29" t="s">
        <v>633</v>
      </c>
      <c r="D343" s="38" t="s">
        <v>1481</v>
      </c>
      <c r="E343" s="30">
        <v>2016</v>
      </c>
      <c r="F343" s="30">
        <v>2016</v>
      </c>
      <c r="G343" s="30" t="s">
        <v>1435</v>
      </c>
      <c r="H343" s="27">
        <v>1.6211699164345407E-3</v>
      </c>
      <c r="I343" s="27">
        <v>1.6206615598885795E-3</v>
      </c>
      <c r="J343" s="27">
        <v>0</v>
      </c>
      <c r="K343" s="27">
        <v>1.1640000000000001E-2</v>
      </c>
      <c r="L343" s="27">
        <v>0</v>
      </c>
      <c r="M343" s="27">
        <v>6.5199999999999998E-3</v>
      </c>
      <c r="N343" s="27">
        <v>5.1200000000000004E-3</v>
      </c>
      <c r="O343" s="27">
        <v>0</v>
      </c>
      <c r="P343" s="27">
        <v>1.163635E-2</v>
      </c>
      <c r="Q343" s="27">
        <v>0</v>
      </c>
      <c r="R343" s="27">
        <v>6.51601E-3</v>
      </c>
      <c r="S343" s="27">
        <v>5.1203399999999993E-3</v>
      </c>
      <c r="T343" s="27">
        <v>0</v>
      </c>
      <c r="U343" s="27">
        <v>1.6211699164345407E-3</v>
      </c>
      <c r="V343" s="27">
        <v>1.1640000000000001E-2</v>
      </c>
      <c r="W343" s="27">
        <v>0</v>
      </c>
      <c r="X343" s="27">
        <f t="shared" si="32"/>
        <v>0</v>
      </c>
      <c r="Y343" s="27">
        <v>0</v>
      </c>
      <c r="Z343" s="27">
        <f t="shared" si="31"/>
        <v>0</v>
      </c>
      <c r="AA343" s="27">
        <v>0</v>
      </c>
      <c r="AB343" s="28">
        <v>0</v>
      </c>
      <c r="AC343" s="27">
        <v>0</v>
      </c>
      <c r="AD343" s="28">
        <v>0</v>
      </c>
      <c r="AE343" s="27">
        <f>0.0137352/1.18</f>
        <v>1.1640000000000001E-2</v>
      </c>
      <c r="AF343" s="28">
        <f>0.013730893/1.18</f>
        <v>1.163635E-2</v>
      </c>
      <c r="AG343" s="27">
        <v>0</v>
      </c>
      <c r="AH343" s="28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f t="shared" si="30"/>
        <v>1.163635E-2</v>
      </c>
      <c r="AN343" s="27">
        <f t="shared" si="33"/>
        <v>1.163635E-2</v>
      </c>
      <c r="AO343" s="35" t="s">
        <v>1435</v>
      </c>
    </row>
    <row r="344" spans="1:41" ht="31.5" customHeight="1" x14ac:dyDescent="0.25">
      <c r="A344" s="8" t="s">
        <v>92</v>
      </c>
      <c r="B344" s="39" t="s">
        <v>634</v>
      </c>
      <c r="C344" s="29" t="s">
        <v>635</v>
      </c>
      <c r="D344" s="38" t="s">
        <v>1481</v>
      </c>
      <c r="E344" s="30">
        <v>2016</v>
      </c>
      <c r="F344" s="30">
        <v>2016</v>
      </c>
      <c r="G344" s="30" t="s">
        <v>1435</v>
      </c>
      <c r="H344" s="27">
        <v>1.838440111420613E-3</v>
      </c>
      <c r="I344" s="27">
        <v>1.8379080779944291E-3</v>
      </c>
      <c r="J344" s="27">
        <v>0</v>
      </c>
      <c r="K344" s="27">
        <v>1.32E-2</v>
      </c>
      <c r="L344" s="27">
        <v>0</v>
      </c>
      <c r="M344" s="27">
        <v>6.9900000000000006E-3</v>
      </c>
      <c r="N344" s="27">
        <v>6.2100000000000002E-3</v>
      </c>
      <c r="O344" s="27">
        <v>0</v>
      </c>
      <c r="P344" s="27">
        <v>1.319618E-2</v>
      </c>
      <c r="Q344" s="27">
        <v>0</v>
      </c>
      <c r="R344" s="27">
        <v>6.9869899999999993E-3</v>
      </c>
      <c r="S344" s="27">
        <v>6.2091900000000007E-3</v>
      </c>
      <c r="T344" s="27">
        <v>0</v>
      </c>
      <c r="U344" s="27">
        <v>1.838440111420613E-3</v>
      </c>
      <c r="V344" s="27">
        <v>1.32E-2</v>
      </c>
      <c r="W344" s="27">
        <v>0</v>
      </c>
      <c r="X344" s="27">
        <f t="shared" si="32"/>
        <v>0</v>
      </c>
      <c r="Y344" s="27">
        <v>0</v>
      </c>
      <c r="Z344" s="27">
        <f t="shared" si="31"/>
        <v>0</v>
      </c>
      <c r="AA344" s="27">
        <v>0</v>
      </c>
      <c r="AB344" s="28">
        <v>0</v>
      </c>
      <c r="AC344" s="27">
        <v>0</v>
      </c>
      <c r="AD344" s="28">
        <v>0</v>
      </c>
      <c r="AE344" s="27">
        <f>0.015576/1.18</f>
        <v>1.32E-2</v>
      </c>
      <c r="AF344" s="28">
        <f>0.0155714924/1.18</f>
        <v>1.319618E-2</v>
      </c>
      <c r="AG344" s="27">
        <v>0</v>
      </c>
      <c r="AH344" s="28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f t="shared" si="30"/>
        <v>1.319618E-2</v>
      </c>
      <c r="AN344" s="27">
        <f t="shared" si="33"/>
        <v>1.319618E-2</v>
      </c>
      <c r="AO344" s="35" t="s">
        <v>1435</v>
      </c>
    </row>
    <row r="345" spans="1:41" ht="31.5" customHeight="1" x14ac:dyDescent="0.25">
      <c r="A345" s="8" t="s">
        <v>92</v>
      </c>
      <c r="B345" s="39" t="s">
        <v>636</v>
      </c>
      <c r="C345" s="29" t="s">
        <v>637</v>
      </c>
      <c r="D345" s="38" t="s">
        <v>1481</v>
      </c>
      <c r="E345" s="30">
        <v>2016</v>
      </c>
      <c r="F345" s="30">
        <v>2016</v>
      </c>
      <c r="G345" s="30" t="s">
        <v>1435</v>
      </c>
      <c r="H345" s="27">
        <v>3.6169916434540396E-3</v>
      </c>
      <c r="I345" s="27">
        <v>3.6168732590529254E-3</v>
      </c>
      <c r="J345" s="27">
        <v>0</v>
      </c>
      <c r="K345" s="27">
        <v>2.5970000000000003E-2</v>
      </c>
      <c r="L345" s="27">
        <v>0</v>
      </c>
      <c r="M345" s="27">
        <v>8.9899999999999997E-3</v>
      </c>
      <c r="N345" s="27">
        <v>1.6980000000000002E-2</v>
      </c>
      <c r="O345" s="27">
        <v>0</v>
      </c>
      <c r="P345" s="27">
        <v>2.5969150000000003E-2</v>
      </c>
      <c r="Q345" s="27">
        <v>0</v>
      </c>
      <c r="R345" s="27">
        <v>8.98937E-3</v>
      </c>
      <c r="S345" s="27">
        <v>1.6979780000000003E-2</v>
      </c>
      <c r="T345" s="27">
        <v>0</v>
      </c>
      <c r="U345" s="27">
        <v>3.6169916434540396E-3</v>
      </c>
      <c r="V345" s="27">
        <v>2.5970000000000003E-2</v>
      </c>
      <c r="W345" s="27">
        <v>0</v>
      </c>
      <c r="X345" s="27">
        <f t="shared" si="32"/>
        <v>0</v>
      </c>
      <c r="Y345" s="27">
        <v>0</v>
      </c>
      <c r="Z345" s="27">
        <f t="shared" si="31"/>
        <v>0</v>
      </c>
      <c r="AA345" s="27">
        <v>0</v>
      </c>
      <c r="AB345" s="28">
        <v>0</v>
      </c>
      <c r="AC345" s="27">
        <v>0</v>
      </c>
      <c r="AD345" s="28">
        <v>0</v>
      </c>
      <c r="AE345" s="27">
        <f>0.0306446/1.18</f>
        <v>2.5970000000000003E-2</v>
      </c>
      <c r="AF345" s="28">
        <f>0.030643597/1.18</f>
        <v>2.5969150000000003E-2</v>
      </c>
      <c r="AG345" s="27">
        <v>0</v>
      </c>
      <c r="AH345" s="28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f t="shared" si="30"/>
        <v>2.5969150000000003E-2</v>
      </c>
      <c r="AN345" s="27">
        <f t="shared" si="33"/>
        <v>2.5969150000000003E-2</v>
      </c>
      <c r="AO345" s="35" t="s">
        <v>1435</v>
      </c>
    </row>
    <row r="346" spans="1:41" ht="31.5" customHeight="1" x14ac:dyDescent="0.25">
      <c r="A346" s="8" t="s">
        <v>92</v>
      </c>
      <c r="B346" s="39" t="s">
        <v>638</v>
      </c>
      <c r="C346" s="29" t="s">
        <v>639</v>
      </c>
      <c r="D346" s="38" t="s">
        <v>1481</v>
      </c>
      <c r="E346" s="30">
        <v>2016</v>
      </c>
      <c r="F346" s="30">
        <v>2016</v>
      </c>
      <c r="G346" s="30" t="s">
        <v>1435</v>
      </c>
      <c r="H346" s="27">
        <v>1.7682451253481896E-3</v>
      </c>
      <c r="I346" s="27">
        <v>1.7687214484679668E-3</v>
      </c>
      <c r="J346" s="27">
        <v>0</v>
      </c>
      <c r="K346" s="27">
        <v>1.2696000000000001E-2</v>
      </c>
      <c r="L346" s="27">
        <v>0</v>
      </c>
      <c r="M346" s="27">
        <v>5.1529999999999996E-3</v>
      </c>
      <c r="N346" s="27">
        <v>7.5430000000000002E-3</v>
      </c>
      <c r="O346" s="27">
        <v>0</v>
      </c>
      <c r="P346" s="27">
        <v>1.2699420000000001E-2</v>
      </c>
      <c r="Q346" s="27">
        <v>0</v>
      </c>
      <c r="R346" s="27">
        <v>5.1547700000000004E-3</v>
      </c>
      <c r="S346" s="27">
        <v>7.54465E-3</v>
      </c>
      <c r="T346" s="27">
        <v>0</v>
      </c>
      <c r="U346" s="27">
        <v>1.7682451253481896E-3</v>
      </c>
      <c r="V346" s="27">
        <v>1.2696000000000001E-2</v>
      </c>
      <c r="W346" s="27">
        <v>0</v>
      </c>
      <c r="X346" s="27">
        <f t="shared" si="32"/>
        <v>0</v>
      </c>
      <c r="Y346" s="27">
        <v>0</v>
      </c>
      <c r="Z346" s="27">
        <f t="shared" si="31"/>
        <v>0</v>
      </c>
      <c r="AA346" s="27">
        <v>0</v>
      </c>
      <c r="AB346" s="28">
        <v>0</v>
      </c>
      <c r="AC346" s="27">
        <v>0</v>
      </c>
      <c r="AD346" s="28">
        <v>0</v>
      </c>
      <c r="AE346" s="27">
        <f>0.01498128/1.18</f>
        <v>1.2696000000000001E-2</v>
      </c>
      <c r="AF346" s="28">
        <f>0.0149853156/1.18</f>
        <v>1.2699420000000001E-2</v>
      </c>
      <c r="AG346" s="27">
        <v>0</v>
      </c>
      <c r="AH346" s="28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f t="shared" si="30"/>
        <v>1.2699420000000001E-2</v>
      </c>
      <c r="AN346" s="27">
        <f t="shared" si="33"/>
        <v>1.2699420000000001E-2</v>
      </c>
      <c r="AO346" s="35" t="s">
        <v>1490</v>
      </c>
    </row>
    <row r="347" spans="1:41" ht="31.5" customHeight="1" x14ac:dyDescent="0.25">
      <c r="A347" s="8" t="s">
        <v>92</v>
      </c>
      <c r="B347" s="39" t="s">
        <v>640</v>
      </c>
      <c r="C347" s="29" t="s">
        <v>641</v>
      </c>
      <c r="D347" s="38" t="s">
        <v>1481</v>
      </c>
      <c r="E347" s="30">
        <v>2016</v>
      </c>
      <c r="F347" s="30">
        <v>2016</v>
      </c>
      <c r="G347" s="30" t="s">
        <v>1435</v>
      </c>
      <c r="H347" s="27">
        <v>1.9766016713091924E-3</v>
      </c>
      <c r="I347" s="27">
        <v>2.2209331476323122E-3</v>
      </c>
      <c r="J347" s="27">
        <v>0</v>
      </c>
      <c r="K347" s="27">
        <v>1.4192000000000001E-2</v>
      </c>
      <c r="L347" s="27">
        <v>0</v>
      </c>
      <c r="M347" s="27">
        <v>9.1519999999999987E-3</v>
      </c>
      <c r="N347" s="27">
        <v>5.0400000000000002E-3</v>
      </c>
      <c r="O347" s="27">
        <v>0</v>
      </c>
      <c r="P347" s="27">
        <v>1.59463E-2</v>
      </c>
      <c r="Q347" s="27">
        <v>0</v>
      </c>
      <c r="R347" s="27">
        <v>8.3554200000000006E-3</v>
      </c>
      <c r="S347" s="27">
        <v>7.5908800000000004E-3</v>
      </c>
      <c r="T347" s="27">
        <v>0</v>
      </c>
      <c r="U347" s="27">
        <v>1.9766016713091924E-3</v>
      </c>
      <c r="V347" s="27">
        <v>1.4192000000000001E-2</v>
      </c>
      <c r="W347" s="27">
        <v>0</v>
      </c>
      <c r="X347" s="27">
        <f t="shared" si="32"/>
        <v>0</v>
      </c>
      <c r="Y347" s="27">
        <v>0</v>
      </c>
      <c r="Z347" s="27">
        <f t="shared" si="31"/>
        <v>0</v>
      </c>
      <c r="AA347" s="27">
        <v>0</v>
      </c>
      <c r="AB347" s="28">
        <v>0</v>
      </c>
      <c r="AC347" s="27">
        <v>0</v>
      </c>
      <c r="AD347" s="28">
        <v>0</v>
      </c>
      <c r="AE347" s="27">
        <f>0.01674656/1.18</f>
        <v>1.4192000000000001E-2</v>
      </c>
      <c r="AF347" s="28">
        <f>0.018816634/1.18</f>
        <v>1.59463E-2</v>
      </c>
      <c r="AG347" s="27">
        <v>0</v>
      </c>
      <c r="AH347" s="28">
        <v>0</v>
      </c>
      <c r="AI347" s="27">
        <v>0</v>
      </c>
      <c r="AJ347" s="27">
        <v>0</v>
      </c>
      <c r="AK347" s="27">
        <v>0</v>
      </c>
      <c r="AL347" s="27">
        <v>0</v>
      </c>
      <c r="AM347" s="27">
        <f t="shared" ref="AM347:AM410" si="34">AD347+AF347+AG347+AI347+AK347</f>
        <v>1.59463E-2</v>
      </c>
      <c r="AN347" s="27">
        <f t="shared" si="33"/>
        <v>1.59463E-2</v>
      </c>
      <c r="AO347" s="35" t="s">
        <v>1435</v>
      </c>
    </row>
    <row r="348" spans="1:41" ht="31.5" customHeight="1" x14ac:dyDescent="0.25">
      <c r="A348" s="8" t="s">
        <v>92</v>
      </c>
      <c r="B348" s="39" t="s">
        <v>642</v>
      </c>
      <c r="C348" s="29" t="s">
        <v>643</v>
      </c>
      <c r="D348" s="38" t="s">
        <v>1481</v>
      </c>
      <c r="E348" s="30">
        <v>2016</v>
      </c>
      <c r="F348" s="30">
        <v>2016</v>
      </c>
      <c r="G348" s="30" t="s">
        <v>1435</v>
      </c>
      <c r="H348" s="27">
        <v>2.4182451253481896E-3</v>
      </c>
      <c r="I348" s="27">
        <v>2.4181713091922007E-3</v>
      </c>
      <c r="J348" s="27">
        <v>0</v>
      </c>
      <c r="K348" s="27">
        <v>1.7363E-2</v>
      </c>
      <c r="L348" s="27">
        <v>0</v>
      </c>
      <c r="M348" s="27">
        <v>1.1233E-2</v>
      </c>
      <c r="N348" s="27">
        <v>6.13E-3</v>
      </c>
      <c r="O348" s="27">
        <v>0</v>
      </c>
      <c r="P348" s="27">
        <v>1.7362470000000001E-2</v>
      </c>
      <c r="Q348" s="27">
        <v>0</v>
      </c>
      <c r="R348" s="27">
        <v>1.123092E-2</v>
      </c>
      <c r="S348" s="27">
        <v>6.1315499999999995E-3</v>
      </c>
      <c r="T348" s="27">
        <v>0</v>
      </c>
      <c r="U348" s="27">
        <v>2.4182451253481896E-3</v>
      </c>
      <c r="V348" s="27">
        <v>1.7363E-2</v>
      </c>
      <c r="W348" s="27">
        <v>0</v>
      </c>
      <c r="X348" s="27">
        <f t="shared" si="32"/>
        <v>0</v>
      </c>
      <c r="Y348" s="27">
        <v>0</v>
      </c>
      <c r="Z348" s="27">
        <f t="shared" si="31"/>
        <v>0</v>
      </c>
      <c r="AA348" s="27">
        <v>0</v>
      </c>
      <c r="AB348" s="28">
        <v>0</v>
      </c>
      <c r="AC348" s="27">
        <v>0</v>
      </c>
      <c r="AD348" s="28">
        <v>0</v>
      </c>
      <c r="AE348" s="27">
        <f>0.02048834/1.18</f>
        <v>1.7363E-2</v>
      </c>
      <c r="AF348" s="28">
        <f>0.0204877146/1.18</f>
        <v>1.7362470000000001E-2</v>
      </c>
      <c r="AG348" s="27">
        <v>0</v>
      </c>
      <c r="AH348" s="28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f t="shared" si="34"/>
        <v>1.7362470000000001E-2</v>
      </c>
      <c r="AN348" s="27">
        <f t="shared" si="33"/>
        <v>1.7362470000000001E-2</v>
      </c>
      <c r="AO348" s="35" t="s">
        <v>1435</v>
      </c>
    </row>
    <row r="349" spans="1:41" ht="31.5" customHeight="1" x14ac:dyDescent="0.25">
      <c r="A349" s="8" t="s">
        <v>92</v>
      </c>
      <c r="B349" s="39" t="s">
        <v>644</v>
      </c>
      <c r="C349" s="29" t="s">
        <v>645</v>
      </c>
      <c r="D349" s="38" t="s">
        <v>1481</v>
      </c>
      <c r="E349" s="30">
        <v>2016</v>
      </c>
      <c r="F349" s="30">
        <v>2016</v>
      </c>
      <c r="G349" s="30" t="s">
        <v>1435</v>
      </c>
      <c r="H349" s="27">
        <v>1.2757660167130921E-3</v>
      </c>
      <c r="I349" s="27">
        <v>1.275490250696379E-3</v>
      </c>
      <c r="J349" s="27">
        <v>0</v>
      </c>
      <c r="K349" s="27">
        <v>9.1600000000000015E-3</v>
      </c>
      <c r="L349" s="27">
        <v>0</v>
      </c>
      <c r="M349" s="27">
        <v>5.1999999999999998E-3</v>
      </c>
      <c r="N349" s="27">
        <v>3.96E-3</v>
      </c>
      <c r="O349" s="27">
        <v>0</v>
      </c>
      <c r="P349" s="27">
        <v>9.1580200000000011E-3</v>
      </c>
      <c r="Q349" s="27">
        <v>0</v>
      </c>
      <c r="R349" s="27">
        <v>5.2011799999999997E-3</v>
      </c>
      <c r="S349" s="27">
        <v>3.9568400000000005E-3</v>
      </c>
      <c r="T349" s="27">
        <v>0</v>
      </c>
      <c r="U349" s="27">
        <v>1.2757660167130921E-3</v>
      </c>
      <c r="V349" s="27">
        <v>9.1600000000000015E-3</v>
      </c>
      <c r="W349" s="27">
        <v>0</v>
      </c>
      <c r="X349" s="27">
        <f t="shared" si="32"/>
        <v>0</v>
      </c>
      <c r="Y349" s="27">
        <v>0</v>
      </c>
      <c r="Z349" s="27">
        <f t="shared" si="31"/>
        <v>0</v>
      </c>
      <c r="AA349" s="27">
        <v>0</v>
      </c>
      <c r="AB349" s="28">
        <v>0</v>
      </c>
      <c r="AC349" s="27">
        <v>0</v>
      </c>
      <c r="AD349" s="28">
        <v>0</v>
      </c>
      <c r="AE349" s="27">
        <f>0.0108088/1.18</f>
        <v>9.1600000000000015E-3</v>
      </c>
      <c r="AF349" s="28">
        <f>0.0108064636/1.18</f>
        <v>9.1580200000000011E-3</v>
      </c>
      <c r="AG349" s="27">
        <v>0</v>
      </c>
      <c r="AH349" s="28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f t="shared" si="34"/>
        <v>9.1580200000000011E-3</v>
      </c>
      <c r="AN349" s="27">
        <f t="shared" si="33"/>
        <v>9.1580200000000011E-3</v>
      </c>
      <c r="AO349" s="35" t="s">
        <v>1435</v>
      </c>
    </row>
    <row r="350" spans="1:41" ht="31.5" customHeight="1" x14ac:dyDescent="0.25">
      <c r="A350" s="8" t="s">
        <v>92</v>
      </c>
      <c r="B350" s="39" t="s">
        <v>646</v>
      </c>
      <c r="C350" s="29" t="s">
        <v>647</v>
      </c>
      <c r="D350" s="38" t="s">
        <v>1481</v>
      </c>
      <c r="E350" s="30">
        <v>2016</v>
      </c>
      <c r="F350" s="30">
        <v>2016</v>
      </c>
      <c r="G350" s="30" t="s">
        <v>1435</v>
      </c>
      <c r="H350" s="27">
        <v>1.4456824512534821E-3</v>
      </c>
      <c r="I350" s="27">
        <v>1.4461434540389971E-3</v>
      </c>
      <c r="J350" s="27">
        <v>0</v>
      </c>
      <c r="K350" s="27">
        <v>1.038E-2</v>
      </c>
      <c r="L350" s="27">
        <v>0</v>
      </c>
      <c r="M350" s="27">
        <v>5.3400000000000001E-3</v>
      </c>
      <c r="N350" s="27">
        <v>5.0400000000000002E-3</v>
      </c>
      <c r="O350" s="27">
        <v>0</v>
      </c>
      <c r="P350" s="27">
        <v>1.038331E-2</v>
      </c>
      <c r="Q350" s="27">
        <v>0</v>
      </c>
      <c r="R350" s="27">
        <v>5.0407300000000002E-3</v>
      </c>
      <c r="S350" s="27">
        <v>5.3425799999999996E-3</v>
      </c>
      <c r="T350" s="27">
        <v>0</v>
      </c>
      <c r="U350" s="27">
        <v>1.4456824512534821E-3</v>
      </c>
      <c r="V350" s="27">
        <v>1.038E-2</v>
      </c>
      <c r="W350" s="27">
        <v>0</v>
      </c>
      <c r="X350" s="27">
        <f t="shared" si="32"/>
        <v>0</v>
      </c>
      <c r="Y350" s="27">
        <v>0</v>
      </c>
      <c r="Z350" s="27">
        <f t="shared" si="31"/>
        <v>0</v>
      </c>
      <c r="AA350" s="27">
        <v>0</v>
      </c>
      <c r="AB350" s="28">
        <v>0</v>
      </c>
      <c r="AC350" s="27">
        <v>0</v>
      </c>
      <c r="AD350" s="28">
        <v>0</v>
      </c>
      <c r="AE350" s="27">
        <f>0.0122484/1.18</f>
        <v>1.038E-2</v>
      </c>
      <c r="AF350" s="28">
        <f>0.0122523058/1.18</f>
        <v>1.038331E-2</v>
      </c>
      <c r="AG350" s="27">
        <v>0</v>
      </c>
      <c r="AH350" s="28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f t="shared" si="34"/>
        <v>1.038331E-2</v>
      </c>
      <c r="AN350" s="27">
        <f t="shared" si="33"/>
        <v>1.038331E-2</v>
      </c>
      <c r="AO350" s="35" t="s">
        <v>1490</v>
      </c>
    </row>
    <row r="351" spans="1:41" ht="31.5" customHeight="1" x14ac:dyDescent="0.25">
      <c r="A351" s="8" t="s">
        <v>92</v>
      </c>
      <c r="B351" s="39" t="s">
        <v>648</v>
      </c>
      <c r="C351" s="29" t="s">
        <v>649</v>
      </c>
      <c r="D351" s="38" t="s">
        <v>1481</v>
      </c>
      <c r="E351" s="30">
        <v>2016</v>
      </c>
      <c r="F351" s="30">
        <v>2016</v>
      </c>
      <c r="G351" s="30" t="s">
        <v>1435</v>
      </c>
      <c r="H351" s="27">
        <v>2.3203342618384405E-3</v>
      </c>
      <c r="I351" s="27">
        <v>2.3206420612813371E-3</v>
      </c>
      <c r="J351" s="27">
        <v>0</v>
      </c>
      <c r="K351" s="27">
        <v>1.6660000000000001E-2</v>
      </c>
      <c r="L351" s="27">
        <v>0</v>
      </c>
      <c r="M351" s="27">
        <v>1.0630000000000001E-2</v>
      </c>
      <c r="N351" s="27">
        <v>6.0300000000000006E-3</v>
      </c>
      <c r="O351" s="27">
        <v>0</v>
      </c>
      <c r="P351" s="27">
        <v>1.666221E-2</v>
      </c>
      <c r="Q351" s="27">
        <v>0</v>
      </c>
      <c r="R351" s="27">
        <v>1.0630789999999999E-2</v>
      </c>
      <c r="S351" s="27">
        <v>6.03142E-3</v>
      </c>
      <c r="T351" s="27">
        <v>0</v>
      </c>
      <c r="U351" s="27">
        <v>2.3203342618384405E-3</v>
      </c>
      <c r="V351" s="27">
        <v>1.6660000000000001E-2</v>
      </c>
      <c r="W351" s="27">
        <v>0</v>
      </c>
      <c r="X351" s="27">
        <f t="shared" si="32"/>
        <v>0</v>
      </c>
      <c r="Y351" s="27">
        <v>0</v>
      </c>
      <c r="Z351" s="27">
        <f t="shared" si="31"/>
        <v>0</v>
      </c>
      <c r="AA351" s="27">
        <v>0</v>
      </c>
      <c r="AB351" s="28">
        <v>0</v>
      </c>
      <c r="AC351" s="27">
        <v>0</v>
      </c>
      <c r="AD351" s="28">
        <v>0</v>
      </c>
      <c r="AE351" s="27">
        <f>0.0196588/1.18</f>
        <v>1.6660000000000001E-2</v>
      </c>
      <c r="AF351" s="28">
        <f>0.0196614078/1.18</f>
        <v>1.666221E-2</v>
      </c>
      <c r="AG351" s="27">
        <v>0</v>
      </c>
      <c r="AH351" s="28">
        <v>0</v>
      </c>
      <c r="AI351" s="27">
        <v>0</v>
      </c>
      <c r="AJ351" s="27">
        <v>0</v>
      </c>
      <c r="AK351" s="27">
        <v>0</v>
      </c>
      <c r="AL351" s="27">
        <v>0</v>
      </c>
      <c r="AM351" s="27">
        <f t="shared" si="34"/>
        <v>1.666221E-2</v>
      </c>
      <c r="AN351" s="27">
        <f t="shared" si="33"/>
        <v>1.666221E-2</v>
      </c>
      <c r="AO351" s="35" t="s">
        <v>1435</v>
      </c>
    </row>
    <row r="352" spans="1:41" ht="31.5" customHeight="1" x14ac:dyDescent="0.25">
      <c r="A352" s="8" t="s">
        <v>92</v>
      </c>
      <c r="B352" s="39" t="s">
        <v>650</v>
      </c>
      <c r="C352" s="29" t="s">
        <v>651</v>
      </c>
      <c r="D352" s="38" t="s">
        <v>1481</v>
      </c>
      <c r="E352" s="30">
        <v>2016</v>
      </c>
      <c r="F352" s="30">
        <v>2016</v>
      </c>
      <c r="G352" s="30" t="s">
        <v>1435</v>
      </c>
      <c r="H352" s="27">
        <v>3.7994428969359336E-3</v>
      </c>
      <c r="I352" s="27">
        <v>3.7994665738161565E-3</v>
      </c>
      <c r="J352" s="27">
        <v>0</v>
      </c>
      <c r="K352" s="27">
        <v>2.7280000000000002E-2</v>
      </c>
      <c r="L352" s="27">
        <v>0</v>
      </c>
      <c r="M352" s="27">
        <v>1.5099999999999999E-2</v>
      </c>
      <c r="N352" s="27">
        <v>1.218E-2</v>
      </c>
      <c r="O352" s="27">
        <v>0</v>
      </c>
      <c r="P352" s="27">
        <v>2.7280170000000003E-2</v>
      </c>
      <c r="Q352" s="27">
        <v>0</v>
      </c>
      <c r="R352" s="27">
        <v>1.5099959999999999E-2</v>
      </c>
      <c r="S352" s="27">
        <v>1.218021E-2</v>
      </c>
      <c r="T352" s="27">
        <v>0</v>
      </c>
      <c r="U352" s="27">
        <v>3.7994428969359336E-3</v>
      </c>
      <c r="V352" s="27">
        <v>2.7280000000000002E-2</v>
      </c>
      <c r="W352" s="27">
        <v>0</v>
      </c>
      <c r="X352" s="27">
        <f t="shared" si="32"/>
        <v>0</v>
      </c>
      <c r="Y352" s="27">
        <v>0</v>
      </c>
      <c r="Z352" s="27">
        <f t="shared" si="31"/>
        <v>0</v>
      </c>
      <c r="AA352" s="27">
        <v>0</v>
      </c>
      <c r="AB352" s="28">
        <v>0</v>
      </c>
      <c r="AC352" s="27">
        <v>0</v>
      </c>
      <c r="AD352" s="28">
        <v>0</v>
      </c>
      <c r="AE352" s="27">
        <f>0.0321904/1.18</f>
        <v>2.7280000000000002E-2</v>
      </c>
      <c r="AF352" s="28">
        <f>0.0321906006/1.18</f>
        <v>2.7280170000000003E-2</v>
      </c>
      <c r="AG352" s="27">
        <v>0</v>
      </c>
      <c r="AH352" s="28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f t="shared" si="34"/>
        <v>2.7280170000000003E-2</v>
      </c>
      <c r="AN352" s="27">
        <f t="shared" si="33"/>
        <v>2.7280170000000003E-2</v>
      </c>
      <c r="AO352" s="35" t="s">
        <v>1435</v>
      </c>
    </row>
    <row r="353" spans="1:41" ht="31.5" customHeight="1" x14ac:dyDescent="0.25">
      <c r="A353" s="8" t="s">
        <v>92</v>
      </c>
      <c r="B353" s="39" t="s">
        <v>652</v>
      </c>
      <c r="C353" s="29" t="s">
        <v>653</v>
      </c>
      <c r="D353" s="38" t="s">
        <v>1481</v>
      </c>
      <c r="E353" s="30">
        <v>2016</v>
      </c>
      <c r="F353" s="30">
        <v>2016</v>
      </c>
      <c r="G353" s="30" t="s">
        <v>1435</v>
      </c>
      <c r="H353" s="27">
        <v>2.8286908077994432E-3</v>
      </c>
      <c r="I353" s="27">
        <v>2.8280905292479112E-3</v>
      </c>
      <c r="J353" s="27">
        <v>0</v>
      </c>
      <c r="K353" s="27">
        <v>2.0310000000000002E-2</v>
      </c>
      <c r="L353" s="27">
        <v>0</v>
      </c>
      <c r="M353" s="27">
        <v>1.311E-2</v>
      </c>
      <c r="N353" s="27">
        <v>7.1999999999999998E-3</v>
      </c>
      <c r="O353" s="27">
        <v>0</v>
      </c>
      <c r="P353" s="27">
        <v>2.0305690000000001E-2</v>
      </c>
      <c r="Q353" s="27">
        <v>0</v>
      </c>
      <c r="R353" s="27">
        <v>1.310849E-2</v>
      </c>
      <c r="S353" s="27">
        <v>7.1972E-3</v>
      </c>
      <c r="T353" s="27">
        <v>0</v>
      </c>
      <c r="U353" s="27">
        <v>2.8286908077994432E-3</v>
      </c>
      <c r="V353" s="27">
        <v>2.0310000000000002E-2</v>
      </c>
      <c r="W353" s="27">
        <v>0</v>
      </c>
      <c r="X353" s="27">
        <f t="shared" si="32"/>
        <v>0</v>
      </c>
      <c r="Y353" s="27">
        <v>0</v>
      </c>
      <c r="Z353" s="27">
        <f t="shared" si="31"/>
        <v>0</v>
      </c>
      <c r="AA353" s="27">
        <v>0</v>
      </c>
      <c r="AB353" s="28">
        <v>0</v>
      </c>
      <c r="AC353" s="27">
        <v>0</v>
      </c>
      <c r="AD353" s="28">
        <v>0</v>
      </c>
      <c r="AE353" s="27">
        <f>0.0239658/1.18</f>
        <v>2.0310000000000002E-2</v>
      </c>
      <c r="AF353" s="28">
        <f>0.0239607142/1.18</f>
        <v>2.0305690000000001E-2</v>
      </c>
      <c r="AG353" s="27">
        <v>0</v>
      </c>
      <c r="AH353" s="28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f t="shared" si="34"/>
        <v>2.0305690000000001E-2</v>
      </c>
      <c r="AN353" s="27">
        <f t="shared" si="33"/>
        <v>2.0305690000000001E-2</v>
      </c>
      <c r="AO353" s="35" t="s">
        <v>1435</v>
      </c>
    </row>
    <row r="354" spans="1:41" ht="31.5" customHeight="1" x14ac:dyDescent="0.25">
      <c r="A354" s="8" t="s">
        <v>92</v>
      </c>
      <c r="B354" s="39" t="s">
        <v>654</v>
      </c>
      <c r="C354" s="29" t="s">
        <v>655</v>
      </c>
      <c r="D354" s="38" t="s">
        <v>1481</v>
      </c>
      <c r="E354" s="30">
        <v>2016</v>
      </c>
      <c r="F354" s="30">
        <v>2016</v>
      </c>
      <c r="G354" s="30" t="s">
        <v>1435</v>
      </c>
      <c r="H354" s="27">
        <v>2.5334261838440113E-3</v>
      </c>
      <c r="I354" s="27">
        <v>2.5332061281337047E-3</v>
      </c>
      <c r="J354" s="27">
        <v>0</v>
      </c>
      <c r="K354" s="27">
        <v>1.8190000000000001E-2</v>
      </c>
      <c r="L354" s="27">
        <v>0</v>
      </c>
      <c r="M354" s="27">
        <v>1.065E-2</v>
      </c>
      <c r="N354" s="27">
        <v>7.5399999999999998E-3</v>
      </c>
      <c r="O354" s="27">
        <v>0</v>
      </c>
      <c r="P354" s="27">
        <v>1.818842E-2</v>
      </c>
      <c r="Q354" s="27">
        <v>0</v>
      </c>
      <c r="R354" s="27">
        <v>1.0650359999999999E-2</v>
      </c>
      <c r="S354" s="27">
        <v>7.5380600000000001E-3</v>
      </c>
      <c r="T354" s="27">
        <v>0</v>
      </c>
      <c r="U354" s="27">
        <v>2.5334261838440113E-3</v>
      </c>
      <c r="V354" s="27">
        <v>1.8190000000000001E-2</v>
      </c>
      <c r="W354" s="27">
        <v>0</v>
      </c>
      <c r="X354" s="27">
        <f t="shared" si="32"/>
        <v>0</v>
      </c>
      <c r="Y354" s="27">
        <v>0</v>
      </c>
      <c r="Z354" s="27">
        <f t="shared" si="31"/>
        <v>0</v>
      </c>
      <c r="AA354" s="27">
        <v>0</v>
      </c>
      <c r="AB354" s="28">
        <v>0</v>
      </c>
      <c r="AC354" s="27">
        <v>0</v>
      </c>
      <c r="AD354" s="28">
        <v>0</v>
      </c>
      <c r="AE354" s="27">
        <f>0.0214642/1.18</f>
        <v>1.8190000000000001E-2</v>
      </c>
      <c r="AF354" s="28">
        <f>0.0214623356/1.18</f>
        <v>1.818842E-2</v>
      </c>
      <c r="AG354" s="27">
        <v>0</v>
      </c>
      <c r="AH354" s="28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f t="shared" si="34"/>
        <v>1.818842E-2</v>
      </c>
      <c r="AN354" s="27">
        <f t="shared" si="33"/>
        <v>1.818842E-2</v>
      </c>
      <c r="AO354" s="35" t="s">
        <v>1435</v>
      </c>
    </row>
    <row r="355" spans="1:41" ht="31.5" customHeight="1" x14ac:dyDescent="0.25">
      <c r="A355" s="8" t="s">
        <v>92</v>
      </c>
      <c r="B355" s="39" t="s">
        <v>1470</v>
      </c>
      <c r="C355" s="29" t="s">
        <v>1444</v>
      </c>
      <c r="D355" s="38" t="s">
        <v>1481</v>
      </c>
      <c r="E355" s="30">
        <v>2016</v>
      </c>
      <c r="F355" s="30">
        <v>2016</v>
      </c>
      <c r="G355" s="30" t="s">
        <v>1435</v>
      </c>
      <c r="H355" s="27">
        <v>0</v>
      </c>
      <c r="I355" s="27">
        <v>4.127186629526463E-4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2.9633200000000002E-3</v>
      </c>
      <c r="Q355" s="27">
        <v>0</v>
      </c>
      <c r="R355" s="27">
        <v>2.0985399999999999E-3</v>
      </c>
      <c r="S355" s="27">
        <v>8.6478E-4</v>
      </c>
      <c r="T355" s="27">
        <v>0</v>
      </c>
      <c r="U355" s="27">
        <v>0</v>
      </c>
      <c r="V355" s="27">
        <v>0</v>
      </c>
      <c r="W355" s="27">
        <v>0</v>
      </c>
      <c r="X355" s="27">
        <f t="shared" si="32"/>
        <v>0</v>
      </c>
      <c r="Y355" s="27">
        <v>0</v>
      </c>
      <c r="Z355" s="27">
        <f t="shared" si="31"/>
        <v>0</v>
      </c>
      <c r="AA355" s="27">
        <v>0</v>
      </c>
      <c r="AB355" s="28">
        <v>0</v>
      </c>
      <c r="AC355" s="27">
        <v>0</v>
      </c>
      <c r="AD355" s="28">
        <v>0</v>
      </c>
      <c r="AE355" s="27">
        <v>0</v>
      </c>
      <c r="AF355" s="28">
        <v>2.9633200000000002E-3</v>
      </c>
      <c r="AG355" s="27">
        <v>0</v>
      </c>
      <c r="AH355" s="28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f t="shared" si="34"/>
        <v>2.9633200000000002E-3</v>
      </c>
      <c r="AN355" s="27">
        <f t="shared" si="33"/>
        <v>2.9633200000000002E-3</v>
      </c>
      <c r="AO355" s="35" t="s">
        <v>1435</v>
      </c>
    </row>
    <row r="356" spans="1:41" ht="31.5" customHeight="1" x14ac:dyDescent="0.25">
      <c r="A356" s="8" t="s">
        <v>92</v>
      </c>
      <c r="B356" s="39" t="s">
        <v>1471</v>
      </c>
      <c r="C356" s="29" t="s">
        <v>1445</v>
      </c>
      <c r="D356" s="38" t="s">
        <v>1481</v>
      </c>
      <c r="E356" s="30">
        <v>2016</v>
      </c>
      <c r="F356" s="30">
        <v>2016</v>
      </c>
      <c r="G356" s="30" t="s">
        <v>1435</v>
      </c>
      <c r="H356" s="27">
        <v>0</v>
      </c>
      <c r="I356" s="27">
        <v>1.0743579387186631E-3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7.7138900000000002E-3</v>
      </c>
      <c r="Q356" s="27">
        <v>0</v>
      </c>
      <c r="R356" s="27">
        <v>6.8301999999999998E-3</v>
      </c>
      <c r="S356" s="27">
        <v>8.8369000000000002E-4</v>
      </c>
      <c r="T356" s="27">
        <v>0</v>
      </c>
      <c r="U356" s="27">
        <v>0</v>
      </c>
      <c r="V356" s="27">
        <v>0</v>
      </c>
      <c r="W356" s="27">
        <v>0</v>
      </c>
      <c r="X356" s="27">
        <f t="shared" si="32"/>
        <v>0</v>
      </c>
      <c r="Y356" s="27">
        <v>0</v>
      </c>
      <c r="Z356" s="27">
        <f t="shared" si="31"/>
        <v>0</v>
      </c>
      <c r="AA356" s="27">
        <v>0</v>
      </c>
      <c r="AB356" s="28">
        <v>0</v>
      </c>
      <c r="AC356" s="27">
        <v>0</v>
      </c>
      <c r="AD356" s="28">
        <v>0</v>
      </c>
      <c r="AE356" s="27">
        <v>0</v>
      </c>
      <c r="AF356" s="28">
        <v>7.7138900000000002E-3</v>
      </c>
      <c r="AG356" s="27">
        <v>0</v>
      </c>
      <c r="AH356" s="28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f t="shared" si="34"/>
        <v>7.7138900000000002E-3</v>
      </c>
      <c r="AN356" s="27">
        <f t="shared" si="33"/>
        <v>7.7138900000000002E-3</v>
      </c>
      <c r="AO356" s="35" t="s">
        <v>1435</v>
      </c>
    </row>
    <row r="357" spans="1:41" ht="31.5" customHeight="1" x14ac:dyDescent="0.25">
      <c r="A357" s="8" t="s">
        <v>92</v>
      </c>
      <c r="B357" s="39" t="s">
        <v>1472</v>
      </c>
      <c r="C357" s="29" t="s">
        <v>1446</v>
      </c>
      <c r="D357" s="38" t="s">
        <v>1481</v>
      </c>
      <c r="E357" s="30">
        <v>2016</v>
      </c>
      <c r="F357" s="30">
        <v>2016</v>
      </c>
      <c r="G357" s="30" t="s">
        <v>1435</v>
      </c>
      <c r="H357" s="27">
        <v>0</v>
      </c>
      <c r="I357" s="27">
        <v>1.8398384401114207E-3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1.3210040000000001E-2</v>
      </c>
      <c r="Q357" s="27">
        <v>0</v>
      </c>
      <c r="R357" s="27">
        <v>1.1952849999999999E-2</v>
      </c>
      <c r="S357" s="27">
        <v>1.25719E-3</v>
      </c>
      <c r="T357" s="27">
        <v>0</v>
      </c>
      <c r="U357" s="27">
        <v>0</v>
      </c>
      <c r="V357" s="27">
        <v>0</v>
      </c>
      <c r="W357" s="27">
        <v>0</v>
      </c>
      <c r="X357" s="27">
        <f t="shared" si="32"/>
        <v>0</v>
      </c>
      <c r="Y357" s="27">
        <v>0</v>
      </c>
      <c r="Z357" s="27">
        <f t="shared" si="31"/>
        <v>0</v>
      </c>
      <c r="AA357" s="27">
        <v>0</v>
      </c>
      <c r="AB357" s="28">
        <v>0</v>
      </c>
      <c r="AC357" s="27">
        <v>0</v>
      </c>
      <c r="AD357" s="28">
        <v>0</v>
      </c>
      <c r="AE357" s="27">
        <v>0</v>
      </c>
      <c r="AF357" s="28">
        <v>1.3210040000000001E-2</v>
      </c>
      <c r="AG357" s="27">
        <v>0</v>
      </c>
      <c r="AH357" s="28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f t="shared" si="34"/>
        <v>1.3210040000000001E-2</v>
      </c>
      <c r="AN357" s="27">
        <f t="shared" si="33"/>
        <v>1.3210040000000001E-2</v>
      </c>
      <c r="AO357" s="35" t="s">
        <v>1435</v>
      </c>
    </row>
    <row r="358" spans="1:41" ht="31.5" customHeight="1" x14ac:dyDescent="0.25">
      <c r="A358" s="8" t="s">
        <v>92</v>
      </c>
      <c r="B358" s="39" t="s">
        <v>656</v>
      </c>
      <c r="C358" s="29" t="s">
        <v>657</v>
      </c>
      <c r="D358" s="38" t="s">
        <v>1482</v>
      </c>
      <c r="E358" s="30">
        <v>2017</v>
      </c>
      <c r="F358" s="30">
        <v>2017</v>
      </c>
      <c r="G358" s="30">
        <v>2017</v>
      </c>
      <c r="H358" s="27">
        <v>2.2675840194986079</v>
      </c>
      <c r="I358" s="27">
        <v>1.1337920097493039</v>
      </c>
      <c r="J358" s="27">
        <v>0</v>
      </c>
      <c r="K358" s="27">
        <v>16.281253260000003</v>
      </c>
      <c r="L358" s="27">
        <v>0.16779660000000002</v>
      </c>
      <c r="M358" s="27">
        <v>1.9487566599999999</v>
      </c>
      <c r="N358" s="27">
        <v>14.1647</v>
      </c>
      <c r="O358" s="27">
        <v>0</v>
      </c>
      <c r="P358" s="27">
        <v>8.1406266300000016</v>
      </c>
      <c r="Q358" s="27">
        <v>8.3898300000000009E-2</v>
      </c>
      <c r="R358" s="27">
        <v>0.97437832999999996</v>
      </c>
      <c r="S358" s="27">
        <v>7.0823499999999999</v>
      </c>
      <c r="T358" s="27">
        <v>0</v>
      </c>
      <c r="U358" s="27">
        <v>2.2675840194986079</v>
      </c>
      <c r="V358" s="27">
        <v>16.281253260000003</v>
      </c>
      <c r="W358" s="27">
        <v>1.1337920097493039</v>
      </c>
      <c r="X358" s="27">
        <f t="shared" si="32"/>
        <v>8.1406266300000016</v>
      </c>
      <c r="Y358" s="27">
        <v>1.1337920097493039</v>
      </c>
      <c r="Z358" s="27">
        <f t="shared" si="31"/>
        <v>8.1406266300000016</v>
      </c>
      <c r="AA358" s="27">
        <v>0</v>
      </c>
      <c r="AB358" s="28">
        <v>0</v>
      </c>
      <c r="AC358" s="27">
        <v>0</v>
      </c>
      <c r="AD358" s="28">
        <v>0</v>
      </c>
      <c r="AE358" s="27">
        <v>0</v>
      </c>
      <c r="AF358" s="28">
        <v>0</v>
      </c>
      <c r="AG358" s="27">
        <f>9.6059394234/1.18</f>
        <v>8.1406266300000016</v>
      </c>
      <c r="AH358" s="28">
        <f>9.6059394234/1.18</f>
        <v>8.1406266300000016</v>
      </c>
      <c r="AI358" s="27">
        <v>0</v>
      </c>
      <c r="AJ358" s="27">
        <v>0</v>
      </c>
      <c r="AK358" s="27">
        <v>0</v>
      </c>
      <c r="AL358" s="27">
        <v>0</v>
      </c>
      <c r="AM358" s="27">
        <f t="shared" si="34"/>
        <v>8.1406266300000016</v>
      </c>
      <c r="AN358" s="27">
        <f t="shared" si="33"/>
        <v>8.1406266300000016</v>
      </c>
      <c r="AO358" s="35" t="s">
        <v>1435</v>
      </c>
    </row>
    <row r="359" spans="1:41" ht="31.5" customHeight="1" x14ac:dyDescent="0.25">
      <c r="A359" s="8" t="s">
        <v>92</v>
      </c>
      <c r="B359" s="39" t="s">
        <v>658</v>
      </c>
      <c r="C359" s="29" t="s">
        <v>659</v>
      </c>
      <c r="D359" s="38" t="s">
        <v>1482</v>
      </c>
      <c r="E359" s="30">
        <v>2017</v>
      </c>
      <c r="F359" s="30">
        <v>2017</v>
      </c>
      <c r="G359" s="30">
        <v>2017</v>
      </c>
      <c r="H359" s="27">
        <v>8.7272980501392761E-2</v>
      </c>
      <c r="I359" s="27">
        <v>4.363649025069638E-2</v>
      </c>
      <c r="J359" s="27">
        <v>0</v>
      </c>
      <c r="K359" s="27">
        <v>0.62661999999999995</v>
      </c>
      <c r="L359" s="27">
        <v>0</v>
      </c>
      <c r="M359" s="27">
        <v>7.8939999999999996E-2</v>
      </c>
      <c r="N359" s="27">
        <v>0.54767999999999994</v>
      </c>
      <c r="O359" s="27">
        <v>0</v>
      </c>
      <c r="P359" s="27">
        <v>0.31330999999999998</v>
      </c>
      <c r="Q359" s="27">
        <v>0</v>
      </c>
      <c r="R359" s="27">
        <v>3.9469999999999998E-2</v>
      </c>
      <c r="S359" s="27">
        <v>0.27383999999999997</v>
      </c>
      <c r="T359" s="27">
        <v>0</v>
      </c>
      <c r="U359" s="27">
        <v>8.7272980501392761E-2</v>
      </c>
      <c r="V359" s="27">
        <v>0.62661999999999995</v>
      </c>
      <c r="W359" s="27">
        <v>4.363649025069638E-2</v>
      </c>
      <c r="X359" s="27">
        <f t="shared" si="32"/>
        <v>0.31330999999999998</v>
      </c>
      <c r="Y359" s="27">
        <v>4.363649025069638E-2</v>
      </c>
      <c r="Z359" s="27">
        <f t="shared" si="31"/>
        <v>0.31330999999999998</v>
      </c>
      <c r="AA359" s="27">
        <v>0</v>
      </c>
      <c r="AB359" s="28">
        <v>0</v>
      </c>
      <c r="AC359" s="27">
        <v>0</v>
      </c>
      <c r="AD359" s="28">
        <v>0</v>
      </c>
      <c r="AE359" s="27">
        <v>0</v>
      </c>
      <c r="AF359" s="28">
        <v>0</v>
      </c>
      <c r="AG359" s="27">
        <f>0.3697058/1.18</f>
        <v>0.31330999999999998</v>
      </c>
      <c r="AH359" s="28">
        <f>0.3697058/1.18</f>
        <v>0.31330999999999998</v>
      </c>
      <c r="AI359" s="27">
        <v>0</v>
      </c>
      <c r="AJ359" s="27">
        <v>0</v>
      </c>
      <c r="AK359" s="27">
        <v>0</v>
      </c>
      <c r="AL359" s="27">
        <v>0</v>
      </c>
      <c r="AM359" s="27">
        <f t="shared" si="34"/>
        <v>0.31330999999999998</v>
      </c>
      <c r="AN359" s="27">
        <f t="shared" si="33"/>
        <v>0.31330999999999998</v>
      </c>
      <c r="AO359" s="35" t="s">
        <v>1435</v>
      </c>
    </row>
    <row r="360" spans="1:41" ht="31.5" customHeight="1" x14ac:dyDescent="0.25">
      <c r="A360" s="8" t="s">
        <v>92</v>
      </c>
      <c r="B360" s="39" t="s">
        <v>660</v>
      </c>
      <c r="C360" s="29" t="s">
        <v>661</v>
      </c>
      <c r="D360" s="38" t="s">
        <v>1482</v>
      </c>
      <c r="E360" s="30">
        <v>2017</v>
      </c>
      <c r="F360" s="30">
        <v>2017</v>
      </c>
      <c r="G360" s="30">
        <v>2017</v>
      </c>
      <c r="H360" s="27">
        <v>8.7272980501392761E-2</v>
      </c>
      <c r="I360" s="27">
        <v>4.363649025069638E-2</v>
      </c>
      <c r="J360" s="27">
        <v>0</v>
      </c>
      <c r="K360" s="27">
        <v>0.62661999999999995</v>
      </c>
      <c r="L360" s="27">
        <v>0</v>
      </c>
      <c r="M360" s="27">
        <v>7.8939999999999996E-2</v>
      </c>
      <c r="N360" s="27">
        <v>0.54767999999999994</v>
      </c>
      <c r="O360" s="27">
        <v>0</v>
      </c>
      <c r="P360" s="27">
        <v>0.31330999999999998</v>
      </c>
      <c r="Q360" s="27">
        <v>0</v>
      </c>
      <c r="R360" s="27">
        <v>3.9469999999999998E-2</v>
      </c>
      <c r="S360" s="27">
        <v>0.27383999999999997</v>
      </c>
      <c r="T360" s="27">
        <v>0</v>
      </c>
      <c r="U360" s="27">
        <v>8.7272980501392761E-2</v>
      </c>
      <c r="V360" s="27">
        <v>0.62661999999999995</v>
      </c>
      <c r="W360" s="27">
        <v>4.363649025069638E-2</v>
      </c>
      <c r="X360" s="27">
        <f t="shared" si="32"/>
        <v>0.31330999999999998</v>
      </c>
      <c r="Y360" s="27">
        <v>4.363649025069638E-2</v>
      </c>
      <c r="Z360" s="27">
        <f t="shared" si="31"/>
        <v>0.31330999999999998</v>
      </c>
      <c r="AA360" s="27">
        <v>0</v>
      </c>
      <c r="AB360" s="28">
        <v>0</v>
      </c>
      <c r="AC360" s="27">
        <v>0</v>
      </c>
      <c r="AD360" s="28">
        <v>0</v>
      </c>
      <c r="AE360" s="27">
        <v>0</v>
      </c>
      <c r="AF360" s="28">
        <v>0</v>
      </c>
      <c r="AG360" s="27">
        <f>0.3697058/1.18</f>
        <v>0.31330999999999998</v>
      </c>
      <c r="AH360" s="28">
        <f>0.3697058/1.18</f>
        <v>0.31330999999999998</v>
      </c>
      <c r="AI360" s="27">
        <v>0</v>
      </c>
      <c r="AJ360" s="27">
        <v>0</v>
      </c>
      <c r="AK360" s="27">
        <v>0</v>
      </c>
      <c r="AL360" s="27">
        <v>0</v>
      </c>
      <c r="AM360" s="27">
        <f t="shared" si="34"/>
        <v>0.31330999999999998</v>
      </c>
      <c r="AN360" s="27">
        <f t="shared" si="33"/>
        <v>0.31330999999999998</v>
      </c>
      <c r="AO360" s="35" t="s">
        <v>1435</v>
      </c>
    </row>
    <row r="361" spans="1:41" ht="31.5" customHeight="1" x14ac:dyDescent="0.25">
      <c r="A361" s="8" t="s">
        <v>92</v>
      </c>
      <c r="B361" s="39" t="s">
        <v>662</v>
      </c>
      <c r="C361" s="29" t="s">
        <v>663</v>
      </c>
      <c r="D361" s="38" t="s">
        <v>1482</v>
      </c>
      <c r="E361" s="30">
        <v>2017</v>
      </c>
      <c r="F361" s="30">
        <v>2017</v>
      </c>
      <c r="G361" s="30">
        <v>2017</v>
      </c>
      <c r="H361" s="27">
        <v>4.3634512534818946E-2</v>
      </c>
      <c r="I361" s="27">
        <v>2.1817256267409473E-2</v>
      </c>
      <c r="J361" s="27">
        <v>0</v>
      </c>
      <c r="K361" s="27">
        <v>0.31329580000000001</v>
      </c>
      <c r="L361" s="27">
        <v>0</v>
      </c>
      <c r="M361" s="27">
        <v>3.9475799999999998E-2</v>
      </c>
      <c r="N361" s="27">
        <v>0.27382000000000001</v>
      </c>
      <c r="O361" s="27">
        <v>0</v>
      </c>
      <c r="P361" s="27">
        <v>0.15664790000000001</v>
      </c>
      <c r="Q361" s="27">
        <v>0</v>
      </c>
      <c r="R361" s="27">
        <v>1.9737899999999999E-2</v>
      </c>
      <c r="S361" s="27">
        <v>0.13691</v>
      </c>
      <c r="T361" s="27">
        <v>0</v>
      </c>
      <c r="U361" s="27">
        <v>4.3634512534818946E-2</v>
      </c>
      <c r="V361" s="27">
        <v>0.31329580000000001</v>
      </c>
      <c r="W361" s="27">
        <v>2.1817256267409473E-2</v>
      </c>
      <c r="X361" s="27">
        <f t="shared" si="32"/>
        <v>0.15664790000000001</v>
      </c>
      <c r="Y361" s="27">
        <v>2.1817256267409473E-2</v>
      </c>
      <c r="Z361" s="27">
        <f t="shared" si="31"/>
        <v>0.15664790000000001</v>
      </c>
      <c r="AA361" s="27">
        <v>0</v>
      </c>
      <c r="AB361" s="28">
        <v>0</v>
      </c>
      <c r="AC361" s="27">
        <v>0</v>
      </c>
      <c r="AD361" s="28">
        <v>0</v>
      </c>
      <c r="AE361" s="27">
        <v>0</v>
      </c>
      <c r="AF361" s="28">
        <v>0</v>
      </c>
      <c r="AG361" s="27">
        <f>0.184844522/1.18</f>
        <v>0.15664790000000001</v>
      </c>
      <c r="AH361" s="28">
        <f>0.184844522/1.18</f>
        <v>0.15664790000000001</v>
      </c>
      <c r="AI361" s="27">
        <v>0</v>
      </c>
      <c r="AJ361" s="27">
        <v>0</v>
      </c>
      <c r="AK361" s="27">
        <v>0</v>
      </c>
      <c r="AL361" s="27">
        <v>0</v>
      </c>
      <c r="AM361" s="27">
        <f t="shared" si="34"/>
        <v>0.15664790000000001</v>
      </c>
      <c r="AN361" s="27">
        <f t="shared" si="33"/>
        <v>0.15664790000000001</v>
      </c>
      <c r="AO361" s="35" t="s">
        <v>1435</v>
      </c>
    </row>
    <row r="362" spans="1:41" ht="31.5" customHeight="1" x14ac:dyDescent="0.25">
      <c r="A362" s="8" t="s">
        <v>92</v>
      </c>
      <c r="B362" s="39" t="s">
        <v>664</v>
      </c>
      <c r="C362" s="29" t="s">
        <v>665</v>
      </c>
      <c r="D362" s="38" t="s">
        <v>1482</v>
      </c>
      <c r="E362" s="30">
        <v>2017</v>
      </c>
      <c r="F362" s="30">
        <v>2017</v>
      </c>
      <c r="G362" s="30">
        <v>2017</v>
      </c>
      <c r="H362" s="27">
        <v>5.1674094707520893E-2</v>
      </c>
      <c r="I362" s="27">
        <v>2.5837047353760446E-2</v>
      </c>
      <c r="J362" s="27">
        <v>0</v>
      </c>
      <c r="K362" s="27">
        <v>0.37102000000000002</v>
      </c>
      <c r="L362" s="27">
        <v>0</v>
      </c>
      <c r="M362" s="27">
        <v>0.12243999999999999</v>
      </c>
      <c r="N362" s="27">
        <v>0.24858000000000002</v>
      </c>
      <c r="O362" s="27">
        <v>0</v>
      </c>
      <c r="P362" s="27">
        <v>0.18551000000000001</v>
      </c>
      <c r="Q362" s="27">
        <v>0</v>
      </c>
      <c r="R362" s="27">
        <v>6.1219999999999997E-2</v>
      </c>
      <c r="S362" s="27">
        <v>0.12429000000000001</v>
      </c>
      <c r="T362" s="27">
        <v>0</v>
      </c>
      <c r="U362" s="27">
        <v>5.1674094707520893E-2</v>
      </c>
      <c r="V362" s="27">
        <v>0.37102000000000002</v>
      </c>
      <c r="W362" s="27">
        <v>2.5837047353760446E-2</v>
      </c>
      <c r="X362" s="27">
        <f t="shared" si="32"/>
        <v>0.18551000000000001</v>
      </c>
      <c r="Y362" s="27">
        <v>2.5837047353760446E-2</v>
      </c>
      <c r="Z362" s="27">
        <f t="shared" si="31"/>
        <v>0.18551000000000001</v>
      </c>
      <c r="AA362" s="27">
        <v>0</v>
      </c>
      <c r="AB362" s="28">
        <v>0</v>
      </c>
      <c r="AC362" s="27">
        <v>0</v>
      </c>
      <c r="AD362" s="28">
        <v>0</v>
      </c>
      <c r="AE362" s="27">
        <v>0</v>
      </c>
      <c r="AF362" s="28">
        <v>0</v>
      </c>
      <c r="AG362" s="27">
        <f>0.2189018/1.18</f>
        <v>0.18551000000000001</v>
      </c>
      <c r="AH362" s="28">
        <f>0.2189018/1.18</f>
        <v>0.18551000000000001</v>
      </c>
      <c r="AI362" s="27">
        <v>0</v>
      </c>
      <c r="AJ362" s="27">
        <v>0</v>
      </c>
      <c r="AK362" s="27">
        <v>0</v>
      </c>
      <c r="AL362" s="27">
        <v>0</v>
      </c>
      <c r="AM362" s="27">
        <f t="shared" si="34"/>
        <v>0.18551000000000001</v>
      </c>
      <c r="AN362" s="27">
        <f t="shared" si="33"/>
        <v>0.18551000000000001</v>
      </c>
      <c r="AO362" s="35" t="s">
        <v>1435</v>
      </c>
    </row>
    <row r="363" spans="1:41" ht="31.5" customHeight="1" x14ac:dyDescent="0.25">
      <c r="A363" s="8" t="s">
        <v>92</v>
      </c>
      <c r="B363" s="39" t="s">
        <v>666</v>
      </c>
      <c r="C363" s="29" t="s">
        <v>667</v>
      </c>
      <c r="D363" s="38" t="s">
        <v>1482</v>
      </c>
      <c r="E363" s="30">
        <v>2017</v>
      </c>
      <c r="F363" s="30">
        <v>2017</v>
      </c>
      <c r="G363" s="30">
        <v>2017</v>
      </c>
      <c r="H363" s="27">
        <v>5.1674094707520893E-2</v>
      </c>
      <c r="I363" s="27">
        <v>2.5837047353760446E-2</v>
      </c>
      <c r="J363" s="27">
        <v>0</v>
      </c>
      <c r="K363" s="27">
        <v>0.37102000000000002</v>
      </c>
      <c r="L363" s="27">
        <v>0</v>
      </c>
      <c r="M363" s="27">
        <v>0.12243999999999999</v>
      </c>
      <c r="N363" s="27">
        <v>0.24858000000000002</v>
      </c>
      <c r="O363" s="27">
        <v>0</v>
      </c>
      <c r="P363" s="27">
        <v>0.18551000000000001</v>
      </c>
      <c r="Q363" s="27">
        <v>0</v>
      </c>
      <c r="R363" s="27">
        <v>6.1219999999999997E-2</v>
      </c>
      <c r="S363" s="27">
        <v>0.12429000000000001</v>
      </c>
      <c r="T363" s="27">
        <v>0</v>
      </c>
      <c r="U363" s="27">
        <v>5.1674094707520893E-2</v>
      </c>
      <c r="V363" s="27">
        <v>0.37102000000000002</v>
      </c>
      <c r="W363" s="27">
        <v>2.5837047353760446E-2</v>
      </c>
      <c r="X363" s="27">
        <f t="shared" si="32"/>
        <v>0.18551000000000001</v>
      </c>
      <c r="Y363" s="27">
        <v>2.5837047353760446E-2</v>
      </c>
      <c r="Z363" s="27">
        <f t="shared" si="31"/>
        <v>0.18551000000000001</v>
      </c>
      <c r="AA363" s="27">
        <v>0</v>
      </c>
      <c r="AB363" s="28">
        <v>0</v>
      </c>
      <c r="AC363" s="27">
        <v>0</v>
      </c>
      <c r="AD363" s="28">
        <v>0</v>
      </c>
      <c r="AE363" s="27">
        <v>0</v>
      </c>
      <c r="AF363" s="28">
        <v>0</v>
      </c>
      <c r="AG363" s="27">
        <f>0.2189018/1.18</f>
        <v>0.18551000000000001</v>
      </c>
      <c r="AH363" s="28">
        <f>0.2189018/1.18</f>
        <v>0.18551000000000001</v>
      </c>
      <c r="AI363" s="27">
        <v>0</v>
      </c>
      <c r="AJ363" s="27">
        <v>0</v>
      </c>
      <c r="AK363" s="27">
        <v>0</v>
      </c>
      <c r="AL363" s="27">
        <v>0</v>
      </c>
      <c r="AM363" s="27">
        <f t="shared" si="34"/>
        <v>0.18551000000000001</v>
      </c>
      <c r="AN363" s="27">
        <f t="shared" si="33"/>
        <v>0.18551000000000001</v>
      </c>
      <c r="AO363" s="35" t="s">
        <v>1488</v>
      </c>
    </row>
    <row r="364" spans="1:41" ht="31.5" customHeight="1" x14ac:dyDescent="0.25">
      <c r="A364" s="8" t="s">
        <v>92</v>
      </c>
      <c r="B364" s="39" t="s">
        <v>668</v>
      </c>
      <c r="C364" s="29" t="s">
        <v>669</v>
      </c>
      <c r="D364" s="38" t="s">
        <v>1482</v>
      </c>
      <c r="E364" s="30">
        <v>2017</v>
      </c>
      <c r="F364" s="30">
        <v>2017</v>
      </c>
      <c r="G364" s="30">
        <v>2017</v>
      </c>
      <c r="H364" s="27">
        <v>0.10334818941504179</v>
      </c>
      <c r="I364" s="27">
        <v>5.1674094707520893E-2</v>
      </c>
      <c r="J364" s="27">
        <v>0</v>
      </c>
      <c r="K364" s="27">
        <v>0.74204000000000003</v>
      </c>
      <c r="L364" s="27">
        <v>0</v>
      </c>
      <c r="M364" s="27">
        <v>0.24486000000000002</v>
      </c>
      <c r="N364" s="27">
        <v>0.49718000000000001</v>
      </c>
      <c r="O364" s="27">
        <v>0</v>
      </c>
      <c r="P364" s="27">
        <v>0.37102000000000002</v>
      </c>
      <c r="Q364" s="27">
        <v>0</v>
      </c>
      <c r="R364" s="27">
        <v>0.12243000000000001</v>
      </c>
      <c r="S364" s="27">
        <v>0.24859000000000001</v>
      </c>
      <c r="T364" s="27">
        <v>0</v>
      </c>
      <c r="U364" s="27">
        <v>0.10334818941504179</v>
      </c>
      <c r="V364" s="27">
        <v>0.74204000000000003</v>
      </c>
      <c r="W364" s="27">
        <v>5.1674094707520893E-2</v>
      </c>
      <c r="X364" s="27">
        <f t="shared" si="32"/>
        <v>0.37102000000000002</v>
      </c>
      <c r="Y364" s="27">
        <v>5.1674094707520893E-2</v>
      </c>
      <c r="Z364" s="27">
        <f t="shared" si="31"/>
        <v>0.37102000000000002</v>
      </c>
      <c r="AA364" s="27">
        <v>0</v>
      </c>
      <c r="AB364" s="28">
        <v>0</v>
      </c>
      <c r="AC364" s="27">
        <v>0</v>
      </c>
      <c r="AD364" s="28">
        <v>0</v>
      </c>
      <c r="AE364" s="27">
        <v>0</v>
      </c>
      <c r="AF364" s="28">
        <v>0</v>
      </c>
      <c r="AG364" s="27">
        <f>0.4378036/1.18</f>
        <v>0.37102000000000002</v>
      </c>
      <c r="AH364" s="28">
        <f>0.4378036/1.18</f>
        <v>0.37102000000000002</v>
      </c>
      <c r="AI364" s="27">
        <v>0</v>
      </c>
      <c r="AJ364" s="27">
        <v>0</v>
      </c>
      <c r="AK364" s="27">
        <v>0</v>
      </c>
      <c r="AL364" s="27">
        <v>0</v>
      </c>
      <c r="AM364" s="27">
        <f t="shared" si="34"/>
        <v>0.37102000000000002</v>
      </c>
      <c r="AN364" s="27">
        <f t="shared" si="33"/>
        <v>0.37102000000000002</v>
      </c>
      <c r="AO364" s="35" t="s">
        <v>1488</v>
      </c>
    </row>
    <row r="365" spans="1:41" ht="31.5" customHeight="1" x14ac:dyDescent="0.25">
      <c r="A365" s="8" t="s">
        <v>92</v>
      </c>
      <c r="B365" s="39" t="s">
        <v>670</v>
      </c>
      <c r="C365" s="29" t="s">
        <v>671</v>
      </c>
      <c r="D365" s="38" t="s">
        <v>1482</v>
      </c>
      <c r="E365" s="30">
        <v>2017</v>
      </c>
      <c r="F365" s="30">
        <v>2017</v>
      </c>
      <c r="G365" s="30">
        <v>2017</v>
      </c>
      <c r="H365" s="27">
        <v>5.1674094707520893E-2</v>
      </c>
      <c r="I365" s="27">
        <v>2.5837047353760446E-2</v>
      </c>
      <c r="J365" s="27">
        <v>0</v>
      </c>
      <c r="K365" s="27">
        <v>0.37102000000000002</v>
      </c>
      <c r="L365" s="27">
        <v>0</v>
      </c>
      <c r="M365" s="27">
        <v>0.12243999999999999</v>
      </c>
      <c r="N365" s="27">
        <v>0.24858000000000002</v>
      </c>
      <c r="O365" s="27">
        <v>0</v>
      </c>
      <c r="P365" s="27">
        <v>0.18551000000000001</v>
      </c>
      <c r="Q365" s="27">
        <v>0</v>
      </c>
      <c r="R365" s="27">
        <v>6.1219999999999997E-2</v>
      </c>
      <c r="S365" s="27">
        <v>0.12429000000000001</v>
      </c>
      <c r="T365" s="27">
        <v>0</v>
      </c>
      <c r="U365" s="27">
        <v>5.1674094707520893E-2</v>
      </c>
      <c r="V365" s="27">
        <v>0.37102000000000002</v>
      </c>
      <c r="W365" s="27">
        <v>2.5837047353760446E-2</v>
      </c>
      <c r="X365" s="27">
        <f t="shared" si="32"/>
        <v>0.18551000000000001</v>
      </c>
      <c r="Y365" s="27">
        <v>2.5837047353760446E-2</v>
      </c>
      <c r="Z365" s="27">
        <f t="shared" si="31"/>
        <v>0.18551000000000001</v>
      </c>
      <c r="AA365" s="27">
        <v>0</v>
      </c>
      <c r="AB365" s="28">
        <v>0</v>
      </c>
      <c r="AC365" s="27">
        <v>0</v>
      </c>
      <c r="AD365" s="28">
        <v>0</v>
      </c>
      <c r="AE365" s="27">
        <v>0</v>
      </c>
      <c r="AF365" s="28">
        <v>0</v>
      </c>
      <c r="AG365" s="27">
        <f>0.2189018/1.18</f>
        <v>0.18551000000000001</v>
      </c>
      <c r="AH365" s="28">
        <f>0.2189018/1.18</f>
        <v>0.18551000000000001</v>
      </c>
      <c r="AI365" s="27">
        <v>0</v>
      </c>
      <c r="AJ365" s="27">
        <v>0</v>
      </c>
      <c r="AK365" s="27">
        <v>0</v>
      </c>
      <c r="AL365" s="27">
        <v>0</v>
      </c>
      <c r="AM365" s="27">
        <f t="shared" si="34"/>
        <v>0.18551000000000001</v>
      </c>
      <c r="AN365" s="27">
        <f t="shared" si="33"/>
        <v>0.18551000000000001</v>
      </c>
      <c r="AO365" s="35" t="s">
        <v>1488</v>
      </c>
    </row>
    <row r="366" spans="1:41" ht="31.5" customHeight="1" x14ac:dyDescent="0.25">
      <c r="A366" s="8" t="s">
        <v>92</v>
      </c>
      <c r="B366" s="39" t="s">
        <v>672</v>
      </c>
      <c r="C366" s="29" t="s">
        <v>673</v>
      </c>
      <c r="D366" s="38" t="s">
        <v>1482</v>
      </c>
      <c r="E366" s="30">
        <v>2017</v>
      </c>
      <c r="F366" s="30">
        <v>2017</v>
      </c>
      <c r="G366" s="30">
        <v>2017</v>
      </c>
      <c r="H366" s="27">
        <v>6.8899721448467968E-2</v>
      </c>
      <c r="I366" s="27">
        <v>3.4449860724233984E-2</v>
      </c>
      <c r="J366" s="27">
        <v>0</v>
      </c>
      <c r="K366" s="27">
        <v>0.49470000000000003</v>
      </c>
      <c r="L366" s="27">
        <v>0</v>
      </c>
      <c r="M366" s="27">
        <v>0.16324</v>
      </c>
      <c r="N366" s="27">
        <v>0.33145999999999998</v>
      </c>
      <c r="O366" s="27">
        <v>0</v>
      </c>
      <c r="P366" s="27">
        <v>0.24735000000000001</v>
      </c>
      <c r="Q366" s="27">
        <v>0</v>
      </c>
      <c r="R366" s="27">
        <v>8.1619999999999998E-2</v>
      </c>
      <c r="S366" s="27">
        <v>0.16572999999999999</v>
      </c>
      <c r="T366" s="27">
        <v>0</v>
      </c>
      <c r="U366" s="27">
        <v>6.8899721448467968E-2</v>
      </c>
      <c r="V366" s="27">
        <v>0.49470000000000003</v>
      </c>
      <c r="W366" s="27">
        <v>3.4449860724233984E-2</v>
      </c>
      <c r="X366" s="27">
        <f t="shared" si="32"/>
        <v>0.24735000000000001</v>
      </c>
      <c r="Y366" s="27">
        <v>3.4449860724233984E-2</v>
      </c>
      <c r="Z366" s="27">
        <f t="shared" si="31"/>
        <v>0.24735000000000001</v>
      </c>
      <c r="AA366" s="27">
        <v>0</v>
      </c>
      <c r="AB366" s="28">
        <v>0</v>
      </c>
      <c r="AC366" s="27">
        <v>0</v>
      </c>
      <c r="AD366" s="28">
        <v>0</v>
      </c>
      <c r="AE366" s="27">
        <v>0</v>
      </c>
      <c r="AF366" s="28">
        <v>0</v>
      </c>
      <c r="AG366" s="27">
        <f>0.291873/1.18</f>
        <v>0.24735000000000001</v>
      </c>
      <c r="AH366" s="28">
        <f>0.291873/1.18</f>
        <v>0.24735000000000001</v>
      </c>
      <c r="AI366" s="27">
        <v>0</v>
      </c>
      <c r="AJ366" s="27">
        <v>0</v>
      </c>
      <c r="AK366" s="27">
        <v>0</v>
      </c>
      <c r="AL366" s="27">
        <v>0</v>
      </c>
      <c r="AM366" s="27">
        <f t="shared" si="34"/>
        <v>0.24735000000000001</v>
      </c>
      <c r="AN366" s="27">
        <f t="shared" si="33"/>
        <v>0.24735000000000001</v>
      </c>
      <c r="AO366" s="35" t="s">
        <v>1435</v>
      </c>
    </row>
    <row r="367" spans="1:41" ht="31.5" customHeight="1" x14ac:dyDescent="0.25">
      <c r="A367" s="8" t="s">
        <v>92</v>
      </c>
      <c r="B367" s="39" t="s">
        <v>674</v>
      </c>
      <c r="C367" s="29" t="s">
        <v>675</v>
      </c>
      <c r="D367" s="38" t="s">
        <v>1482</v>
      </c>
      <c r="E367" s="30">
        <v>2017</v>
      </c>
      <c r="F367" s="30">
        <v>2017</v>
      </c>
      <c r="G367" s="30">
        <v>2017</v>
      </c>
      <c r="H367" s="27">
        <v>0.10334818941504179</v>
      </c>
      <c r="I367" s="27">
        <v>5.1674094707520893E-2</v>
      </c>
      <c r="J367" s="27">
        <v>0</v>
      </c>
      <c r="K367" s="27">
        <v>0.74204000000000003</v>
      </c>
      <c r="L367" s="27">
        <v>0</v>
      </c>
      <c r="M367" s="27">
        <v>0.24486000000000002</v>
      </c>
      <c r="N367" s="27">
        <v>0.49718000000000001</v>
      </c>
      <c r="O367" s="27">
        <v>0</v>
      </c>
      <c r="P367" s="27">
        <v>0.37102000000000002</v>
      </c>
      <c r="Q367" s="27">
        <v>0</v>
      </c>
      <c r="R367" s="27">
        <v>0.12243000000000001</v>
      </c>
      <c r="S367" s="27">
        <v>0.24859000000000001</v>
      </c>
      <c r="T367" s="27">
        <v>0</v>
      </c>
      <c r="U367" s="27">
        <v>0.10334818941504179</v>
      </c>
      <c r="V367" s="27">
        <v>0.74204000000000003</v>
      </c>
      <c r="W367" s="27">
        <v>5.1674094707520893E-2</v>
      </c>
      <c r="X367" s="27">
        <f t="shared" si="32"/>
        <v>0.37102000000000002</v>
      </c>
      <c r="Y367" s="27">
        <v>5.1674094707520893E-2</v>
      </c>
      <c r="Z367" s="27">
        <f t="shared" si="31"/>
        <v>0.37102000000000002</v>
      </c>
      <c r="AA367" s="27">
        <v>0</v>
      </c>
      <c r="AB367" s="28">
        <v>0</v>
      </c>
      <c r="AC367" s="27">
        <v>0</v>
      </c>
      <c r="AD367" s="28">
        <v>0</v>
      </c>
      <c r="AE367" s="27">
        <v>0</v>
      </c>
      <c r="AF367" s="28">
        <v>0</v>
      </c>
      <c r="AG367" s="27">
        <f>0.4378036/1.18</f>
        <v>0.37102000000000002</v>
      </c>
      <c r="AH367" s="28">
        <f>0.4378036/1.18</f>
        <v>0.37102000000000002</v>
      </c>
      <c r="AI367" s="27">
        <v>0</v>
      </c>
      <c r="AJ367" s="27">
        <v>0</v>
      </c>
      <c r="AK367" s="27">
        <v>0</v>
      </c>
      <c r="AL367" s="27">
        <v>0</v>
      </c>
      <c r="AM367" s="27">
        <f t="shared" si="34"/>
        <v>0.37102000000000002</v>
      </c>
      <c r="AN367" s="27">
        <f t="shared" si="33"/>
        <v>0.37102000000000002</v>
      </c>
      <c r="AO367" s="35" t="s">
        <v>1435</v>
      </c>
    </row>
    <row r="368" spans="1:41" ht="31.5" customHeight="1" x14ac:dyDescent="0.25">
      <c r="A368" s="8" t="s">
        <v>92</v>
      </c>
      <c r="B368" s="39" t="s">
        <v>676</v>
      </c>
      <c r="C368" s="29" t="s">
        <v>677</v>
      </c>
      <c r="D368" s="38" t="s">
        <v>1482</v>
      </c>
      <c r="E368" s="30">
        <v>2017</v>
      </c>
      <c r="F368" s="30">
        <v>2017</v>
      </c>
      <c r="G368" s="30">
        <v>2017</v>
      </c>
      <c r="H368" s="27">
        <v>5.1674094707520893E-2</v>
      </c>
      <c r="I368" s="27">
        <v>2.5837047353760446E-2</v>
      </c>
      <c r="J368" s="27">
        <v>0</v>
      </c>
      <c r="K368" s="27">
        <v>0.37102000000000002</v>
      </c>
      <c r="L368" s="27">
        <v>0</v>
      </c>
      <c r="M368" s="27">
        <v>0.12243999999999999</v>
      </c>
      <c r="N368" s="27">
        <v>0.24858000000000002</v>
      </c>
      <c r="O368" s="27">
        <v>0</v>
      </c>
      <c r="P368" s="27">
        <v>0.18551000000000001</v>
      </c>
      <c r="Q368" s="27">
        <v>0</v>
      </c>
      <c r="R368" s="27">
        <v>6.1219999999999997E-2</v>
      </c>
      <c r="S368" s="27">
        <v>0.12429000000000001</v>
      </c>
      <c r="T368" s="27">
        <v>0</v>
      </c>
      <c r="U368" s="27">
        <v>5.1674094707520893E-2</v>
      </c>
      <c r="V368" s="27">
        <v>0.37102000000000002</v>
      </c>
      <c r="W368" s="27">
        <v>2.5837047353760446E-2</v>
      </c>
      <c r="X368" s="27">
        <f t="shared" si="32"/>
        <v>0.18551000000000001</v>
      </c>
      <c r="Y368" s="27">
        <v>2.5837047353760446E-2</v>
      </c>
      <c r="Z368" s="27">
        <f t="shared" si="31"/>
        <v>0.18551000000000001</v>
      </c>
      <c r="AA368" s="27">
        <v>0</v>
      </c>
      <c r="AB368" s="28">
        <v>0</v>
      </c>
      <c r="AC368" s="27">
        <v>0</v>
      </c>
      <c r="AD368" s="28">
        <v>0</v>
      </c>
      <c r="AE368" s="27">
        <v>0</v>
      </c>
      <c r="AF368" s="28">
        <v>0</v>
      </c>
      <c r="AG368" s="27">
        <f>0.2189018/1.18</f>
        <v>0.18551000000000001</v>
      </c>
      <c r="AH368" s="28">
        <f>0.2189018/1.18</f>
        <v>0.18551000000000001</v>
      </c>
      <c r="AI368" s="27">
        <v>0</v>
      </c>
      <c r="AJ368" s="27">
        <v>0</v>
      </c>
      <c r="AK368" s="27">
        <v>0</v>
      </c>
      <c r="AL368" s="27">
        <v>0</v>
      </c>
      <c r="AM368" s="27">
        <f t="shared" si="34"/>
        <v>0.18551000000000001</v>
      </c>
      <c r="AN368" s="27">
        <f t="shared" si="33"/>
        <v>0.18551000000000001</v>
      </c>
      <c r="AO368" s="35" t="s">
        <v>1435</v>
      </c>
    </row>
    <row r="369" spans="1:41" ht="31.5" customHeight="1" x14ac:dyDescent="0.25">
      <c r="A369" s="8" t="s">
        <v>92</v>
      </c>
      <c r="B369" s="39" t="s">
        <v>678</v>
      </c>
      <c r="C369" s="29" t="s">
        <v>679</v>
      </c>
      <c r="D369" s="38" t="s">
        <v>1482</v>
      </c>
      <c r="E369" s="30">
        <v>2017</v>
      </c>
      <c r="F369" s="30">
        <v>2017</v>
      </c>
      <c r="G369" s="30">
        <v>2017</v>
      </c>
      <c r="H369" s="27">
        <v>5.1674094707520893E-2</v>
      </c>
      <c r="I369" s="27">
        <v>2.5837047353760446E-2</v>
      </c>
      <c r="J369" s="27">
        <v>0</v>
      </c>
      <c r="K369" s="27">
        <v>0.37102000000000002</v>
      </c>
      <c r="L369" s="27">
        <v>0</v>
      </c>
      <c r="M369" s="27">
        <v>0.12243999999999999</v>
      </c>
      <c r="N369" s="27">
        <v>0.24858000000000002</v>
      </c>
      <c r="O369" s="27">
        <v>0</v>
      </c>
      <c r="P369" s="27">
        <v>0.18551000000000001</v>
      </c>
      <c r="Q369" s="27">
        <v>0</v>
      </c>
      <c r="R369" s="27">
        <v>6.1219999999999997E-2</v>
      </c>
      <c r="S369" s="27">
        <v>0.12429000000000001</v>
      </c>
      <c r="T369" s="27">
        <v>0</v>
      </c>
      <c r="U369" s="27">
        <v>5.1674094707520893E-2</v>
      </c>
      <c r="V369" s="27">
        <v>0.37102000000000002</v>
      </c>
      <c r="W369" s="27">
        <v>2.5837047353760446E-2</v>
      </c>
      <c r="X369" s="27">
        <f t="shared" si="32"/>
        <v>0.18551000000000001</v>
      </c>
      <c r="Y369" s="27">
        <v>2.5837047353760446E-2</v>
      </c>
      <c r="Z369" s="27">
        <f t="shared" si="31"/>
        <v>0.18551000000000001</v>
      </c>
      <c r="AA369" s="27">
        <v>0</v>
      </c>
      <c r="AB369" s="28">
        <v>0</v>
      </c>
      <c r="AC369" s="27">
        <v>0</v>
      </c>
      <c r="AD369" s="28">
        <v>0</v>
      </c>
      <c r="AE369" s="27">
        <v>0</v>
      </c>
      <c r="AF369" s="28">
        <v>0</v>
      </c>
      <c r="AG369" s="27">
        <f>0.2189018/1.18</f>
        <v>0.18551000000000001</v>
      </c>
      <c r="AH369" s="28">
        <f>0.2189018/1.18</f>
        <v>0.18551000000000001</v>
      </c>
      <c r="AI369" s="27">
        <v>0</v>
      </c>
      <c r="AJ369" s="27">
        <v>0</v>
      </c>
      <c r="AK369" s="27">
        <v>0</v>
      </c>
      <c r="AL369" s="27">
        <v>0</v>
      </c>
      <c r="AM369" s="27">
        <f t="shared" si="34"/>
        <v>0.18551000000000001</v>
      </c>
      <c r="AN369" s="27">
        <f t="shared" si="33"/>
        <v>0.18551000000000001</v>
      </c>
      <c r="AO369" s="35" t="s">
        <v>1435</v>
      </c>
    </row>
    <row r="370" spans="1:41" ht="31.5" customHeight="1" x14ac:dyDescent="0.25">
      <c r="A370" s="8" t="s">
        <v>92</v>
      </c>
      <c r="B370" s="39" t="s">
        <v>680</v>
      </c>
      <c r="C370" s="29" t="s">
        <v>681</v>
      </c>
      <c r="D370" s="38" t="s">
        <v>1482</v>
      </c>
      <c r="E370" s="30">
        <v>2017</v>
      </c>
      <c r="F370" s="30">
        <v>2017</v>
      </c>
      <c r="G370" s="30">
        <v>2017</v>
      </c>
      <c r="H370" s="27">
        <v>0.89134345403899728</v>
      </c>
      <c r="I370" s="27">
        <v>0.44567172701949864</v>
      </c>
      <c r="J370" s="27">
        <v>0</v>
      </c>
      <c r="K370" s="27">
        <v>6.3998460000000001</v>
      </c>
      <c r="L370" s="27">
        <v>0</v>
      </c>
      <c r="M370" s="27">
        <v>0.55038599999999993</v>
      </c>
      <c r="N370" s="27">
        <v>5.8494599999999997</v>
      </c>
      <c r="O370" s="27">
        <v>0</v>
      </c>
      <c r="P370" s="27">
        <v>3.1999230000000001</v>
      </c>
      <c r="Q370" s="27">
        <v>0</v>
      </c>
      <c r="R370" s="27">
        <v>0.27519299999999997</v>
      </c>
      <c r="S370" s="27">
        <v>2.9247299999999998</v>
      </c>
      <c r="T370" s="27">
        <v>0</v>
      </c>
      <c r="U370" s="27">
        <v>0.89134345403899728</v>
      </c>
      <c r="V370" s="27">
        <v>6.3998460000000001</v>
      </c>
      <c r="W370" s="27">
        <v>0.44567172701949864</v>
      </c>
      <c r="X370" s="27">
        <f t="shared" si="32"/>
        <v>3.1999230000000001</v>
      </c>
      <c r="Y370" s="27">
        <v>0.44567172701949864</v>
      </c>
      <c r="Z370" s="27">
        <f t="shared" si="31"/>
        <v>3.1999230000000001</v>
      </c>
      <c r="AA370" s="27">
        <v>0</v>
      </c>
      <c r="AB370" s="28">
        <v>0</v>
      </c>
      <c r="AC370" s="27">
        <v>0</v>
      </c>
      <c r="AD370" s="28">
        <v>0</v>
      </c>
      <c r="AE370" s="27">
        <v>0</v>
      </c>
      <c r="AF370" s="28">
        <v>0</v>
      </c>
      <c r="AG370" s="27">
        <f>3.77590914/1.18</f>
        <v>3.1999230000000001</v>
      </c>
      <c r="AH370" s="28">
        <f>3.77590914/1.18</f>
        <v>3.1999230000000001</v>
      </c>
      <c r="AI370" s="27">
        <v>0</v>
      </c>
      <c r="AJ370" s="27">
        <v>0</v>
      </c>
      <c r="AK370" s="27">
        <v>0</v>
      </c>
      <c r="AL370" s="27">
        <v>0</v>
      </c>
      <c r="AM370" s="27">
        <f t="shared" si="34"/>
        <v>3.1999230000000001</v>
      </c>
      <c r="AN370" s="27">
        <f t="shared" si="33"/>
        <v>3.1999230000000001</v>
      </c>
      <c r="AO370" s="35" t="s">
        <v>1435</v>
      </c>
    </row>
    <row r="371" spans="1:41" ht="31.5" customHeight="1" x14ac:dyDescent="0.25">
      <c r="A371" s="8" t="s">
        <v>92</v>
      </c>
      <c r="B371" s="39" t="s">
        <v>682</v>
      </c>
      <c r="C371" s="29" t="s">
        <v>683</v>
      </c>
      <c r="D371" s="38" t="s">
        <v>1482</v>
      </c>
      <c r="E371" s="30">
        <v>2017</v>
      </c>
      <c r="F371" s="30">
        <v>2017</v>
      </c>
      <c r="G371" s="30">
        <v>2017</v>
      </c>
      <c r="H371" s="27">
        <v>0.39615320334261844</v>
      </c>
      <c r="I371" s="27">
        <v>0.19807660167130922</v>
      </c>
      <c r="J371" s="27">
        <v>0</v>
      </c>
      <c r="K371" s="27">
        <v>2.8443800000000001</v>
      </c>
      <c r="L371" s="27">
        <v>0</v>
      </c>
      <c r="M371" s="27">
        <v>0.24462</v>
      </c>
      <c r="N371" s="27">
        <v>2.5997600000000003</v>
      </c>
      <c r="O371" s="27">
        <v>0</v>
      </c>
      <c r="P371" s="27">
        <v>1.4221900000000001</v>
      </c>
      <c r="Q371" s="27">
        <v>0</v>
      </c>
      <c r="R371" s="27">
        <v>0.12231</v>
      </c>
      <c r="S371" s="27">
        <v>1.2998800000000001</v>
      </c>
      <c r="T371" s="27">
        <v>0</v>
      </c>
      <c r="U371" s="27">
        <v>0.39615320334261844</v>
      </c>
      <c r="V371" s="27">
        <v>2.8443800000000001</v>
      </c>
      <c r="W371" s="27">
        <v>0.19807660167130922</v>
      </c>
      <c r="X371" s="27">
        <f t="shared" si="32"/>
        <v>1.4221900000000001</v>
      </c>
      <c r="Y371" s="27">
        <v>0.19807660167130922</v>
      </c>
      <c r="Z371" s="27">
        <f t="shared" si="31"/>
        <v>1.4221900000000001</v>
      </c>
      <c r="AA371" s="27">
        <v>0</v>
      </c>
      <c r="AB371" s="28">
        <v>0</v>
      </c>
      <c r="AC371" s="27">
        <v>0</v>
      </c>
      <c r="AD371" s="28">
        <v>0</v>
      </c>
      <c r="AE371" s="27">
        <v>0</v>
      </c>
      <c r="AF371" s="28">
        <v>0</v>
      </c>
      <c r="AG371" s="27">
        <f>1.6781842/1.18</f>
        <v>1.4221900000000001</v>
      </c>
      <c r="AH371" s="28">
        <f>1.6781842/1.18</f>
        <v>1.4221900000000001</v>
      </c>
      <c r="AI371" s="27">
        <v>0</v>
      </c>
      <c r="AJ371" s="27">
        <v>0</v>
      </c>
      <c r="AK371" s="27">
        <v>0</v>
      </c>
      <c r="AL371" s="27">
        <v>0</v>
      </c>
      <c r="AM371" s="27">
        <f t="shared" si="34"/>
        <v>1.4221900000000001</v>
      </c>
      <c r="AN371" s="27">
        <f t="shared" si="33"/>
        <v>1.4221900000000001</v>
      </c>
      <c r="AO371" s="35" t="s">
        <v>1435</v>
      </c>
    </row>
    <row r="372" spans="1:41" ht="31.5" customHeight="1" x14ac:dyDescent="0.25">
      <c r="A372" s="8" t="s">
        <v>92</v>
      </c>
      <c r="B372" s="39" t="s">
        <v>684</v>
      </c>
      <c r="C372" s="29" t="s">
        <v>685</v>
      </c>
      <c r="D372" s="38" t="s">
        <v>1482</v>
      </c>
      <c r="E372" s="30">
        <v>2017</v>
      </c>
      <c r="F372" s="30">
        <v>2017</v>
      </c>
      <c r="G372" s="30">
        <v>2017</v>
      </c>
      <c r="H372" s="27">
        <v>0.89134345403899728</v>
      </c>
      <c r="I372" s="27">
        <v>0.44567172701949864</v>
      </c>
      <c r="J372" s="27">
        <v>0</v>
      </c>
      <c r="K372" s="27">
        <v>6.3998460000000001</v>
      </c>
      <c r="L372" s="27">
        <v>0</v>
      </c>
      <c r="M372" s="27">
        <v>0.55038599999999993</v>
      </c>
      <c r="N372" s="27">
        <v>5.8494599999999997</v>
      </c>
      <c r="O372" s="27">
        <v>0</v>
      </c>
      <c r="P372" s="27">
        <v>3.1999230000000001</v>
      </c>
      <c r="Q372" s="27">
        <v>0</v>
      </c>
      <c r="R372" s="27">
        <v>0.27519299999999997</v>
      </c>
      <c r="S372" s="27">
        <v>2.9247299999999998</v>
      </c>
      <c r="T372" s="27">
        <v>0</v>
      </c>
      <c r="U372" s="27">
        <v>0.89134345403899728</v>
      </c>
      <c r="V372" s="27">
        <v>6.3998460000000001</v>
      </c>
      <c r="W372" s="27">
        <v>0.44567172701949864</v>
      </c>
      <c r="X372" s="27">
        <f t="shared" si="32"/>
        <v>3.1999230000000001</v>
      </c>
      <c r="Y372" s="27">
        <v>0.44567172701949864</v>
      </c>
      <c r="Z372" s="27">
        <f t="shared" si="31"/>
        <v>3.1999230000000001</v>
      </c>
      <c r="AA372" s="27">
        <v>0</v>
      </c>
      <c r="AB372" s="28">
        <v>0</v>
      </c>
      <c r="AC372" s="27">
        <v>0</v>
      </c>
      <c r="AD372" s="28">
        <v>0</v>
      </c>
      <c r="AE372" s="27">
        <v>0</v>
      </c>
      <c r="AF372" s="28">
        <v>0</v>
      </c>
      <c r="AG372" s="27">
        <f>3.77590914/1.18</f>
        <v>3.1999230000000001</v>
      </c>
      <c r="AH372" s="28">
        <f>3.77590914/1.18</f>
        <v>3.1999230000000001</v>
      </c>
      <c r="AI372" s="27">
        <v>0</v>
      </c>
      <c r="AJ372" s="27">
        <v>0</v>
      </c>
      <c r="AK372" s="27">
        <v>0</v>
      </c>
      <c r="AL372" s="27">
        <v>0</v>
      </c>
      <c r="AM372" s="27">
        <f t="shared" si="34"/>
        <v>3.1999230000000001</v>
      </c>
      <c r="AN372" s="27">
        <f t="shared" si="33"/>
        <v>3.1999230000000001</v>
      </c>
      <c r="AO372" s="35" t="s">
        <v>1435</v>
      </c>
    </row>
    <row r="373" spans="1:41" ht="31.5" customHeight="1" x14ac:dyDescent="0.25">
      <c r="A373" s="8" t="s">
        <v>92</v>
      </c>
      <c r="B373" s="39" t="s">
        <v>686</v>
      </c>
      <c r="C373" s="29" t="s">
        <v>687</v>
      </c>
      <c r="D373" s="38" t="s">
        <v>1482</v>
      </c>
      <c r="E373" s="30">
        <v>2017</v>
      </c>
      <c r="F373" s="30">
        <v>2017</v>
      </c>
      <c r="G373" s="30">
        <v>2017</v>
      </c>
      <c r="H373" s="27">
        <v>1.0101894150417829</v>
      </c>
      <c r="I373" s="27">
        <v>0.50509470752089147</v>
      </c>
      <c r="J373" s="27">
        <v>0</v>
      </c>
      <c r="K373" s="27">
        <v>7.2531600000000012</v>
      </c>
      <c r="L373" s="27">
        <v>0.14221879999999998</v>
      </c>
      <c r="M373" s="27">
        <v>0.4815412</v>
      </c>
      <c r="N373" s="27">
        <v>6.6293999999999995</v>
      </c>
      <c r="O373" s="27">
        <v>0</v>
      </c>
      <c r="P373" s="27">
        <v>3.6265800000000006</v>
      </c>
      <c r="Q373" s="27">
        <v>7.1109399999999989E-2</v>
      </c>
      <c r="R373" s="27">
        <v>0.2407706</v>
      </c>
      <c r="S373" s="27">
        <v>3.3146999999999998</v>
      </c>
      <c r="T373" s="27">
        <v>0</v>
      </c>
      <c r="U373" s="27">
        <v>1.0101894150417829</v>
      </c>
      <c r="V373" s="27">
        <v>7.2531600000000012</v>
      </c>
      <c r="W373" s="27">
        <v>0.50509470752089147</v>
      </c>
      <c r="X373" s="27">
        <f t="shared" si="32"/>
        <v>3.6265800000000006</v>
      </c>
      <c r="Y373" s="27">
        <v>0.50509470752089147</v>
      </c>
      <c r="Z373" s="27">
        <f t="shared" si="31"/>
        <v>3.6265800000000006</v>
      </c>
      <c r="AA373" s="27">
        <v>0</v>
      </c>
      <c r="AB373" s="28">
        <v>0</v>
      </c>
      <c r="AC373" s="27">
        <v>0</v>
      </c>
      <c r="AD373" s="28">
        <v>0</v>
      </c>
      <c r="AE373" s="27">
        <v>0</v>
      </c>
      <c r="AF373" s="28">
        <v>0</v>
      </c>
      <c r="AG373" s="27">
        <f>4.2793644/1.18</f>
        <v>3.6265800000000006</v>
      </c>
      <c r="AH373" s="28">
        <f>4.2793644/1.18</f>
        <v>3.6265800000000006</v>
      </c>
      <c r="AI373" s="27">
        <v>0</v>
      </c>
      <c r="AJ373" s="27">
        <v>0</v>
      </c>
      <c r="AK373" s="27">
        <v>0</v>
      </c>
      <c r="AL373" s="27">
        <v>0</v>
      </c>
      <c r="AM373" s="27">
        <f t="shared" si="34"/>
        <v>3.6265800000000006</v>
      </c>
      <c r="AN373" s="27">
        <f t="shared" si="33"/>
        <v>3.6265800000000006</v>
      </c>
      <c r="AO373" s="35" t="s">
        <v>1435</v>
      </c>
    </row>
    <row r="374" spans="1:41" ht="31.5" customHeight="1" x14ac:dyDescent="0.25">
      <c r="A374" s="8" t="s">
        <v>92</v>
      </c>
      <c r="B374" s="39" t="s">
        <v>688</v>
      </c>
      <c r="C374" s="29" t="s">
        <v>689</v>
      </c>
      <c r="D374" s="38" t="s">
        <v>1482</v>
      </c>
      <c r="E374" s="30">
        <v>2017</v>
      </c>
      <c r="F374" s="30">
        <v>2017</v>
      </c>
      <c r="G374" s="30">
        <v>2017</v>
      </c>
      <c r="H374" s="27">
        <v>0.49518941504178282</v>
      </c>
      <c r="I374" s="27">
        <v>0.24759470752089141</v>
      </c>
      <c r="J374" s="27">
        <v>0</v>
      </c>
      <c r="K374" s="27">
        <v>3.5554600000000005</v>
      </c>
      <c r="L374" s="27">
        <v>0</v>
      </c>
      <c r="M374" s="27">
        <v>0.30575999999999998</v>
      </c>
      <c r="N374" s="27">
        <v>3.2496999999999998</v>
      </c>
      <c r="O374" s="27">
        <v>0</v>
      </c>
      <c r="P374" s="27">
        <v>1.7777300000000003</v>
      </c>
      <c r="Q374" s="27">
        <v>0</v>
      </c>
      <c r="R374" s="27">
        <v>0.15287999999999999</v>
      </c>
      <c r="S374" s="27">
        <v>1.6248499999999999</v>
      </c>
      <c r="T374" s="27">
        <v>0</v>
      </c>
      <c r="U374" s="27">
        <v>0.49518941504178282</v>
      </c>
      <c r="V374" s="27">
        <v>3.5554600000000005</v>
      </c>
      <c r="W374" s="27">
        <v>0.24759470752089141</v>
      </c>
      <c r="X374" s="27">
        <f t="shared" si="32"/>
        <v>1.7777300000000003</v>
      </c>
      <c r="Y374" s="27">
        <v>0.24759470752089141</v>
      </c>
      <c r="Z374" s="27">
        <f t="shared" si="31"/>
        <v>1.7777300000000003</v>
      </c>
      <c r="AA374" s="27">
        <v>0</v>
      </c>
      <c r="AB374" s="28">
        <v>0</v>
      </c>
      <c r="AC374" s="27">
        <v>0</v>
      </c>
      <c r="AD374" s="28">
        <v>0</v>
      </c>
      <c r="AE374" s="27">
        <v>0</v>
      </c>
      <c r="AF374" s="28">
        <v>0</v>
      </c>
      <c r="AG374" s="27">
        <f>2.0977214/1.18</f>
        <v>1.7777300000000003</v>
      </c>
      <c r="AH374" s="28">
        <f>2.0977214/1.18</f>
        <v>1.7777300000000003</v>
      </c>
      <c r="AI374" s="27">
        <v>0</v>
      </c>
      <c r="AJ374" s="27">
        <v>0</v>
      </c>
      <c r="AK374" s="27">
        <v>0</v>
      </c>
      <c r="AL374" s="27">
        <v>0</v>
      </c>
      <c r="AM374" s="27">
        <f t="shared" si="34"/>
        <v>1.7777300000000003</v>
      </c>
      <c r="AN374" s="27">
        <f t="shared" si="33"/>
        <v>1.7777300000000003</v>
      </c>
      <c r="AO374" s="35" t="s">
        <v>1435</v>
      </c>
    </row>
    <row r="375" spans="1:41" ht="31.5" customHeight="1" x14ac:dyDescent="0.25">
      <c r="A375" s="8" t="s">
        <v>92</v>
      </c>
      <c r="B375" s="39" t="s">
        <v>690</v>
      </c>
      <c r="C375" s="29" t="s">
        <v>691</v>
      </c>
      <c r="D375" s="38" t="s">
        <v>1482</v>
      </c>
      <c r="E375" s="30">
        <v>2017</v>
      </c>
      <c r="F375" s="30">
        <v>2017</v>
      </c>
      <c r="G375" s="30">
        <v>2017</v>
      </c>
      <c r="H375" s="27">
        <v>0.10977994428969361</v>
      </c>
      <c r="I375" s="27">
        <v>5.4889972144846803E-2</v>
      </c>
      <c r="J375" s="27">
        <v>0</v>
      </c>
      <c r="K375" s="27">
        <v>0.78822000000000003</v>
      </c>
      <c r="L375" s="27">
        <v>0</v>
      </c>
      <c r="M375" s="27">
        <v>5.4380000000000005E-2</v>
      </c>
      <c r="N375" s="27">
        <v>0.73384000000000005</v>
      </c>
      <c r="O375" s="27">
        <v>0</v>
      </c>
      <c r="P375" s="27">
        <v>0.39411000000000002</v>
      </c>
      <c r="Q375" s="27">
        <v>0</v>
      </c>
      <c r="R375" s="27">
        <v>2.7190000000000002E-2</v>
      </c>
      <c r="S375" s="27">
        <v>0.36692000000000002</v>
      </c>
      <c r="T375" s="27">
        <v>0</v>
      </c>
      <c r="U375" s="27">
        <v>0.10977994428969361</v>
      </c>
      <c r="V375" s="27">
        <v>0.78822000000000003</v>
      </c>
      <c r="W375" s="27">
        <v>5.4889972144846803E-2</v>
      </c>
      <c r="X375" s="27">
        <f t="shared" si="32"/>
        <v>0.39411000000000002</v>
      </c>
      <c r="Y375" s="27">
        <v>5.4889972144846803E-2</v>
      </c>
      <c r="Z375" s="27">
        <f t="shared" si="31"/>
        <v>0.39411000000000002</v>
      </c>
      <c r="AA375" s="27">
        <v>0</v>
      </c>
      <c r="AB375" s="28">
        <v>0</v>
      </c>
      <c r="AC375" s="27">
        <v>0</v>
      </c>
      <c r="AD375" s="28">
        <v>0</v>
      </c>
      <c r="AE375" s="27">
        <v>0</v>
      </c>
      <c r="AF375" s="28">
        <v>0</v>
      </c>
      <c r="AG375" s="27">
        <f>0.4650498/1.18</f>
        <v>0.39411000000000002</v>
      </c>
      <c r="AH375" s="28">
        <f>0.4650498/1.18</f>
        <v>0.39411000000000002</v>
      </c>
      <c r="AI375" s="27">
        <v>0</v>
      </c>
      <c r="AJ375" s="27">
        <v>0</v>
      </c>
      <c r="AK375" s="27">
        <v>0</v>
      </c>
      <c r="AL375" s="27">
        <v>0</v>
      </c>
      <c r="AM375" s="27">
        <f t="shared" si="34"/>
        <v>0.39411000000000002</v>
      </c>
      <c r="AN375" s="27">
        <f t="shared" si="33"/>
        <v>0.39411000000000002</v>
      </c>
      <c r="AO375" s="35" t="s">
        <v>1435</v>
      </c>
    </row>
    <row r="376" spans="1:41" ht="31.5" customHeight="1" x14ac:dyDescent="0.25">
      <c r="A376" s="8" t="s">
        <v>92</v>
      </c>
      <c r="B376" s="39" t="s">
        <v>692</v>
      </c>
      <c r="C376" s="29" t="s">
        <v>693</v>
      </c>
      <c r="D376" s="38" t="s">
        <v>1482</v>
      </c>
      <c r="E376" s="30">
        <v>2017</v>
      </c>
      <c r="F376" s="30">
        <v>2017</v>
      </c>
      <c r="G376" s="30">
        <v>2017</v>
      </c>
      <c r="H376" s="27">
        <v>0.10977994428969361</v>
      </c>
      <c r="I376" s="27">
        <v>5.4889972144846803E-2</v>
      </c>
      <c r="J376" s="27">
        <v>0</v>
      </c>
      <c r="K376" s="27">
        <v>0.78822000000000003</v>
      </c>
      <c r="L376" s="27">
        <v>0</v>
      </c>
      <c r="M376" s="27">
        <v>5.4380000000000005E-2</v>
      </c>
      <c r="N376" s="27">
        <v>0.73384000000000005</v>
      </c>
      <c r="O376" s="27">
        <v>0</v>
      </c>
      <c r="P376" s="27">
        <v>0.39411000000000002</v>
      </c>
      <c r="Q376" s="27">
        <v>0</v>
      </c>
      <c r="R376" s="27">
        <v>2.7190000000000002E-2</v>
      </c>
      <c r="S376" s="27">
        <v>0.36692000000000002</v>
      </c>
      <c r="T376" s="27">
        <v>0</v>
      </c>
      <c r="U376" s="27">
        <v>0.10977994428969361</v>
      </c>
      <c r="V376" s="27">
        <v>0.78822000000000003</v>
      </c>
      <c r="W376" s="27">
        <v>5.4889972144846803E-2</v>
      </c>
      <c r="X376" s="27">
        <f t="shared" si="32"/>
        <v>0.39411000000000002</v>
      </c>
      <c r="Y376" s="27">
        <v>5.4889972144846803E-2</v>
      </c>
      <c r="Z376" s="27">
        <f t="shared" si="31"/>
        <v>0.39411000000000002</v>
      </c>
      <c r="AA376" s="27">
        <v>0</v>
      </c>
      <c r="AB376" s="28">
        <v>0</v>
      </c>
      <c r="AC376" s="27">
        <v>0</v>
      </c>
      <c r="AD376" s="28">
        <v>0</v>
      </c>
      <c r="AE376" s="27">
        <v>0</v>
      </c>
      <c r="AF376" s="28">
        <v>0</v>
      </c>
      <c r="AG376" s="27">
        <f>0.4650498/1.18</f>
        <v>0.39411000000000002</v>
      </c>
      <c r="AH376" s="28">
        <f>0.4650498/1.18</f>
        <v>0.39411000000000002</v>
      </c>
      <c r="AI376" s="27">
        <v>0</v>
      </c>
      <c r="AJ376" s="27">
        <v>0</v>
      </c>
      <c r="AK376" s="27">
        <v>0</v>
      </c>
      <c r="AL376" s="27">
        <v>0</v>
      </c>
      <c r="AM376" s="27">
        <f t="shared" si="34"/>
        <v>0.39411000000000002</v>
      </c>
      <c r="AN376" s="27">
        <f t="shared" si="33"/>
        <v>0.39411000000000002</v>
      </c>
      <c r="AO376" s="35" t="s">
        <v>1435</v>
      </c>
    </row>
    <row r="377" spans="1:41" ht="31.5" customHeight="1" x14ac:dyDescent="0.25">
      <c r="A377" s="8" t="s">
        <v>92</v>
      </c>
      <c r="B377" s="39" t="s">
        <v>694</v>
      </c>
      <c r="C377" s="29" t="s">
        <v>695</v>
      </c>
      <c r="D377" s="38" t="s">
        <v>1482</v>
      </c>
      <c r="E377" s="30">
        <v>2017</v>
      </c>
      <c r="F377" s="30">
        <v>2017</v>
      </c>
      <c r="G377" s="30">
        <v>2017</v>
      </c>
      <c r="H377" s="27">
        <v>7.3183844011142071E-2</v>
      </c>
      <c r="I377" s="27">
        <v>3.6591922005571036E-2</v>
      </c>
      <c r="J377" s="27">
        <v>0</v>
      </c>
      <c r="K377" s="27">
        <v>0.52546000000000004</v>
      </c>
      <c r="L377" s="27">
        <v>0</v>
      </c>
      <c r="M377" s="27">
        <v>3.6260000000000001E-2</v>
      </c>
      <c r="N377" s="27">
        <v>0.48919999999999997</v>
      </c>
      <c r="O377" s="27">
        <v>0</v>
      </c>
      <c r="P377" s="27">
        <v>0.26273000000000002</v>
      </c>
      <c r="Q377" s="27">
        <v>0</v>
      </c>
      <c r="R377" s="27">
        <v>1.813E-2</v>
      </c>
      <c r="S377" s="27">
        <v>0.24459999999999998</v>
      </c>
      <c r="T377" s="27">
        <v>0</v>
      </c>
      <c r="U377" s="27">
        <v>7.3183844011142071E-2</v>
      </c>
      <c r="V377" s="27">
        <v>0.52546000000000004</v>
      </c>
      <c r="W377" s="27">
        <v>3.6591922005571036E-2</v>
      </c>
      <c r="X377" s="27">
        <f t="shared" si="32"/>
        <v>0.26273000000000002</v>
      </c>
      <c r="Y377" s="27">
        <v>3.6591922005571036E-2</v>
      </c>
      <c r="Z377" s="27">
        <f t="shared" si="31"/>
        <v>0.26273000000000002</v>
      </c>
      <c r="AA377" s="27">
        <v>0</v>
      </c>
      <c r="AB377" s="28">
        <v>0</v>
      </c>
      <c r="AC377" s="27">
        <v>0</v>
      </c>
      <c r="AD377" s="28">
        <v>0</v>
      </c>
      <c r="AE377" s="27">
        <v>0</v>
      </c>
      <c r="AF377" s="28">
        <v>0</v>
      </c>
      <c r="AG377" s="27">
        <f t="shared" ref="AG377:AH380" si="35">0.3100214/1.18</f>
        <v>0.26273000000000002</v>
      </c>
      <c r="AH377" s="28">
        <f t="shared" si="35"/>
        <v>0.26273000000000002</v>
      </c>
      <c r="AI377" s="27">
        <v>0</v>
      </c>
      <c r="AJ377" s="27">
        <v>0</v>
      </c>
      <c r="AK377" s="27">
        <v>0</v>
      </c>
      <c r="AL377" s="27">
        <v>0</v>
      </c>
      <c r="AM377" s="27">
        <f t="shared" si="34"/>
        <v>0.26273000000000002</v>
      </c>
      <c r="AN377" s="27">
        <f t="shared" si="33"/>
        <v>0.26273000000000002</v>
      </c>
      <c r="AO377" s="35" t="s">
        <v>1435</v>
      </c>
    </row>
    <row r="378" spans="1:41" ht="31.5" customHeight="1" x14ac:dyDescent="0.25">
      <c r="A378" s="8" t="s">
        <v>92</v>
      </c>
      <c r="B378" s="39" t="s">
        <v>696</v>
      </c>
      <c r="C378" s="29" t="s">
        <v>697</v>
      </c>
      <c r="D378" s="38" t="s">
        <v>1482</v>
      </c>
      <c r="E378" s="30">
        <v>2017</v>
      </c>
      <c r="F378" s="30">
        <v>2017</v>
      </c>
      <c r="G378" s="30">
        <v>2017</v>
      </c>
      <c r="H378" s="27">
        <v>7.3183844011142071E-2</v>
      </c>
      <c r="I378" s="27">
        <v>3.6591922005571036E-2</v>
      </c>
      <c r="J378" s="27">
        <v>0</v>
      </c>
      <c r="K378" s="27">
        <v>0.52546000000000004</v>
      </c>
      <c r="L378" s="27">
        <v>0</v>
      </c>
      <c r="M378" s="27">
        <v>3.6260000000000001E-2</v>
      </c>
      <c r="N378" s="27">
        <v>0.48919999999999997</v>
      </c>
      <c r="O378" s="27">
        <v>0</v>
      </c>
      <c r="P378" s="27">
        <v>0.26273000000000002</v>
      </c>
      <c r="Q378" s="27">
        <v>0</v>
      </c>
      <c r="R378" s="27">
        <v>1.813E-2</v>
      </c>
      <c r="S378" s="27">
        <v>0.24459999999999998</v>
      </c>
      <c r="T378" s="27">
        <v>0</v>
      </c>
      <c r="U378" s="27">
        <v>7.3183844011142071E-2</v>
      </c>
      <c r="V378" s="27">
        <v>0.52546000000000004</v>
      </c>
      <c r="W378" s="27">
        <v>3.6591922005571036E-2</v>
      </c>
      <c r="X378" s="27">
        <f t="shared" si="32"/>
        <v>0.26273000000000002</v>
      </c>
      <c r="Y378" s="27">
        <v>3.6591922005571036E-2</v>
      </c>
      <c r="Z378" s="27">
        <f t="shared" si="31"/>
        <v>0.26273000000000002</v>
      </c>
      <c r="AA378" s="27">
        <v>0</v>
      </c>
      <c r="AB378" s="28">
        <v>0</v>
      </c>
      <c r="AC378" s="27">
        <v>0</v>
      </c>
      <c r="AD378" s="28">
        <v>0</v>
      </c>
      <c r="AE378" s="27">
        <v>0</v>
      </c>
      <c r="AF378" s="28">
        <v>0</v>
      </c>
      <c r="AG378" s="27">
        <f t="shared" si="35"/>
        <v>0.26273000000000002</v>
      </c>
      <c r="AH378" s="28">
        <f t="shared" si="35"/>
        <v>0.26273000000000002</v>
      </c>
      <c r="AI378" s="27">
        <v>0</v>
      </c>
      <c r="AJ378" s="27">
        <v>0</v>
      </c>
      <c r="AK378" s="27">
        <v>0</v>
      </c>
      <c r="AL378" s="27">
        <v>0</v>
      </c>
      <c r="AM378" s="27">
        <f t="shared" si="34"/>
        <v>0.26273000000000002</v>
      </c>
      <c r="AN378" s="27">
        <f t="shared" si="33"/>
        <v>0.26273000000000002</v>
      </c>
      <c r="AO378" s="35" t="s">
        <v>1435</v>
      </c>
    </row>
    <row r="379" spans="1:41" ht="31.5" customHeight="1" x14ac:dyDescent="0.25">
      <c r="A379" s="8" t="s">
        <v>92</v>
      </c>
      <c r="B379" s="39" t="s">
        <v>698</v>
      </c>
      <c r="C379" s="29" t="s">
        <v>699</v>
      </c>
      <c r="D379" s="38" t="s">
        <v>1482</v>
      </c>
      <c r="E379" s="30">
        <v>2017</v>
      </c>
      <c r="F379" s="30">
        <v>2017</v>
      </c>
      <c r="G379" s="30">
        <v>2017</v>
      </c>
      <c r="H379" s="27">
        <v>7.3183844011142071E-2</v>
      </c>
      <c r="I379" s="27">
        <v>3.6591922005571036E-2</v>
      </c>
      <c r="J379" s="27">
        <v>0</v>
      </c>
      <c r="K379" s="27">
        <v>0.52546000000000004</v>
      </c>
      <c r="L379" s="27">
        <v>0</v>
      </c>
      <c r="M379" s="27">
        <v>3.6260000000000001E-2</v>
      </c>
      <c r="N379" s="27">
        <v>0.48919999999999997</v>
      </c>
      <c r="O379" s="27">
        <v>0</v>
      </c>
      <c r="P379" s="27">
        <v>0.26273000000000002</v>
      </c>
      <c r="Q379" s="27">
        <v>0</v>
      </c>
      <c r="R379" s="27">
        <v>1.813E-2</v>
      </c>
      <c r="S379" s="27">
        <v>0.24459999999999998</v>
      </c>
      <c r="T379" s="27">
        <v>0</v>
      </c>
      <c r="U379" s="27">
        <v>7.3183844011142071E-2</v>
      </c>
      <c r="V379" s="27">
        <v>0.52546000000000004</v>
      </c>
      <c r="W379" s="27">
        <v>3.6591922005571036E-2</v>
      </c>
      <c r="X379" s="27">
        <f t="shared" si="32"/>
        <v>0.26273000000000002</v>
      </c>
      <c r="Y379" s="27">
        <v>3.6591922005571036E-2</v>
      </c>
      <c r="Z379" s="27">
        <f t="shared" si="31"/>
        <v>0.26273000000000002</v>
      </c>
      <c r="AA379" s="27">
        <v>0</v>
      </c>
      <c r="AB379" s="28">
        <v>0</v>
      </c>
      <c r="AC379" s="27">
        <v>0</v>
      </c>
      <c r="AD379" s="28">
        <v>0</v>
      </c>
      <c r="AE379" s="27">
        <v>0</v>
      </c>
      <c r="AF379" s="28">
        <v>0</v>
      </c>
      <c r="AG379" s="27">
        <f t="shared" si="35"/>
        <v>0.26273000000000002</v>
      </c>
      <c r="AH379" s="28">
        <f t="shared" si="35"/>
        <v>0.26273000000000002</v>
      </c>
      <c r="AI379" s="27">
        <v>0</v>
      </c>
      <c r="AJ379" s="27">
        <v>0</v>
      </c>
      <c r="AK379" s="27">
        <v>0</v>
      </c>
      <c r="AL379" s="27">
        <v>0</v>
      </c>
      <c r="AM379" s="27">
        <f t="shared" si="34"/>
        <v>0.26273000000000002</v>
      </c>
      <c r="AN379" s="27">
        <f t="shared" si="33"/>
        <v>0.26273000000000002</v>
      </c>
      <c r="AO379" s="35" t="s">
        <v>1435</v>
      </c>
    </row>
    <row r="380" spans="1:41" ht="31.5" customHeight="1" x14ac:dyDescent="0.25">
      <c r="A380" s="8" t="s">
        <v>92</v>
      </c>
      <c r="B380" s="39" t="s">
        <v>700</v>
      </c>
      <c r="C380" s="29" t="s">
        <v>701</v>
      </c>
      <c r="D380" s="38" t="s">
        <v>1482</v>
      </c>
      <c r="E380" s="30">
        <v>2017</v>
      </c>
      <c r="F380" s="30">
        <v>2017</v>
      </c>
      <c r="G380" s="30">
        <v>2017</v>
      </c>
      <c r="H380" s="27">
        <v>7.3183844011142071E-2</v>
      </c>
      <c r="I380" s="27">
        <v>3.6591922005571036E-2</v>
      </c>
      <c r="J380" s="27">
        <v>0</v>
      </c>
      <c r="K380" s="27">
        <v>0.52546000000000004</v>
      </c>
      <c r="L380" s="27">
        <v>0</v>
      </c>
      <c r="M380" s="27">
        <v>3.6260000000000001E-2</v>
      </c>
      <c r="N380" s="27">
        <v>0.48919999999999997</v>
      </c>
      <c r="O380" s="27">
        <v>0</v>
      </c>
      <c r="P380" s="27">
        <v>0.26273000000000002</v>
      </c>
      <c r="Q380" s="27">
        <v>0</v>
      </c>
      <c r="R380" s="27">
        <v>1.813E-2</v>
      </c>
      <c r="S380" s="27">
        <v>0.24459999999999998</v>
      </c>
      <c r="T380" s="27">
        <v>0</v>
      </c>
      <c r="U380" s="27">
        <v>7.3183844011142071E-2</v>
      </c>
      <c r="V380" s="27">
        <v>0.52546000000000004</v>
      </c>
      <c r="W380" s="27">
        <v>3.6591922005571036E-2</v>
      </c>
      <c r="X380" s="27">
        <f t="shared" si="32"/>
        <v>0.26273000000000002</v>
      </c>
      <c r="Y380" s="27">
        <v>3.6591922005571036E-2</v>
      </c>
      <c r="Z380" s="27">
        <f t="shared" si="31"/>
        <v>0.26273000000000002</v>
      </c>
      <c r="AA380" s="27">
        <v>0</v>
      </c>
      <c r="AB380" s="28">
        <v>0</v>
      </c>
      <c r="AC380" s="27">
        <v>0</v>
      </c>
      <c r="AD380" s="28">
        <v>0</v>
      </c>
      <c r="AE380" s="27">
        <v>0</v>
      </c>
      <c r="AF380" s="28">
        <v>0</v>
      </c>
      <c r="AG380" s="27">
        <f t="shared" si="35"/>
        <v>0.26273000000000002</v>
      </c>
      <c r="AH380" s="28">
        <f t="shared" si="35"/>
        <v>0.26273000000000002</v>
      </c>
      <c r="AI380" s="27">
        <v>0</v>
      </c>
      <c r="AJ380" s="27">
        <v>0</v>
      </c>
      <c r="AK380" s="27">
        <v>0</v>
      </c>
      <c r="AL380" s="27">
        <v>0</v>
      </c>
      <c r="AM380" s="27">
        <f t="shared" si="34"/>
        <v>0.26273000000000002</v>
      </c>
      <c r="AN380" s="27">
        <f t="shared" si="33"/>
        <v>0.26273000000000002</v>
      </c>
      <c r="AO380" s="35" t="s">
        <v>1435</v>
      </c>
    </row>
    <row r="381" spans="1:41" ht="31.5" customHeight="1" x14ac:dyDescent="0.25">
      <c r="A381" s="8" t="s">
        <v>92</v>
      </c>
      <c r="B381" s="39" t="s">
        <v>702</v>
      </c>
      <c r="C381" s="29" t="s">
        <v>703</v>
      </c>
      <c r="D381" s="38" t="s">
        <v>1482</v>
      </c>
      <c r="E381" s="30">
        <v>2017</v>
      </c>
      <c r="F381" s="30">
        <v>2017</v>
      </c>
      <c r="G381" s="30">
        <v>2017</v>
      </c>
      <c r="H381" s="27">
        <v>0.10977715877437326</v>
      </c>
      <c r="I381" s="27">
        <v>5.488857938718663E-2</v>
      </c>
      <c r="J381" s="27">
        <v>0</v>
      </c>
      <c r="K381" s="27">
        <v>0.78820000000000001</v>
      </c>
      <c r="L381" s="27">
        <v>0</v>
      </c>
      <c r="M381" s="27">
        <v>5.4380000000000005E-2</v>
      </c>
      <c r="N381" s="27">
        <v>0.73382000000000003</v>
      </c>
      <c r="O381" s="27">
        <v>0</v>
      </c>
      <c r="P381" s="27">
        <v>0.39410000000000001</v>
      </c>
      <c r="Q381" s="27">
        <v>0</v>
      </c>
      <c r="R381" s="27">
        <v>2.7190000000000002E-2</v>
      </c>
      <c r="S381" s="27">
        <v>0.36691000000000001</v>
      </c>
      <c r="T381" s="27">
        <v>0</v>
      </c>
      <c r="U381" s="27">
        <v>0.10977715877437326</v>
      </c>
      <c r="V381" s="27">
        <v>0.78820000000000001</v>
      </c>
      <c r="W381" s="27">
        <v>5.488857938718663E-2</v>
      </c>
      <c r="X381" s="27">
        <f t="shared" si="32"/>
        <v>0.39410000000000001</v>
      </c>
      <c r="Y381" s="27">
        <v>5.488857938718663E-2</v>
      </c>
      <c r="Z381" s="27">
        <f t="shared" si="31"/>
        <v>0.39410000000000001</v>
      </c>
      <c r="AA381" s="27">
        <v>0</v>
      </c>
      <c r="AB381" s="28">
        <v>0</v>
      </c>
      <c r="AC381" s="27">
        <v>0</v>
      </c>
      <c r="AD381" s="28">
        <v>0</v>
      </c>
      <c r="AE381" s="27">
        <v>0</v>
      </c>
      <c r="AF381" s="28">
        <v>0</v>
      </c>
      <c r="AG381" s="27">
        <f>0.465038/1.18</f>
        <v>0.39410000000000001</v>
      </c>
      <c r="AH381" s="28">
        <f>0.465038/1.18</f>
        <v>0.39410000000000001</v>
      </c>
      <c r="AI381" s="27">
        <v>0</v>
      </c>
      <c r="AJ381" s="27">
        <v>0</v>
      </c>
      <c r="AK381" s="27">
        <v>0</v>
      </c>
      <c r="AL381" s="27">
        <v>0</v>
      </c>
      <c r="AM381" s="27">
        <f t="shared" si="34"/>
        <v>0.39410000000000001</v>
      </c>
      <c r="AN381" s="27">
        <f t="shared" si="33"/>
        <v>0.39410000000000001</v>
      </c>
      <c r="AO381" s="35" t="s">
        <v>1435</v>
      </c>
    </row>
    <row r="382" spans="1:41" ht="31.5" customHeight="1" x14ac:dyDescent="0.25">
      <c r="A382" s="8" t="s">
        <v>92</v>
      </c>
      <c r="B382" s="39" t="s">
        <v>704</v>
      </c>
      <c r="C382" s="29" t="s">
        <v>705</v>
      </c>
      <c r="D382" s="38" t="s">
        <v>1482</v>
      </c>
      <c r="E382" s="30">
        <v>2018</v>
      </c>
      <c r="F382" s="30">
        <v>2018</v>
      </c>
      <c r="G382" s="30" t="s">
        <v>1435</v>
      </c>
      <c r="H382" s="27">
        <v>0.81847499701337045</v>
      </c>
      <c r="I382" s="27">
        <v>0</v>
      </c>
      <c r="J382" s="27">
        <v>0</v>
      </c>
      <c r="K382" s="27">
        <v>5.8766504785559999</v>
      </c>
      <c r="L382" s="27">
        <v>0.352599</v>
      </c>
      <c r="M382" s="27">
        <v>0.4113655</v>
      </c>
      <c r="N382" s="27">
        <v>5.1126855000000004</v>
      </c>
      <c r="O382" s="27">
        <v>0</v>
      </c>
      <c r="P382" s="27"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0.81847499701337045</v>
      </c>
      <c r="V382" s="27">
        <v>5.8766504785559999</v>
      </c>
      <c r="W382" s="27">
        <v>0.81847499701337045</v>
      </c>
      <c r="X382" s="27">
        <f t="shared" si="32"/>
        <v>5.8766504785559999</v>
      </c>
      <c r="Y382" s="27">
        <v>0</v>
      </c>
      <c r="Z382" s="27">
        <f t="shared" si="31"/>
        <v>0</v>
      </c>
      <c r="AA382" s="27">
        <v>0</v>
      </c>
      <c r="AB382" s="28">
        <v>0</v>
      </c>
      <c r="AC382" s="27">
        <v>0</v>
      </c>
      <c r="AD382" s="28">
        <v>0</v>
      </c>
      <c r="AE382" s="27">
        <v>0</v>
      </c>
      <c r="AF382" s="28">
        <v>0</v>
      </c>
      <c r="AG382" s="27">
        <v>0</v>
      </c>
      <c r="AH382" s="28">
        <v>0</v>
      </c>
      <c r="AI382" s="27">
        <f>6.93444756469608/1.18</f>
        <v>5.8766504785559999</v>
      </c>
      <c r="AJ382" s="27">
        <v>0</v>
      </c>
      <c r="AK382" s="27">
        <v>0</v>
      </c>
      <c r="AL382" s="27">
        <v>0</v>
      </c>
      <c r="AM382" s="27">
        <f t="shared" si="34"/>
        <v>5.8766504785559999</v>
      </c>
      <c r="AN382" s="27">
        <f t="shared" si="33"/>
        <v>0</v>
      </c>
      <c r="AO382" s="35" t="s">
        <v>1435</v>
      </c>
    </row>
    <row r="383" spans="1:41" ht="31.5" customHeight="1" x14ac:dyDescent="0.25">
      <c r="A383" s="8" t="s">
        <v>92</v>
      </c>
      <c r="B383" s="39" t="s">
        <v>706</v>
      </c>
      <c r="C383" s="29" t="s">
        <v>707</v>
      </c>
      <c r="D383" s="38" t="s">
        <v>1482</v>
      </c>
      <c r="E383" s="30">
        <v>2018</v>
      </c>
      <c r="F383" s="30">
        <v>2018</v>
      </c>
      <c r="G383" s="30" t="s">
        <v>1435</v>
      </c>
      <c r="H383" s="27">
        <v>6.1167130919220068E-2</v>
      </c>
      <c r="I383" s="27">
        <v>0</v>
      </c>
      <c r="J383" s="27">
        <v>0</v>
      </c>
      <c r="K383" s="27">
        <v>0.43918000000000007</v>
      </c>
      <c r="L383" s="27">
        <v>0</v>
      </c>
      <c r="M383" s="27">
        <v>0.11253521210299153</v>
      </c>
      <c r="N383" s="27">
        <v>0.32664478789700846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6.1167130919220068E-2</v>
      </c>
      <c r="V383" s="27">
        <v>0.43918000000000007</v>
      </c>
      <c r="W383" s="27">
        <v>6.1167130919220068E-2</v>
      </c>
      <c r="X383" s="27">
        <f t="shared" si="32"/>
        <v>0.43918000000000007</v>
      </c>
      <c r="Y383" s="27">
        <v>0</v>
      </c>
      <c r="Z383" s="27">
        <f t="shared" si="31"/>
        <v>0</v>
      </c>
      <c r="AA383" s="27">
        <v>0</v>
      </c>
      <c r="AB383" s="28">
        <v>0</v>
      </c>
      <c r="AC383" s="27">
        <v>0</v>
      </c>
      <c r="AD383" s="28">
        <v>0</v>
      </c>
      <c r="AE383" s="27">
        <v>0</v>
      </c>
      <c r="AF383" s="28">
        <v>0</v>
      </c>
      <c r="AG383" s="27">
        <v>0</v>
      </c>
      <c r="AH383" s="28">
        <v>0</v>
      </c>
      <c r="AI383" s="27">
        <f>0.5182324/1.18</f>
        <v>0.43918000000000007</v>
      </c>
      <c r="AJ383" s="27">
        <v>0</v>
      </c>
      <c r="AK383" s="27">
        <v>0</v>
      </c>
      <c r="AL383" s="27">
        <v>0</v>
      </c>
      <c r="AM383" s="27">
        <f t="shared" si="34"/>
        <v>0.43918000000000007</v>
      </c>
      <c r="AN383" s="27">
        <f t="shared" si="33"/>
        <v>0</v>
      </c>
      <c r="AO383" s="35" t="s">
        <v>1435</v>
      </c>
    </row>
    <row r="384" spans="1:41" ht="31.5" customHeight="1" x14ac:dyDescent="0.25">
      <c r="A384" s="8" t="s">
        <v>92</v>
      </c>
      <c r="B384" s="39" t="s">
        <v>708</v>
      </c>
      <c r="C384" s="29" t="s">
        <v>709</v>
      </c>
      <c r="D384" s="38" t="s">
        <v>1482</v>
      </c>
      <c r="E384" s="30">
        <v>2018</v>
      </c>
      <c r="F384" s="30">
        <v>2018</v>
      </c>
      <c r="G384" s="30" t="s">
        <v>1435</v>
      </c>
      <c r="H384" s="27">
        <v>3.4952646239554318E-2</v>
      </c>
      <c r="I384" s="27">
        <v>0</v>
      </c>
      <c r="J384" s="27">
        <v>0</v>
      </c>
      <c r="K384" s="27">
        <v>0.25096000000000002</v>
      </c>
      <c r="L384" s="27">
        <v>0</v>
      </c>
      <c r="M384" s="27">
        <v>6.4305835487423732E-2</v>
      </c>
      <c r="N384" s="27">
        <v>0.18665416451257627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3.4952646239554318E-2</v>
      </c>
      <c r="V384" s="27">
        <v>0.25096000000000002</v>
      </c>
      <c r="W384" s="27">
        <v>3.4952646239554318E-2</v>
      </c>
      <c r="X384" s="27">
        <f t="shared" si="32"/>
        <v>0.25096000000000002</v>
      </c>
      <c r="Y384" s="27">
        <v>0</v>
      </c>
      <c r="Z384" s="27">
        <f t="shared" si="31"/>
        <v>0</v>
      </c>
      <c r="AA384" s="27">
        <v>0</v>
      </c>
      <c r="AB384" s="28">
        <v>0</v>
      </c>
      <c r="AC384" s="27">
        <v>0</v>
      </c>
      <c r="AD384" s="28">
        <v>0</v>
      </c>
      <c r="AE384" s="27">
        <v>0</v>
      </c>
      <c r="AF384" s="28">
        <v>0</v>
      </c>
      <c r="AG384" s="27">
        <v>0</v>
      </c>
      <c r="AH384" s="28">
        <v>0</v>
      </c>
      <c r="AI384" s="27">
        <f>0.2961328/1.18</f>
        <v>0.25096000000000002</v>
      </c>
      <c r="AJ384" s="27">
        <v>0</v>
      </c>
      <c r="AK384" s="27">
        <v>0</v>
      </c>
      <c r="AL384" s="27">
        <v>0</v>
      </c>
      <c r="AM384" s="27">
        <f t="shared" si="34"/>
        <v>0.25096000000000002</v>
      </c>
      <c r="AN384" s="27">
        <f t="shared" si="33"/>
        <v>0</v>
      </c>
      <c r="AO384" s="35" t="s">
        <v>1435</v>
      </c>
    </row>
    <row r="385" spans="1:41" ht="31.5" customHeight="1" x14ac:dyDescent="0.25">
      <c r="A385" s="8" t="s">
        <v>92</v>
      </c>
      <c r="B385" s="39" t="s">
        <v>710</v>
      </c>
      <c r="C385" s="29" t="s">
        <v>711</v>
      </c>
      <c r="D385" s="38" t="s">
        <v>1482</v>
      </c>
      <c r="E385" s="30">
        <v>2018</v>
      </c>
      <c r="F385" s="30">
        <v>2018</v>
      </c>
      <c r="G385" s="30" t="s">
        <v>1435</v>
      </c>
      <c r="H385" s="27">
        <v>3.4952646239554318E-2</v>
      </c>
      <c r="I385" s="27">
        <v>0</v>
      </c>
      <c r="J385" s="27">
        <v>0</v>
      </c>
      <c r="K385" s="27">
        <v>0.25096000000000002</v>
      </c>
      <c r="L385" s="27">
        <v>0</v>
      </c>
      <c r="M385" s="27">
        <v>6.4305835487423732E-2</v>
      </c>
      <c r="N385" s="27">
        <v>0.18665416451257627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3.4952646239554318E-2</v>
      </c>
      <c r="V385" s="27">
        <v>0.25096000000000002</v>
      </c>
      <c r="W385" s="27">
        <v>3.4952646239554318E-2</v>
      </c>
      <c r="X385" s="27">
        <f t="shared" si="32"/>
        <v>0.25096000000000002</v>
      </c>
      <c r="Y385" s="27">
        <v>0</v>
      </c>
      <c r="Z385" s="27">
        <f t="shared" si="31"/>
        <v>0</v>
      </c>
      <c r="AA385" s="27">
        <v>0</v>
      </c>
      <c r="AB385" s="28">
        <v>0</v>
      </c>
      <c r="AC385" s="27">
        <v>0</v>
      </c>
      <c r="AD385" s="28">
        <v>0</v>
      </c>
      <c r="AE385" s="27">
        <v>0</v>
      </c>
      <c r="AF385" s="28">
        <v>0</v>
      </c>
      <c r="AG385" s="27">
        <v>0</v>
      </c>
      <c r="AH385" s="28">
        <v>0</v>
      </c>
      <c r="AI385" s="27">
        <f>0.2961328/1.18</f>
        <v>0.25096000000000002</v>
      </c>
      <c r="AJ385" s="27">
        <v>0</v>
      </c>
      <c r="AK385" s="27">
        <v>0</v>
      </c>
      <c r="AL385" s="27">
        <v>0</v>
      </c>
      <c r="AM385" s="27">
        <f t="shared" si="34"/>
        <v>0.25096000000000002</v>
      </c>
      <c r="AN385" s="27">
        <f t="shared" si="33"/>
        <v>0</v>
      </c>
      <c r="AO385" s="35" t="s">
        <v>1435</v>
      </c>
    </row>
    <row r="386" spans="1:41" ht="31.5" customHeight="1" x14ac:dyDescent="0.25">
      <c r="A386" s="8" t="s">
        <v>92</v>
      </c>
      <c r="B386" s="39" t="s">
        <v>712</v>
      </c>
      <c r="C386" s="29" t="s">
        <v>713</v>
      </c>
      <c r="D386" s="38" t="s">
        <v>1482</v>
      </c>
      <c r="E386" s="30">
        <v>2018</v>
      </c>
      <c r="F386" s="30">
        <v>2018</v>
      </c>
      <c r="G386" s="30" t="s">
        <v>1435</v>
      </c>
      <c r="H386" s="27">
        <v>3.4952646239554318E-2</v>
      </c>
      <c r="I386" s="27">
        <v>0</v>
      </c>
      <c r="J386" s="27">
        <v>0</v>
      </c>
      <c r="K386" s="27">
        <v>0.25096000000000002</v>
      </c>
      <c r="L386" s="27">
        <v>0</v>
      </c>
      <c r="M386" s="27">
        <v>6.4305835487423732E-2</v>
      </c>
      <c r="N386" s="27">
        <v>0.18665416451257627</v>
      </c>
      <c r="O386" s="27">
        <v>0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3.4952646239554318E-2</v>
      </c>
      <c r="V386" s="27">
        <v>0.25096000000000002</v>
      </c>
      <c r="W386" s="27">
        <v>3.4952646239554318E-2</v>
      </c>
      <c r="X386" s="27">
        <f t="shared" si="32"/>
        <v>0.25096000000000002</v>
      </c>
      <c r="Y386" s="27">
        <v>0</v>
      </c>
      <c r="Z386" s="27">
        <f t="shared" si="31"/>
        <v>0</v>
      </c>
      <c r="AA386" s="27">
        <v>0</v>
      </c>
      <c r="AB386" s="28">
        <v>0</v>
      </c>
      <c r="AC386" s="27">
        <v>0</v>
      </c>
      <c r="AD386" s="28">
        <v>0</v>
      </c>
      <c r="AE386" s="27">
        <v>0</v>
      </c>
      <c r="AF386" s="28">
        <v>0</v>
      </c>
      <c r="AG386" s="27">
        <v>0</v>
      </c>
      <c r="AH386" s="28">
        <v>0</v>
      </c>
      <c r="AI386" s="27">
        <f>0.2961328/1.18</f>
        <v>0.25096000000000002</v>
      </c>
      <c r="AJ386" s="27">
        <v>0</v>
      </c>
      <c r="AK386" s="27">
        <v>0</v>
      </c>
      <c r="AL386" s="27">
        <v>0</v>
      </c>
      <c r="AM386" s="27">
        <f t="shared" si="34"/>
        <v>0.25096000000000002</v>
      </c>
      <c r="AN386" s="27">
        <f t="shared" si="33"/>
        <v>0</v>
      </c>
      <c r="AO386" s="35" t="s">
        <v>1435</v>
      </c>
    </row>
    <row r="387" spans="1:41" ht="31.5" customHeight="1" x14ac:dyDescent="0.25">
      <c r="A387" s="8" t="s">
        <v>92</v>
      </c>
      <c r="B387" s="39" t="s">
        <v>714</v>
      </c>
      <c r="C387" s="29" t="s">
        <v>715</v>
      </c>
      <c r="D387" s="38" t="s">
        <v>1482</v>
      </c>
      <c r="E387" s="30">
        <v>2018</v>
      </c>
      <c r="F387" s="30">
        <v>2018</v>
      </c>
      <c r="G387" s="30" t="s">
        <v>1435</v>
      </c>
      <c r="H387" s="27">
        <v>2.6214484679665744E-2</v>
      </c>
      <c r="I387" s="27">
        <v>0</v>
      </c>
      <c r="J387" s="27">
        <v>0</v>
      </c>
      <c r="K387" s="27">
        <v>0.18822000000000003</v>
      </c>
      <c r="L387" s="27">
        <v>0</v>
      </c>
      <c r="M387" s="27">
        <v>4.8229376615567802E-2</v>
      </c>
      <c r="N387" s="27">
        <v>0.13999062338443219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2.6214484679665744E-2</v>
      </c>
      <c r="V387" s="27">
        <v>0.18822000000000003</v>
      </c>
      <c r="W387" s="27">
        <v>2.6214484679665744E-2</v>
      </c>
      <c r="X387" s="27">
        <f t="shared" si="32"/>
        <v>0.18822000000000003</v>
      </c>
      <c r="Y387" s="27">
        <v>0</v>
      </c>
      <c r="Z387" s="27">
        <f t="shared" si="31"/>
        <v>0</v>
      </c>
      <c r="AA387" s="27">
        <v>0</v>
      </c>
      <c r="AB387" s="28">
        <v>0</v>
      </c>
      <c r="AC387" s="27">
        <v>0</v>
      </c>
      <c r="AD387" s="28">
        <v>0</v>
      </c>
      <c r="AE387" s="27">
        <v>0</v>
      </c>
      <c r="AF387" s="28">
        <v>0</v>
      </c>
      <c r="AG387" s="27">
        <v>0</v>
      </c>
      <c r="AH387" s="28">
        <v>0</v>
      </c>
      <c r="AI387" s="27">
        <f>0.2220996/1.18</f>
        <v>0.18822000000000003</v>
      </c>
      <c r="AJ387" s="27">
        <v>0</v>
      </c>
      <c r="AK387" s="27">
        <v>0</v>
      </c>
      <c r="AL387" s="27">
        <v>0</v>
      </c>
      <c r="AM387" s="27">
        <f t="shared" si="34"/>
        <v>0.18822000000000003</v>
      </c>
      <c r="AN387" s="27">
        <f t="shared" si="33"/>
        <v>0</v>
      </c>
      <c r="AO387" s="35" t="s">
        <v>1435</v>
      </c>
    </row>
    <row r="388" spans="1:41" ht="31.5" customHeight="1" x14ac:dyDescent="0.25">
      <c r="A388" s="8" t="s">
        <v>92</v>
      </c>
      <c r="B388" s="39" t="s">
        <v>583</v>
      </c>
      <c r="C388" s="29" t="s">
        <v>716</v>
      </c>
      <c r="D388" s="38" t="s">
        <v>1482</v>
      </c>
      <c r="E388" s="30">
        <v>2018</v>
      </c>
      <c r="F388" s="30">
        <v>2018</v>
      </c>
      <c r="G388" s="30" t="s">
        <v>1435</v>
      </c>
      <c r="H388" s="27">
        <v>1.4364902506963791E-2</v>
      </c>
      <c r="I388" s="27">
        <v>0</v>
      </c>
      <c r="J388" s="27">
        <v>0</v>
      </c>
      <c r="K388" s="27">
        <v>0.10314000000000001</v>
      </c>
      <c r="L388" s="27">
        <v>0</v>
      </c>
      <c r="M388" s="27">
        <v>2.5423728813559324E-2</v>
      </c>
      <c r="N388" s="27">
        <v>7.2587730643779672E-2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1.4364902506963791E-2</v>
      </c>
      <c r="V388" s="27">
        <v>0.10314000000000001</v>
      </c>
      <c r="W388" s="27">
        <v>1.4364902506963791E-2</v>
      </c>
      <c r="X388" s="27">
        <f t="shared" si="32"/>
        <v>0.10314000000000001</v>
      </c>
      <c r="Y388" s="27">
        <v>0</v>
      </c>
      <c r="Z388" s="27">
        <f t="shared" ref="Z388:Z451" si="36">AH388</f>
        <v>0</v>
      </c>
      <c r="AA388" s="27">
        <v>0</v>
      </c>
      <c r="AB388" s="28">
        <v>0</v>
      </c>
      <c r="AC388" s="27">
        <v>0</v>
      </c>
      <c r="AD388" s="28">
        <v>0</v>
      </c>
      <c r="AE388" s="27">
        <v>0</v>
      </c>
      <c r="AF388" s="28">
        <v>0</v>
      </c>
      <c r="AG388" s="27">
        <v>0</v>
      </c>
      <c r="AH388" s="28">
        <v>0</v>
      </c>
      <c r="AI388" s="27">
        <f>0.1217052/1.18</f>
        <v>0.10314000000000001</v>
      </c>
      <c r="AJ388" s="27">
        <v>0</v>
      </c>
      <c r="AK388" s="27">
        <v>0</v>
      </c>
      <c r="AL388" s="27">
        <v>0</v>
      </c>
      <c r="AM388" s="27">
        <f t="shared" si="34"/>
        <v>0.10314000000000001</v>
      </c>
      <c r="AN388" s="27">
        <f t="shared" si="33"/>
        <v>0</v>
      </c>
      <c r="AO388" s="35" t="s">
        <v>1435</v>
      </c>
    </row>
    <row r="389" spans="1:41" ht="31.5" customHeight="1" x14ac:dyDescent="0.25">
      <c r="A389" s="8" t="s">
        <v>92</v>
      </c>
      <c r="B389" s="39" t="s">
        <v>717</v>
      </c>
      <c r="C389" s="29" t="s">
        <v>718</v>
      </c>
      <c r="D389" s="38" t="s">
        <v>1482</v>
      </c>
      <c r="E389" s="30">
        <v>2018</v>
      </c>
      <c r="F389" s="30">
        <v>2018</v>
      </c>
      <c r="G389" s="30" t="s">
        <v>1435</v>
      </c>
      <c r="H389" s="27">
        <v>5.0277158774373262E-2</v>
      </c>
      <c r="I389" s="27">
        <v>0</v>
      </c>
      <c r="J389" s="27">
        <v>0</v>
      </c>
      <c r="K389" s="27">
        <v>0.36099000000000003</v>
      </c>
      <c r="L389" s="27">
        <v>0</v>
      </c>
      <c r="M389" s="27">
        <v>0.10693294274677119</v>
      </c>
      <c r="N389" s="27">
        <v>0.2540570572532288</v>
      </c>
      <c r="O389" s="27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5.0277158774373262E-2</v>
      </c>
      <c r="V389" s="27">
        <v>0.36099000000000003</v>
      </c>
      <c r="W389" s="27">
        <v>5.0277158774373262E-2</v>
      </c>
      <c r="X389" s="27">
        <f t="shared" si="32"/>
        <v>0.36099000000000003</v>
      </c>
      <c r="Y389" s="27">
        <v>0</v>
      </c>
      <c r="Z389" s="27">
        <f t="shared" si="36"/>
        <v>0</v>
      </c>
      <c r="AA389" s="27">
        <v>0</v>
      </c>
      <c r="AB389" s="28">
        <v>0</v>
      </c>
      <c r="AC389" s="27">
        <v>0</v>
      </c>
      <c r="AD389" s="28">
        <v>0</v>
      </c>
      <c r="AE389" s="27">
        <v>0</v>
      </c>
      <c r="AF389" s="28">
        <v>0</v>
      </c>
      <c r="AG389" s="27">
        <v>0</v>
      </c>
      <c r="AH389" s="28">
        <v>0</v>
      </c>
      <c r="AI389" s="27">
        <f>0.4259682/1.18</f>
        <v>0.36099000000000003</v>
      </c>
      <c r="AJ389" s="27">
        <v>0</v>
      </c>
      <c r="AK389" s="27">
        <v>0</v>
      </c>
      <c r="AL389" s="27">
        <v>0</v>
      </c>
      <c r="AM389" s="27">
        <f t="shared" si="34"/>
        <v>0.36099000000000003</v>
      </c>
      <c r="AN389" s="27">
        <f t="shared" si="33"/>
        <v>0</v>
      </c>
      <c r="AO389" s="35" t="s">
        <v>1435</v>
      </c>
    </row>
    <row r="390" spans="1:41" ht="31.5" customHeight="1" x14ac:dyDescent="0.25">
      <c r="A390" s="8" t="s">
        <v>92</v>
      </c>
      <c r="B390" s="39" t="s">
        <v>719</v>
      </c>
      <c r="C390" s="29" t="s">
        <v>720</v>
      </c>
      <c r="D390" s="38" t="s">
        <v>1482</v>
      </c>
      <c r="E390" s="30">
        <v>2018</v>
      </c>
      <c r="F390" s="30">
        <v>2018</v>
      </c>
      <c r="G390" s="30" t="s">
        <v>1435</v>
      </c>
      <c r="H390" s="27">
        <v>5.0277158774373262E-2</v>
      </c>
      <c r="I390" s="27">
        <v>0</v>
      </c>
      <c r="J390" s="27">
        <v>0</v>
      </c>
      <c r="K390" s="27">
        <v>0.36099000000000003</v>
      </c>
      <c r="L390" s="27">
        <v>0</v>
      </c>
      <c r="M390" s="27">
        <v>0.10693294274677119</v>
      </c>
      <c r="N390" s="27">
        <v>0.2540570572532288</v>
      </c>
      <c r="O390" s="27">
        <v>0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5.0277158774373262E-2</v>
      </c>
      <c r="V390" s="27">
        <v>0.36099000000000003</v>
      </c>
      <c r="W390" s="27">
        <v>5.0277158774373262E-2</v>
      </c>
      <c r="X390" s="27">
        <f t="shared" si="32"/>
        <v>0.36099000000000003</v>
      </c>
      <c r="Y390" s="27">
        <v>0</v>
      </c>
      <c r="Z390" s="27">
        <f t="shared" si="36"/>
        <v>0</v>
      </c>
      <c r="AA390" s="27">
        <v>0</v>
      </c>
      <c r="AB390" s="28">
        <v>0</v>
      </c>
      <c r="AC390" s="27">
        <v>0</v>
      </c>
      <c r="AD390" s="28">
        <v>0</v>
      </c>
      <c r="AE390" s="27">
        <v>0</v>
      </c>
      <c r="AF390" s="28">
        <v>0</v>
      </c>
      <c r="AG390" s="27">
        <v>0</v>
      </c>
      <c r="AH390" s="28">
        <v>0</v>
      </c>
      <c r="AI390" s="27">
        <f>0.4259682/1.18</f>
        <v>0.36099000000000003</v>
      </c>
      <c r="AJ390" s="27">
        <v>0</v>
      </c>
      <c r="AK390" s="27">
        <v>0</v>
      </c>
      <c r="AL390" s="27">
        <v>0</v>
      </c>
      <c r="AM390" s="27">
        <f t="shared" si="34"/>
        <v>0.36099000000000003</v>
      </c>
      <c r="AN390" s="27">
        <f t="shared" si="33"/>
        <v>0</v>
      </c>
      <c r="AO390" s="35" t="s">
        <v>1435</v>
      </c>
    </row>
    <row r="391" spans="1:41" s="2" customFormat="1" ht="31.5" customHeight="1" x14ac:dyDescent="0.25">
      <c r="A391" s="8" t="s">
        <v>92</v>
      </c>
      <c r="B391" s="39" t="s">
        <v>721</v>
      </c>
      <c r="C391" s="29" t="s">
        <v>722</v>
      </c>
      <c r="D391" s="36" t="s">
        <v>1482</v>
      </c>
      <c r="E391" s="30">
        <v>2018</v>
      </c>
      <c r="F391" s="30">
        <v>2018</v>
      </c>
      <c r="G391" s="30" t="s">
        <v>1435</v>
      </c>
      <c r="H391" s="27">
        <v>2.1547353760445684E-2</v>
      </c>
      <c r="I391" s="27">
        <v>0</v>
      </c>
      <c r="J391" s="27">
        <v>0</v>
      </c>
      <c r="K391" s="27">
        <v>0.15471000000000001</v>
      </c>
      <c r="L391" s="27">
        <v>0</v>
      </c>
      <c r="M391" s="27">
        <v>4.5828404034330514E-2</v>
      </c>
      <c r="N391" s="27">
        <v>0.1088815959656695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2.1547353760445684E-2</v>
      </c>
      <c r="V391" s="27">
        <v>0.15471000000000001</v>
      </c>
      <c r="W391" s="27">
        <v>2.1547353760445684E-2</v>
      </c>
      <c r="X391" s="27">
        <f t="shared" si="32"/>
        <v>0.15471000000000001</v>
      </c>
      <c r="Y391" s="27">
        <v>0</v>
      </c>
      <c r="Z391" s="27">
        <f t="shared" si="36"/>
        <v>0</v>
      </c>
      <c r="AA391" s="27">
        <v>0</v>
      </c>
      <c r="AB391" s="28">
        <v>0</v>
      </c>
      <c r="AC391" s="27">
        <v>0</v>
      </c>
      <c r="AD391" s="28">
        <v>0</v>
      </c>
      <c r="AE391" s="27">
        <v>0</v>
      </c>
      <c r="AF391" s="28">
        <v>0</v>
      </c>
      <c r="AG391" s="27">
        <v>0</v>
      </c>
      <c r="AH391" s="28">
        <v>0</v>
      </c>
      <c r="AI391" s="27">
        <f>0.1825578/1.18</f>
        <v>0.15471000000000001</v>
      </c>
      <c r="AJ391" s="27">
        <v>0</v>
      </c>
      <c r="AK391" s="27">
        <v>0</v>
      </c>
      <c r="AL391" s="27">
        <v>0</v>
      </c>
      <c r="AM391" s="27">
        <f t="shared" si="34"/>
        <v>0.15471000000000001</v>
      </c>
      <c r="AN391" s="27">
        <f t="shared" si="33"/>
        <v>0</v>
      </c>
      <c r="AO391" s="35" t="s">
        <v>1435</v>
      </c>
    </row>
    <row r="392" spans="1:41" s="2" customFormat="1" ht="31.5" customHeight="1" x14ac:dyDescent="0.25">
      <c r="A392" s="8" t="s">
        <v>92</v>
      </c>
      <c r="B392" s="39" t="s">
        <v>723</v>
      </c>
      <c r="C392" s="29" t="s">
        <v>724</v>
      </c>
      <c r="D392" s="36" t="s">
        <v>1482</v>
      </c>
      <c r="E392" s="30">
        <v>2018</v>
      </c>
      <c r="F392" s="30">
        <v>2018</v>
      </c>
      <c r="G392" s="30" t="s">
        <v>1435</v>
      </c>
      <c r="H392" s="27">
        <v>5.0277158774373262E-2</v>
      </c>
      <c r="I392" s="27">
        <v>0</v>
      </c>
      <c r="J392" s="27">
        <v>0</v>
      </c>
      <c r="K392" s="27">
        <v>0.36099000000000003</v>
      </c>
      <c r="L392" s="27">
        <v>0</v>
      </c>
      <c r="M392" s="27">
        <v>0.10693294274677119</v>
      </c>
      <c r="N392" s="27">
        <v>0.2540570572532288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5.0277158774373262E-2</v>
      </c>
      <c r="V392" s="27">
        <v>0.36099000000000003</v>
      </c>
      <c r="W392" s="27">
        <v>5.0277158774373262E-2</v>
      </c>
      <c r="X392" s="27">
        <f t="shared" si="32"/>
        <v>0.36099000000000003</v>
      </c>
      <c r="Y392" s="27">
        <v>0</v>
      </c>
      <c r="Z392" s="27">
        <f t="shared" si="36"/>
        <v>0</v>
      </c>
      <c r="AA392" s="27">
        <v>0</v>
      </c>
      <c r="AB392" s="28">
        <v>0</v>
      </c>
      <c r="AC392" s="27">
        <v>0</v>
      </c>
      <c r="AD392" s="28">
        <v>0</v>
      </c>
      <c r="AE392" s="27">
        <v>0</v>
      </c>
      <c r="AF392" s="28">
        <v>0</v>
      </c>
      <c r="AG392" s="27">
        <v>0</v>
      </c>
      <c r="AH392" s="28">
        <v>0</v>
      </c>
      <c r="AI392" s="27">
        <f>0.4259682/1.18</f>
        <v>0.36099000000000003</v>
      </c>
      <c r="AJ392" s="27">
        <v>0</v>
      </c>
      <c r="AK392" s="27">
        <v>0</v>
      </c>
      <c r="AL392" s="27">
        <v>0</v>
      </c>
      <c r="AM392" s="27">
        <f t="shared" si="34"/>
        <v>0.36099000000000003</v>
      </c>
      <c r="AN392" s="27">
        <f t="shared" si="33"/>
        <v>0</v>
      </c>
      <c r="AO392" s="35" t="s">
        <v>1435</v>
      </c>
    </row>
    <row r="393" spans="1:41" ht="31.5" customHeight="1" x14ac:dyDescent="0.25">
      <c r="A393" s="8" t="s">
        <v>92</v>
      </c>
      <c r="B393" s="39" t="s">
        <v>725</v>
      </c>
      <c r="C393" s="29" t="s">
        <v>726</v>
      </c>
      <c r="D393" s="38" t="s">
        <v>1482</v>
      </c>
      <c r="E393" s="30">
        <v>2018</v>
      </c>
      <c r="F393" s="30">
        <v>2018</v>
      </c>
      <c r="G393" s="30" t="s">
        <v>1435</v>
      </c>
      <c r="H393" s="27">
        <v>0.58425069637883009</v>
      </c>
      <c r="I393" s="27">
        <v>0</v>
      </c>
      <c r="J393" s="27">
        <v>0</v>
      </c>
      <c r="K393" s="27">
        <v>4.1949199999999998</v>
      </c>
      <c r="L393" s="27">
        <v>0</v>
      </c>
      <c r="M393" s="27">
        <v>1.4417710734395002</v>
      </c>
      <c r="N393" s="27">
        <v>2.7531489265605003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0.58425069637883009</v>
      </c>
      <c r="V393" s="27">
        <v>4.1949199999999998</v>
      </c>
      <c r="W393" s="27">
        <v>0.58425069637883009</v>
      </c>
      <c r="X393" s="27">
        <f t="shared" ref="X393:X456" si="37">AG393+AI393+AK393</f>
        <v>4.1949199999999998</v>
      </c>
      <c r="Y393" s="27">
        <v>0</v>
      </c>
      <c r="Z393" s="27">
        <f t="shared" si="36"/>
        <v>0</v>
      </c>
      <c r="AA393" s="27">
        <v>0</v>
      </c>
      <c r="AB393" s="28">
        <v>0</v>
      </c>
      <c r="AC393" s="27">
        <v>0</v>
      </c>
      <c r="AD393" s="28">
        <v>0</v>
      </c>
      <c r="AE393" s="27">
        <v>0</v>
      </c>
      <c r="AF393" s="28">
        <v>0</v>
      </c>
      <c r="AG393" s="27">
        <v>0</v>
      </c>
      <c r="AH393" s="28">
        <v>0</v>
      </c>
      <c r="AI393" s="27">
        <f>4.9500056/1.18</f>
        <v>4.1949199999999998</v>
      </c>
      <c r="AJ393" s="27">
        <v>0</v>
      </c>
      <c r="AK393" s="27">
        <v>0</v>
      </c>
      <c r="AL393" s="27">
        <v>0</v>
      </c>
      <c r="AM393" s="27">
        <f t="shared" si="34"/>
        <v>4.1949199999999998</v>
      </c>
      <c r="AN393" s="27">
        <f t="shared" si="33"/>
        <v>0</v>
      </c>
      <c r="AO393" s="35" t="s">
        <v>1435</v>
      </c>
    </row>
    <row r="394" spans="1:41" ht="31.5" customHeight="1" x14ac:dyDescent="0.25">
      <c r="A394" s="8" t="s">
        <v>92</v>
      </c>
      <c r="B394" s="39" t="s">
        <v>727</v>
      </c>
      <c r="C394" s="29" t="s">
        <v>728</v>
      </c>
      <c r="D394" s="38" t="s">
        <v>1482</v>
      </c>
      <c r="E394" s="30">
        <v>2018</v>
      </c>
      <c r="F394" s="30">
        <v>2018</v>
      </c>
      <c r="G394" s="30" t="s">
        <v>1435</v>
      </c>
      <c r="H394" s="27">
        <v>0.71526323119777158</v>
      </c>
      <c r="I394" s="27">
        <v>0</v>
      </c>
      <c r="J394" s="27">
        <v>0</v>
      </c>
      <c r="K394" s="27">
        <v>5.1355899999999997</v>
      </c>
      <c r="L394" s="27">
        <v>0</v>
      </c>
      <c r="M394" s="27">
        <v>1.7706302008705002</v>
      </c>
      <c r="N394" s="27">
        <v>3.3649597991295002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0.71526323119777158</v>
      </c>
      <c r="V394" s="27">
        <v>5.1355899999999997</v>
      </c>
      <c r="W394" s="27">
        <v>0.71526323119777158</v>
      </c>
      <c r="X394" s="27">
        <f t="shared" si="37"/>
        <v>5.1355899999999997</v>
      </c>
      <c r="Y394" s="27">
        <v>0</v>
      </c>
      <c r="Z394" s="27">
        <f t="shared" si="36"/>
        <v>0</v>
      </c>
      <c r="AA394" s="27">
        <v>0</v>
      </c>
      <c r="AB394" s="28">
        <v>0</v>
      </c>
      <c r="AC394" s="27">
        <v>0</v>
      </c>
      <c r="AD394" s="28">
        <v>0</v>
      </c>
      <c r="AE394" s="27">
        <v>0</v>
      </c>
      <c r="AF394" s="28">
        <v>0</v>
      </c>
      <c r="AG394" s="27">
        <v>0</v>
      </c>
      <c r="AH394" s="28">
        <v>0</v>
      </c>
      <c r="AI394" s="27">
        <f>6.0599962/1.18</f>
        <v>5.1355899999999997</v>
      </c>
      <c r="AJ394" s="27">
        <v>0</v>
      </c>
      <c r="AK394" s="27">
        <v>0</v>
      </c>
      <c r="AL394" s="27">
        <v>0</v>
      </c>
      <c r="AM394" s="27">
        <f t="shared" si="34"/>
        <v>5.1355899999999997</v>
      </c>
      <c r="AN394" s="27">
        <f t="shared" si="33"/>
        <v>0</v>
      </c>
      <c r="AO394" s="35" t="s">
        <v>1435</v>
      </c>
    </row>
    <row r="395" spans="1:41" ht="31.5" customHeight="1" x14ac:dyDescent="0.25">
      <c r="A395" s="8" t="s">
        <v>92</v>
      </c>
      <c r="B395" s="39" t="s">
        <v>729</v>
      </c>
      <c r="C395" s="29" t="s">
        <v>730</v>
      </c>
      <c r="D395" s="38" t="s">
        <v>1482</v>
      </c>
      <c r="E395" s="30">
        <v>2018</v>
      </c>
      <c r="F395" s="30">
        <v>2018</v>
      </c>
      <c r="G395" s="30" t="s">
        <v>1435</v>
      </c>
      <c r="H395" s="27">
        <v>6.6518105849582176E-2</v>
      </c>
      <c r="I395" s="27">
        <v>0</v>
      </c>
      <c r="J395" s="27">
        <v>0</v>
      </c>
      <c r="K395" s="27">
        <v>0.47759999999999997</v>
      </c>
      <c r="L395" s="27">
        <v>0</v>
      </c>
      <c r="M395" s="27">
        <v>0.13540069839361019</v>
      </c>
      <c r="N395" s="27">
        <v>0.34219930160638984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6.6518105849582176E-2</v>
      </c>
      <c r="V395" s="27">
        <v>0.47759999999999997</v>
      </c>
      <c r="W395" s="27">
        <v>6.6518105849582176E-2</v>
      </c>
      <c r="X395" s="27">
        <f t="shared" si="37"/>
        <v>0.47759999999999997</v>
      </c>
      <c r="Y395" s="27">
        <v>0</v>
      </c>
      <c r="Z395" s="27">
        <f t="shared" si="36"/>
        <v>0</v>
      </c>
      <c r="AA395" s="27">
        <v>0</v>
      </c>
      <c r="AB395" s="28">
        <v>0</v>
      </c>
      <c r="AC395" s="27">
        <v>0</v>
      </c>
      <c r="AD395" s="28">
        <v>0</v>
      </c>
      <c r="AE395" s="27">
        <v>0</v>
      </c>
      <c r="AF395" s="28">
        <v>0</v>
      </c>
      <c r="AG395" s="27">
        <v>0</v>
      </c>
      <c r="AH395" s="28">
        <v>0</v>
      </c>
      <c r="AI395" s="27">
        <f>0.563568/1.18</f>
        <v>0.47759999999999997</v>
      </c>
      <c r="AJ395" s="27">
        <v>0</v>
      </c>
      <c r="AK395" s="27">
        <v>0</v>
      </c>
      <c r="AL395" s="27">
        <v>0</v>
      </c>
      <c r="AM395" s="27">
        <f t="shared" si="34"/>
        <v>0.47759999999999997</v>
      </c>
      <c r="AN395" s="27">
        <f t="shared" si="33"/>
        <v>0</v>
      </c>
      <c r="AO395" s="35" t="s">
        <v>1435</v>
      </c>
    </row>
    <row r="396" spans="1:41" ht="31.5" customHeight="1" x14ac:dyDescent="0.25">
      <c r="A396" s="8" t="s">
        <v>92</v>
      </c>
      <c r="B396" s="39" t="s">
        <v>731</v>
      </c>
      <c r="C396" s="29" t="s">
        <v>732</v>
      </c>
      <c r="D396" s="38" t="s">
        <v>1482</v>
      </c>
      <c r="E396" s="30">
        <v>2018</v>
      </c>
      <c r="F396" s="30">
        <v>2018</v>
      </c>
      <c r="G396" s="30" t="s">
        <v>1435</v>
      </c>
      <c r="H396" s="27">
        <v>4.4345403899721456E-2</v>
      </c>
      <c r="I396" s="27">
        <v>0</v>
      </c>
      <c r="J396" s="27">
        <v>0</v>
      </c>
      <c r="K396" s="27">
        <v>0.31840000000000002</v>
      </c>
      <c r="L396" s="27">
        <v>0</v>
      </c>
      <c r="M396" s="27">
        <v>9.0267132262406777E-2</v>
      </c>
      <c r="N396" s="27">
        <v>0.22813286773759323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4.4345403899721456E-2</v>
      </c>
      <c r="V396" s="27">
        <v>0.31840000000000002</v>
      </c>
      <c r="W396" s="27">
        <v>4.4345403899721456E-2</v>
      </c>
      <c r="X396" s="27">
        <f t="shared" si="37"/>
        <v>0.31840000000000002</v>
      </c>
      <c r="Y396" s="27">
        <v>0</v>
      </c>
      <c r="Z396" s="27">
        <f t="shared" si="36"/>
        <v>0</v>
      </c>
      <c r="AA396" s="27">
        <v>0</v>
      </c>
      <c r="AB396" s="28">
        <v>0</v>
      </c>
      <c r="AC396" s="27">
        <v>0</v>
      </c>
      <c r="AD396" s="28">
        <v>0</v>
      </c>
      <c r="AE396" s="27">
        <v>0</v>
      </c>
      <c r="AF396" s="28">
        <v>0</v>
      </c>
      <c r="AG396" s="27">
        <v>0</v>
      </c>
      <c r="AH396" s="28">
        <v>0</v>
      </c>
      <c r="AI396" s="27">
        <f>0.375712/1.18</f>
        <v>0.31840000000000002</v>
      </c>
      <c r="AJ396" s="27">
        <v>0</v>
      </c>
      <c r="AK396" s="27">
        <v>0</v>
      </c>
      <c r="AL396" s="27">
        <v>0</v>
      </c>
      <c r="AM396" s="27">
        <f t="shared" si="34"/>
        <v>0.31840000000000002</v>
      </c>
      <c r="AN396" s="27">
        <f t="shared" si="33"/>
        <v>0</v>
      </c>
      <c r="AO396" s="35" t="s">
        <v>1435</v>
      </c>
    </row>
    <row r="397" spans="1:41" ht="31.5" customHeight="1" x14ac:dyDescent="0.25">
      <c r="A397" s="8" t="s">
        <v>92</v>
      </c>
      <c r="B397" s="39" t="s">
        <v>733</v>
      </c>
      <c r="C397" s="29" t="s">
        <v>734</v>
      </c>
      <c r="D397" s="38" t="s">
        <v>1482</v>
      </c>
      <c r="E397" s="30">
        <v>2018</v>
      </c>
      <c r="F397" s="30">
        <v>2018</v>
      </c>
      <c r="G397" s="30" t="s">
        <v>1435</v>
      </c>
      <c r="H397" s="27">
        <v>4.4345403899721456E-2</v>
      </c>
      <c r="I397" s="27">
        <v>0</v>
      </c>
      <c r="J397" s="27">
        <v>0</v>
      </c>
      <c r="K397" s="27">
        <v>0.31840000000000002</v>
      </c>
      <c r="L397" s="27">
        <v>0</v>
      </c>
      <c r="M397" s="27">
        <v>9.0267132262406777E-2</v>
      </c>
      <c r="N397" s="27">
        <v>0.22813286773759323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4.4345403899721456E-2</v>
      </c>
      <c r="V397" s="27">
        <v>0.31840000000000002</v>
      </c>
      <c r="W397" s="27">
        <v>4.4345403899721456E-2</v>
      </c>
      <c r="X397" s="27">
        <f t="shared" si="37"/>
        <v>0.31840000000000002</v>
      </c>
      <c r="Y397" s="27">
        <v>0</v>
      </c>
      <c r="Z397" s="27">
        <f t="shared" si="36"/>
        <v>0</v>
      </c>
      <c r="AA397" s="27">
        <v>0</v>
      </c>
      <c r="AB397" s="28">
        <v>0</v>
      </c>
      <c r="AC397" s="27">
        <v>0</v>
      </c>
      <c r="AD397" s="28">
        <v>0</v>
      </c>
      <c r="AE397" s="27">
        <v>0</v>
      </c>
      <c r="AF397" s="28">
        <v>0</v>
      </c>
      <c r="AG397" s="27">
        <v>0</v>
      </c>
      <c r="AH397" s="28">
        <v>0</v>
      </c>
      <c r="AI397" s="27">
        <f>0.375712/1.18</f>
        <v>0.31840000000000002</v>
      </c>
      <c r="AJ397" s="27">
        <v>0</v>
      </c>
      <c r="AK397" s="27">
        <v>0</v>
      </c>
      <c r="AL397" s="27">
        <v>0</v>
      </c>
      <c r="AM397" s="27">
        <f t="shared" si="34"/>
        <v>0.31840000000000002</v>
      </c>
      <c r="AN397" s="27">
        <f t="shared" si="33"/>
        <v>0</v>
      </c>
      <c r="AO397" s="35" t="s">
        <v>1435</v>
      </c>
    </row>
    <row r="398" spans="1:41" ht="31.5" customHeight="1" x14ac:dyDescent="0.25">
      <c r="A398" s="8" t="s">
        <v>92</v>
      </c>
      <c r="B398" s="39" t="s">
        <v>735</v>
      </c>
      <c r="C398" s="29" t="s">
        <v>736</v>
      </c>
      <c r="D398" s="38" t="s">
        <v>1482</v>
      </c>
      <c r="E398" s="30">
        <v>2018</v>
      </c>
      <c r="F398" s="30">
        <v>2018</v>
      </c>
      <c r="G398" s="30" t="s">
        <v>1435</v>
      </c>
      <c r="H398" s="27">
        <v>4.4345403899721456E-2</v>
      </c>
      <c r="I398" s="27">
        <v>0</v>
      </c>
      <c r="J398" s="27">
        <v>0</v>
      </c>
      <c r="K398" s="27">
        <v>0.31840000000000002</v>
      </c>
      <c r="L398" s="27">
        <v>0</v>
      </c>
      <c r="M398" s="27">
        <v>9.0267132262406777E-2</v>
      </c>
      <c r="N398" s="27">
        <v>0.22813286773759323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4.4345403899721456E-2</v>
      </c>
      <c r="V398" s="27">
        <v>0.31840000000000002</v>
      </c>
      <c r="W398" s="27">
        <v>4.4345403899721456E-2</v>
      </c>
      <c r="X398" s="27">
        <f t="shared" si="37"/>
        <v>0.31840000000000002</v>
      </c>
      <c r="Y398" s="27">
        <v>0</v>
      </c>
      <c r="Z398" s="27">
        <f t="shared" si="36"/>
        <v>0</v>
      </c>
      <c r="AA398" s="27">
        <v>0</v>
      </c>
      <c r="AB398" s="28">
        <v>0</v>
      </c>
      <c r="AC398" s="27">
        <v>0</v>
      </c>
      <c r="AD398" s="28">
        <v>0</v>
      </c>
      <c r="AE398" s="27">
        <v>0</v>
      </c>
      <c r="AF398" s="28">
        <v>0</v>
      </c>
      <c r="AG398" s="27">
        <v>0</v>
      </c>
      <c r="AH398" s="28">
        <v>0</v>
      </c>
      <c r="AI398" s="27">
        <f>0.375712/1.18</f>
        <v>0.31840000000000002</v>
      </c>
      <c r="AJ398" s="27">
        <v>0</v>
      </c>
      <c r="AK398" s="27">
        <v>0</v>
      </c>
      <c r="AL398" s="27">
        <v>0</v>
      </c>
      <c r="AM398" s="27">
        <f t="shared" si="34"/>
        <v>0.31840000000000002</v>
      </c>
      <c r="AN398" s="27">
        <f t="shared" si="33"/>
        <v>0</v>
      </c>
      <c r="AO398" s="35" t="s">
        <v>1435</v>
      </c>
    </row>
    <row r="399" spans="1:41" ht="31.5" customHeight="1" x14ac:dyDescent="0.25">
      <c r="A399" s="8" t="s">
        <v>92</v>
      </c>
      <c r="B399" s="39" t="s">
        <v>737</v>
      </c>
      <c r="C399" s="29" t="s">
        <v>738</v>
      </c>
      <c r="D399" s="38" t="s">
        <v>1482</v>
      </c>
      <c r="E399" s="30">
        <v>2018</v>
      </c>
      <c r="F399" s="30">
        <v>2018</v>
      </c>
      <c r="G399" s="30" t="s">
        <v>1435</v>
      </c>
      <c r="H399" s="27">
        <v>4.4345403899721456E-2</v>
      </c>
      <c r="I399" s="27">
        <v>0</v>
      </c>
      <c r="J399" s="27">
        <v>0</v>
      </c>
      <c r="K399" s="27">
        <v>0.31840000000000002</v>
      </c>
      <c r="L399" s="27">
        <v>0</v>
      </c>
      <c r="M399" s="27">
        <v>9.0267132262406777E-2</v>
      </c>
      <c r="N399" s="27">
        <v>0.22813286773759323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4.4345403899721456E-2</v>
      </c>
      <c r="V399" s="27">
        <v>0.31840000000000002</v>
      </c>
      <c r="W399" s="27">
        <v>4.4345403899721456E-2</v>
      </c>
      <c r="X399" s="27">
        <f t="shared" si="37"/>
        <v>0.31840000000000002</v>
      </c>
      <c r="Y399" s="27">
        <v>0</v>
      </c>
      <c r="Z399" s="27">
        <f t="shared" si="36"/>
        <v>0</v>
      </c>
      <c r="AA399" s="27">
        <v>0</v>
      </c>
      <c r="AB399" s="28">
        <v>0</v>
      </c>
      <c r="AC399" s="27">
        <v>0</v>
      </c>
      <c r="AD399" s="28">
        <v>0</v>
      </c>
      <c r="AE399" s="27">
        <v>0</v>
      </c>
      <c r="AF399" s="28">
        <v>0</v>
      </c>
      <c r="AG399" s="27">
        <v>0</v>
      </c>
      <c r="AH399" s="28">
        <v>0</v>
      </c>
      <c r="AI399" s="27">
        <f>0.375712/1.18</f>
        <v>0.31840000000000002</v>
      </c>
      <c r="AJ399" s="27">
        <v>0</v>
      </c>
      <c r="AK399" s="27">
        <v>0</v>
      </c>
      <c r="AL399" s="27">
        <v>0</v>
      </c>
      <c r="AM399" s="27">
        <f t="shared" si="34"/>
        <v>0.31840000000000002</v>
      </c>
      <c r="AN399" s="27">
        <f t="shared" si="33"/>
        <v>0</v>
      </c>
      <c r="AO399" s="35" t="s">
        <v>1435</v>
      </c>
    </row>
    <row r="400" spans="1:41" ht="31.5" customHeight="1" x14ac:dyDescent="0.25">
      <c r="A400" s="8" t="s">
        <v>92</v>
      </c>
      <c r="B400" s="39" t="s">
        <v>739</v>
      </c>
      <c r="C400" s="29" t="s">
        <v>740</v>
      </c>
      <c r="D400" s="38" t="s">
        <v>1482</v>
      </c>
      <c r="E400" s="30">
        <v>2018</v>
      </c>
      <c r="F400" s="30">
        <v>2018</v>
      </c>
      <c r="G400" s="30" t="s">
        <v>1435</v>
      </c>
      <c r="H400" s="27">
        <v>6.1269420961002786E-3</v>
      </c>
      <c r="I400" s="27">
        <v>0</v>
      </c>
      <c r="J400" s="27">
        <v>0</v>
      </c>
      <c r="K400" s="27">
        <v>4.3991444249999997E-2</v>
      </c>
      <c r="L400" s="27">
        <v>0</v>
      </c>
      <c r="M400" s="27">
        <v>8.7982888500000005E-3</v>
      </c>
      <c r="N400" s="27">
        <v>3.5193155400000002E-2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6.1269420961002786E-3</v>
      </c>
      <c r="V400" s="27">
        <v>4.3991444249999997E-2</v>
      </c>
      <c r="W400" s="27">
        <v>6.1269420961002786E-3</v>
      </c>
      <c r="X400" s="27">
        <f t="shared" si="37"/>
        <v>4.3991444249999997E-2</v>
      </c>
      <c r="Y400" s="27">
        <v>0</v>
      </c>
      <c r="Z400" s="27">
        <f t="shared" si="36"/>
        <v>0</v>
      </c>
      <c r="AA400" s="27">
        <v>0</v>
      </c>
      <c r="AB400" s="28">
        <v>0</v>
      </c>
      <c r="AC400" s="27">
        <v>0</v>
      </c>
      <c r="AD400" s="28">
        <v>0</v>
      </c>
      <c r="AE400" s="27">
        <v>0</v>
      </c>
      <c r="AF400" s="28">
        <v>0</v>
      </c>
      <c r="AG400" s="27">
        <v>0</v>
      </c>
      <c r="AH400" s="28">
        <v>0</v>
      </c>
      <c r="AI400" s="27">
        <f>0.051909904215/1.18</f>
        <v>4.3991444249999997E-2</v>
      </c>
      <c r="AJ400" s="27">
        <v>0</v>
      </c>
      <c r="AK400" s="27">
        <v>0</v>
      </c>
      <c r="AL400" s="27">
        <v>0</v>
      </c>
      <c r="AM400" s="27">
        <f t="shared" si="34"/>
        <v>4.3991444249999997E-2</v>
      </c>
      <c r="AN400" s="27">
        <f t="shared" si="33"/>
        <v>0</v>
      </c>
      <c r="AO400" s="35" t="s">
        <v>1435</v>
      </c>
    </row>
    <row r="401" spans="1:41" ht="31.5" customHeight="1" x14ac:dyDescent="0.25">
      <c r="A401" s="8" t="s">
        <v>92</v>
      </c>
      <c r="B401" s="39" t="s">
        <v>741</v>
      </c>
      <c r="C401" s="29" t="s">
        <v>742</v>
      </c>
      <c r="D401" s="38" t="s">
        <v>1482</v>
      </c>
      <c r="E401" s="30">
        <v>2018</v>
      </c>
      <c r="F401" s="30">
        <v>2018</v>
      </c>
      <c r="G401" s="30" t="s">
        <v>1435</v>
      </c>
      <c r="H401" s="27">
        <v>6.1269420961002786E-3</v>
      </c>
      <c r="I401" s="27">
        <v>0</v>
      </c>
      <c r="J401" s="27">
        <v>0</v>
      </c>
      <c r="K401" s="27">
        <v>4.3991444249999997E-2</v>
      </c>
      <c r="L401" s="27">
        <v>0</v>
      </c>
      <c r="M401" s="27">
        <v>8.7982888500000005E-3</v>
      </c>
      <c r="N401" s="27">
        <v>3.5193155400000002E-2</v>
      </c>
      <c r="O401" s="27">
        <v>0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6.1269420961002786E-3</v>
      </c>
      <c r="V401" s="27">
        <v>4.3991444249999997E-2</v>
      </c>
      <c r="W401" s="27">
        <v>6.1269420961002786E-3</v>
      </c>
      <c r="X401" s="27">
        <f t="shared" si="37"/>
        <v>4.3991444249999997E-2</v>
      </c>
      <c r="Y401" s="27">
        <v>0</v>
      </c>
      <c r="Z401" s="27">
        <f t="shared" si="36"/>
        <v>0</v>
      </c>
      <c r="AA401" s="27">
        <v>0</v>
      </c>
      <c r="AB401" s="28">
        <v>0</v>
      </c>
      <c r="AC401" s="27">
        <v>0</v>
      </c>
      <c r="AD401" s="28">
        <v>0</v>
      </c>
      <c r="AE401" s="27">
        <v>0</v>
      </c>
      <c r="AF401" s="28">
        <v>0</v>
      </c>
      <c r="AG401" s="27">
        <v>0</v>
      </c>
      <c r="AH401" s="28">
        <v>0</v>
      </c>
      <c r="AI401" s="27">
        <f>0.051909904215/1.18</f>
        <v>4.3991444249999997E-2</v>
      </c>
      <c r="AJ401" s="27">
        <v>0</v>
      </c>
      <c r="AK401" s="27">
        <v>0</v>
      </c>
      <c r="AL401" s="27">
        <v>0</v>
      </c>
      <c r="AM401" s="27">
        <f t="shared" si="34"/>
        <v>4.3991444249999997E-2</v>
      </c>
      <c r="AN401" s="27">
        <f t="shared" si="33"/>
        <v>0</v>
      </c>
      <c r="AO401" s="35" t="s">
        <v>1435</v>
      </c>
    </row>
    <row r="402" spans="1:41" ht="31.5" customHeight="1" x14ac:dyDescent="0.25">
      <c r="A402" s="8" t="s">
        <v>92</v>
      </c>
      <c r="B402" s="39" t="s">
        <v>743</v>
      </c>
      <c r="C402" s="29" t="s">
        <v>744</v>
      </c>
      <c r="D402" s="38" t="s">
        <v>1482</v>
      </c>
      <c r="E402" s="30">
        <v>2018</v>
      </c>
      <c r="F402" s="30">
        <v>2018</v>
      </c>
      <c r="G402" s="30" t="s">
        <v>1435</v>
      </c>
      <c r="H402" s="27">
        <v>1.2253884192200557E-2</v>
      </c>
      <c r="I402" s="27">
        <v>0</v>
      </c>
      <c r="J402" s="27">
        <v>0</v>
      </c>
      <c r="K402" s="27">
        <v>8.7982888499999995E-2</v>
      </c>
      <c r="L402" s="27">
        <v>0</v>
      </c>
      <c r="M402" s="27">
        <v>1.7596577700000001E-2</v>
      </c>
      <c r="N402" s="27">
        <v>7.0386310800000004E-2</v>
      </c>
      <c r="O402" s="27">
        <v>0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1.2253884192200557E-2</v>
      </c>
      <c r="V402" s="27">
        <v>8.7982888499999995E-2</v>
      </c>
      <c r="W402" s="27">
        <v>1.2253884192200557E-2</v>
      </c>
      <c r="X402" s="27">
        <f t="shared" si="37"/>
        <v>8.7982888499999995E-2</v>
      </c>
      <c r="Y402" s="27">
        <v>0</v>
      </c>
      <c r="Z402" s="27">
        <f t="shared" si="36"/>
        <v>0</v>
      </c>
      <c r="AA402" s="27">
        <v>0</v>
      </c>
      <c r="AB402" s="28">
        <v>0</v>
      </c>
      <c r="AC402" s="27">
        <v>0</v>
      </c>
      <c r="AD402" s="28">
        <v>0</v>
      </c>
      <c r="AE402" s="27">
        <v>0</v>
      </c>
      <c r="AF402" s="28">
        <v>0</v>
      </c>
      <c r="AG402" s="27">
        <v>0</v>
      </c>
      <c r="AH402" s="28">
        <v>0</v>
      </c>
      <c r="AI402" s="27">
        <f>0.10381980843/1.18</f>
        <v>8.7982888499999995E-2</v>
      </c>
      <c r="AJ402" s="27">
        <v>0</v>
      </c>
      <c r="AK402" s="27">
        <v>0</v>
      </c>
      <c r="AL402" s="27">
        <v>0</v>
      </c>
      <c r="AM402" s="27">
        <f t="shared" si="34"/>
        <v>8.7982888499999995E-2</v>
      </c>
      <c r="AN402" s="27">
        <f t="shared" si="33"/>
        <v>0</v>
      </c>
      <c r="AO402" s="35" t="s">
        <v>1435</v>
      </c>
    </row>
    <row r="403" spans="1:41" ht="31.5" customHeight="1" x14ac:dyDescent="0.25">
      <c r="A403" s="8" t="s">
        <v>92</v>
      </c>
      <c r="B403" s="39" t="s">
        <v>745</v>
      </c>
      <c r="C403" s="29" t="s">
        <v>746</v>
      </c>
      <c r="D403" s="38" t="s">
        <v>1482</v>
      </c>
      <c r="E403" s="30">
        <v>2018</v>
      </c>
      <c r="F403" s="30">
        <v>2018</v>
      </c>
      <c r="G403" s="30" t="s">
        <v>1435</v>
      </c>
      <c r="H403" s="27">
        <v>6.1269420961002786E-3</v>
      </c>
      <c r="I403" s="27">
        <v>0</v>
      </c>
      <c r="J403" s="27">
        <v>0</v>
      </c>
      <c r="K403" s="27">
        <v>4.3991444249999997E-2</v>
      </c>
      <c r="L403" s="27">
        <v>0</v>
      </c>
      <c r="M403" s="27">
        <v>8.7982888500000005E-3</v>
      </c>
      <c r="N403" s="27">
        <v>3.5193155400000002E-2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6.1269420961002786E-3</v>
      </c>
      <c r="V403" s="27">
        <v>4.3991444249999997E-2</v>
      </c>
      <c r="W403" s="27">
        <v>6.1269420961002786E-3</v>
      </c>
      <c r="X403" s="27">
        <f t="shared" si="37"/>
        <v>4.3991444249999997E-2</v>
      </c>
      <c r="Y403" s="27">
        <v>0</v>
      </c>
      <c r="Z403" s="27">
        <f t="shared" si="36"/>
        <v>0</v>
      </c>
      <c r="AA403" s="27">
        <v>0</v>
      </c>
      <c r="AB403" s="28">
        <v>0</v>
      </c>
      <c r="AC403" s="27">
        <v>0</v>
      </c>
      <c r="AD403" s="28">
        <v>0</v>
      </c>
      <c r="AE403" s="27">
        <v>0</v>
      </c>
      <c r="AF403" s="28">
        <v>0</v>
      </c>
      <c r="AG403" s="27">
        <v>0</v>
      </c>
      <c r="AH403" s="28">
        <v>0</v>
      </c>
      <c r="AI403" s="27">
        <f>0.051909904215/1.18</f>
        <v>4.3991444249999997E-2</v>
      </c>
      <c r="AJ403" s="27">
        <v>0</v>
      </c>
      <c r="AK403" s="27">
        <v>0</v>
      </c>
      <c r="AL403" s="27">
        <v>0</v>
      </c>
      <c r="AM403" s="27">
        <f t="shared" si="34"/>
        <v>4.3991444249999997E-2</v>
      </c>
      <c r="AN403" s="27">
        <f t="shared" ref="AN403:AN466" si="38">AD403+AF403+AH403</f>
        <v>0</v>
      </c>
      <c r="AO403" s="35" t="s">
        <v>1435</v>
      </c>
    </row>
    <row r="404" spans="1:41" ht="31.5" customHeight="1" x14ac:dyDescent="0.25">
      <c r="A404" s="8" t="s">
        <v>92</v>
      </c>
      <c r="B404" s="39" t="s">
        <v>747</v>
      </c>
      <c r="C404" s="29" t="s">
        <v>748</v>
      </c>
      <c r="D404" s="38" t="s">
        <v>1482</v>
      </c>
      <c r="E404" s="30">
        <v>2018</v>
      </c>
      <c r="F404" s="30">
        <v>2018</v>
      </c>
      <c r="G404" s="30" t="s">
        <v>1435</v>
      </c>
      <c r="H404" s="27">
        <v>1.2253884192200557E-2</v>
      </c>
      <c r="I404" s="27">
        <v>0</v>
      </c>
      <c r="J404" s="27">
        <v>0</v>
      </c>
      <c r="K404" s="27">
        <v>8.7982888499999995E-2</v>
      </c>
      <c r="L404" s="27">
        <v>0</v>
      </c>
      <c r="M404" s="27">
        <v>1.7596577700000001E-2</v>
      </c>
      <c r="N404" s="27">
        <v>7.0386310800000004E-2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1.2253884192200557E-2</v>
      </c>
      <c r="V404" s="27">
        <v>8.7982888499999995E-2</v>
      </c>
      <c r="W404" s="27">
        <v>1.2253884192200557E-2</v>
      </c>
      <c r="X404" s="27">
        <f t="shared" si="37"/>
        <v>8.7982888499999995E-2</v>
      </c>
      <c r="Y404" s="27">
        <v>0</v>
      </c>
      <c r="Z404" s="27">
        <f t="shared" si="36"/>
        <v>0</v>
      </c>
      <c r="AA404" s="27">
        <v>0</v>
      </c>
      <c r="AB404" s="28">
        <v>0</v>
      </c>
      <c r="AC404" s="27">
        <v>0</v>
      </c>
      <c r="AD404" s="28">
        <v>0</v>
      </c>
      <c r="AE404" s="27">
        <v>0</v>
      </c>
      <c r="AF404" s="28">
        <v>0</v>
      </c>
      <c r="AG404" s="27">
        <v>0</v>
      </c>
      <c r="AH404" s="28">
        <v>0</v>
      </c>
      <c r="AI404" s="27">
        <f>0.10381980843/1.18</f>
        <v>8.7982888499999995E-2</v>
      </c>
      <c r="AJ404" s="27">
        <v>0</v>
      </c>
      <c r="AK404" s="27">
        <v>0</v>
      </c>
      <c r="AL404" s="27">
        <v>0</v>
      </c>
      <c r="AM404" s="27">
        <f t="shared" si="34"/>
        <v>8.7982888499999995E-2</v>
      </c>
      <c r="AN404" s="27">
        <f t="shared" si="38"/>
        <v>0</v>
      </c>
      <c r="AO404" s="35" t="s">
        <v>1435</v>
      </c>
    </row>
    <row r="405" spans="1:41" ht="31.5" customHeight="1" x14ac:dyDescent="0.25">
      <c r="A405" s="8" t="s">
        <v>92</v>
      </c>
      <c r="B405" s="39" t="s">
        <v>749</v>
      </c>
      <c r="C405" s="29" t="s">
        <v>750</v>
      </c>
      <c r="D405" s="38" t="s">
        <v>1482</v>
      </c>
      <c r="E405" s="30">
        <v>2018</v>
      </c>
      <c r="F405" s="30">
        <v>2018</v>
      </c>
      <c r="G405" s="30" t="s">
        <v>1435</v>
      </c>
      <c r="H405" s="27">
        <v>6.1269420961002786E-3</v>
      </c>
      <c r="I405" s="27">
        <v>0</v>
      </c>
      <c r="J405" s="27">
        <v>0</v>
      </c>
      <c r="K405" s="27">
        <v>4.3991444249999997E-2</v>
      </c>
      <c r="L405" s="27">
        <v>0</v>
      </c>
      <c r="M405" s="27">
        <v>8.7982888500000005E-3</v>
      </c>
      <c r="N405" s="27">
        <v>3.5193155400000002E-2</v>
      </c>
      <c r="O405" s="27">
        <v>0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6.1269420961002786E-3</v>
      </c>
      <c r="V405" s="27">
        <v>4.3991444249999997E-2</v>
      </c>
      <c r="W405" s="27">
        <v>6.1269420961002786E-3</v>
      </c>
      <c r="X405" s="27">
        <f t="shared" si="37"/>
        <v>4.3991444249999997E-2</v>
      </c>
      <c r="Y405" s="27">
        <v>0</v>
      </c>
      <c r="Z405" s="27">
        <f t="shared" si="36"/>
        <v>0</v>
      </c>
      <c r="AA405" s="27">
        <v>0</v>
      </c>
      <c r="AB405" s="28">
        <v>0</v>
      </c>
      <c r="AC405" s="27">
        <v>0</v>
      </c>
      <c r="AD405" s="28">
        <v>0</v>
      </c>
      <c r="AE405" s="27">
        <v>0</v>
      </c>
      <c r="AF405" s="28">
        <v>0</v>
      </c>
      <c r="AG405" s="27">
        <v>0</v>
      </c>
      <c r="AH405" s="28">
        <v>0</v>
      </c>
      <c r="AI405" s="27">
        <f>0.051909904215/1.18</f>
        <v>4.3991444249999997E-2</v>
      </c>
      <c r="AJ405" s="27">
        <v>0</v>
      </c>
      <c r="AK405" s="27">
        <v>0</v>
      </c>
      <c r="AL405" s="27">
        <v>0</v>
      </c>
      <c r="AM405" s="27">
        <f t="shared" si="34"/>
        <v>4.3991444249999997E-2</v>
      </c>
      <c r="AN405" s="27">
        <f t="shared" si="38"/>
        <v>0</v>
      </c>
      <c r="AO405" s="35" t="s">
        <v>1435</v>
      </c>
    </row>
    <row r="406" spans="1:41" ht="31.5" customHeight="1" x14ac:dyDescent="0.25">
      <c r="A406" s="8" t="s">
        <v>92</v>
      </c>
      <c r="B406" s="39" t="s">
        <v>751</v>
      </c>
      <c r="C406" s="29" t="s">
        <v>752</v>
      </c>
      <c r="D406" s="38" t="s">
        <v>1482</v>
      </c>
      <c r="E406" s="30">
        <v>2018</v>
      </c>
      <c r="F406" s="30">
        <v>2018</v>
      </c>
      <c r="G406" s="30" t="s">
        <v>1435</v>
      </c>
      <c r="H406" s="27">
        <v>6.1269420961002786E-3</v>
      </c>
      <c r="I406" s="27">
        <v>0</v>
      </c>
      <c r="J406" s="27">
        <v>0</v>
      </c>
      <c r="K406" s="27">
        <v>4.3991444249999997E-2</v>
      </c>
      <c r="L406" s="27">
        <v>0</v>
      </c>
      <c r="M406" s="27">
        <v>8.7982888500000005E-3</v>
      </c>
      <c r="N406" s="27">
        <v>3.5193155400000002E-2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6.1269420961002786E-3</v>
      </c>
      <c r="V406" s="27">
        <v>4.3991444249999997E-2</v>
      </c>
      <c r="W406" s="27">
        <v>6.1269420961002786E-3</v>
      </c>
      <c r="X406" s="27">
        <f t="shared" si="37"/>
        <v>4.3991444249999997E-2</v>
      </c>
      <c r="Y406" s="27">
        <v>0</v>
      </c>
      <c r="Z406" s="27">
        <f t="shared" si="36"/>
        <v>0</v>
      </c>
      <c r="AA406" s="27">
        <v>0</v>
      </c>
      <c r="AB406" s="28">
        <v>0</v>
      </c>
      <c r="AC406" s="27">
        <v>0</v>
      </c>
      <c r="AD406" s="28">
        <v>0</v>
      </c>
      <c r="AE406" s="27">
        <v>0</v>
      </c>
      <c r="AF406" s="28">
        <v>0</v>
      </c>
      <c r="AG406" s="27">
        <v>0</v>
      </c>
      <c r="AH406" s="28">
        <v>0</v>
      </c>
      <c r="AI406" s="27">
        <f>0.051909904215/1.18</f>
        <v>4.3991444249999997E-2</v>
      </c>
      <c r="AJ406" s="27">
        <v>0</v>
      </c>
      <c r="AK406" s="27">
        <v>0</v>
      </c>
      <c r="AL406" s="27">
        <v>0</v>
      </c>
      <c r="AM406" s="27">
        <f t="shared" si="34"/>
        <v>4.3991444249999997E-2</v>
      </c>
      <c r="AN406" s="27">
        <f t="shared" si="38"/>
        <v>0</v>
      </c>
      <c r="AO406" s="35" t="s">
        <v>1435</v>
      </c>
    </row>
    <row r="407" spans="1:41" ht="31.5" customHeight="1" x14ac:dyDescent="0.25">
      <c r="A407" s="8" t="s">
        <v>92</v>
      </c>
      <c r="B407" s="39" t="s">
        <v>753</v>
      </c>
      <c r="C407" s="29" t="s">
        <v>754</v>
      </c>
      <c r="D407" s="38" t="s">
        <v>1482</v>
      </c>
      <c r="E407" s="30">
        <v>2018</v>
      </c>
      <c r="F407" s="30">
        <v>2018</v>
      </c>
      <c r="G407" s="30" t="s">
        <v>1435</v>
      </c>
      <c r="H407" s="27">
        <v>6.1269420961002786E-3</v>
      </c>
      <c r="I407" s="27">
        <v>0</v>
      </c>
      <c r="J407" s="27">
        <v>0</v>
      </c>
      <c r="K407" s="27">
        <v>4.3991444249999997E-2</v>
      </c>
      <c r="L407" s="27">
        <v>0</v>
      </c>
      <c r="M407" s="27">
        <v>8.7982888500000005E-3</v>
      </c>
      <c r="N407" s="27">
        <v>3.5193155400000002E-2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6.1269420961002786E-3</v>
      </c>
      <c r="V407" s="27">
        <v>4.3991444249999997E-2</v>
      </c>
      <c r="W407" s="27">
        <v>6.1269420961002786E-3</v>
      </c>
      <c r="X407" s="27">
        <f t="shared" si="37"/>
        <v>4.3991444249999997E-2</v>
      </c>
      <c r="Y407" s="27">
        <v>0</v>
      </c>
      <c r="Z407" s="27">
        <f t="shared" si="36"/>
        <v>0</v>
      </c>
      <c r="AA407" s="27">
        <v>0</v>
      </c>
      <c r="AB407" s="28">
        <v>0</v>
      </c>
      <c r="AC407" s="27">
        <v>0</v>
      </c>
      <c r="AD407" s="28">
        <v>0</v>
      </c>
      <c r="AE407" s="27">
        <v>0</v>
      </c>
      <c r="AF407" s="28">
        <v>0</v>
      </c>
      <c r="AG407" s="27">
        <v>0</v>
      </c>
      <c r="AH407" s="28">
        <v>0</v>
      </c>
      <c r="AI407" s="27">
        <f>0.051909904215/1.18</f>
        <v>4.3991444249999997E-2</v>
      </c>
      <c r="AJ407" s="27">
        <v>0</v>
      </c>
      <c r="AK407" s="27">
        <v>0</v>
      </c>
      <c r="AL407" s="27">
        <v>0</v>
      </c>
      <c r="AM407" s="27">
        <f t="shared" si="34"/>
        <v>4.3991444249999997E-2</v>
      </c>
      <c r="AN407" s="27">
        <f t="shared" si="38"/>
        <v>0</v>
      </c>
      <c r="AO407" s="35" t="s">
        <v>1435</v>
      </c>
    </row>
    <row r="408" spans="1:41" ht="31.5" customHeight="1" x14ac:dyDescent="0.25">
      <c r="A408" s="8" t="s">
        <v>92</v>
      </c>
      <c r="B408" s="39" t="s">
        <v>755</v>
      </c>
      <c r="C408" s="29" t="s">
        <v>756</v>
      </c>
      <c r="D408" s="38" t="s">
        <v>1482</v>
      </c>
      <c r="E408" s="30">
        <v>2018</v>
      </c>
      <c r="F408" s="30">
        <v>2018</v>
      </c>
      <c r="G408" s="30" t="s">
        <v>1435</v>
      </c>
      <c r="H408" s="27">
        <v>6.1269420961002786E-3</v>
      </c>
      <c r="I408" s="27">
        <v>0</v>
      </c>
      <c r="J408" s="27">
        <v>0</v>
      </c>
      <c r="K408" s="27">
        <v>4.3991444249999997E-2</v>
      </c>
      <c r="L408" s="27">
        <v>0</v>
      </c>
      <c r="M408" s="27">
        <v>8.7982888500000005E-3</v>
      </c>
      <c r="N408" s="27">
        <v>3.5193155400000002E-2</v>
      </c>
      <c r="O408" s="27">
        <v>0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6.1269420961002786E-3</v>
      </c>
      <c r="V408" s="27">
        <v>4.3991444249999997E-2</v>
      </c>
      <c r="W408" s="27">
        <v>6.1269420961002786E-3</v>
      </c>
      <c r="X408" s="27">
        <f t="shared" si="37"/>
        <v>4.3991444249999997E-2</v>
      </c>
      <c r="Y408" s="27">
        <v>0</v>
      </c>
      <c r="Z408" s="27">
        <f t="shared" si="36"/>
        <v>0</v>
      </c>
      <c r="AA408" s="27">
        <v>0</v>
      </c>
      <c r="AB408" s="28">
        <v>0</v>
      </c>
      <c r="AC408" s="27">
        <v>0</v>
      </c>
      <c r="AD408" s="28">
        <v>0</v>
      </c>
      <c r="AE408" s="27">
        <v>0</v>
      </c>
      <c r="AF408" s="28">
        <v>0</v>
      </c>
      <c r="AG408" s="27">
        <v>0</v>
      </c>
      <c r="AH408" s="28">
        <v>0</v>
      </c>
      <c r="AI408" s="27">
        <f>0.051909904215/1.18</f>
        <v>4.3991444249999997E-2</v>
      </c>
      <c r="AJ408" s="27">
        <v>0</v>
      </c>
      <c r="AK408" s="27">
        <v>0</v>
      </c>
      <c r="AL408" s="27">
        <v>0</v>
      </c>
      <c r="AM408" s="27">
        <f t="shared" si="34"/>
        <v>4.3991444249999997E-2</v>
      </c>
      <c r="AN408" s="27">
        <f t="shared" si="38"/>
        <v>0</v>
      </c>
      <c r="AO408" s="35" t="s">
        <v>1435</v>
      </c>
    </row>
    <row r="409" spans="1:41" ht="31.5" customHeight="1" x14ac:dyDescent="0.25">
      <c r="A409" s="8" t="s">
        <v>92</v>
      </c>
      <c r="B409" s="39" t="s">
        <v>757</v>
      </c>
      <c r="C409" s="29" t="s">
        <v>758</v>
      </c>
      <c r="D409" s="38" t="s">
        <v>1482</v>
      </c>
      <c r="E409" s="30">
        <v>2018</v>
      </c>
      <c r="F409" s="30">
        <v>2018</v>
      </c>
      <c r="G409" s="30" t="s">
        <v>1435</v>
      </c>
      <c r="H409" s="27">
        <v>6.1269420961002786E-3</v>
      </c>
      <c r="I409" s="27">
        <v>0</v>
      </c>
      <c r="J409" s="27">
        <v>0</v>
      </c>
      <c r="K409" s="27">
        <v>4.3991444249999997E-2</v>
      </c>
      <c r="L409" s="27">
        <v>0</v>
      </c>
      <c r="M409" s="27">
        <v>8.7982888500000005E-3</v>
      </c>
      <c r="N409" s="27">
        <v>3.5193155400000002E-2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6.1269420961002786E-3</v>
      </c>
      <c r="V409" s="27">
        <v>4.3991444249999997E-2</v>
      </c>
      <c r="W409" s="27">
        <v>6.1269420961002786E-3</v>
      </c>
      <c r="X409" s="27">
        <f t="shared" si="37"/>
        <v>4.3991444249999997E-2</v>
      </c>
      <c r="Y409" s="27">
        <v>0</v>
      </c>
      <c r="Z409" s="27">
        <f t="shared" si="36"/>
        <v>0</v>
      </c>
      <c r="AA409" s="27">
        <v>0</v>
      </c>
      <c r="AB409" s="28">
        <v>0</v>
      </c>
      <c r="AC409" s="27">
        <v>0</v>
      </c>
      <c r="AD409" s="28">
        <v>0</v>
      </c>
      <c r="AE409" s="27">
        <v>0</v>
      </c>
      <c r="AF409" s="28">
        <v>0</v>
      </c>
      <c r="AG409" s="27">
        <v>0</v>
      </c>
      <c r="AH409" s="28">
        <v>0</v>
      </c>
      <c r="AI409" s="27">
        <f>0.051909904215/1.18</f>
        <v>4.3991444249999997E-2</v>
      </c>
      <c r="AJ409" s="27">
        <v>0</v>
      </c>
      <c r="AK409" s="27">
        <v>0</v>
      </c>
      <c r="AL409" s="27">
        <v>0</v>
      </c>
      <c r="AM409" s="27">
        <f t="shared" si="34"/>
        <v>4.3991444249999997E-2</v>
      </c>
      <c r="AN409" s="27">
        <f t="shared" si="38"/>
        <v>0</v>
      </c>
      <c r="AO409" s="35" t="s">
        <v>1435</v>
      </c>
    </row>
    <row r="410" spans="1:41" ht="31.5" customHeight="1" x14ac:dyDescent="0.25">
      <c r="A410" s="8" t="s">
        <v>92</v>
      </c>
      <c r="B410" s="39" t="s">
        <v>759</v>
      </c>
      <c r="C410" s="29" t="s">
        <v>760</v>
      </c>
      <c r="D410" s="38" t="s">
        <v>1482</v>
      </c>
      <c r="E410" s="30">
        <v>2018</v>
      </c>
      <c r="F410" s="30">
        <v>2018</v>
      </c>
      <c r="G410" s="30" t="s">
        <v>1435</v>
      </c>
      <c r="H410" s="27">
        <v>1.2253884192200557E-2</v>
      </c>
      <c r="I410" s="27">
        <v>0</v>
      </c>
      <c r="J410" s="27">
        <v>0</v>
      </c>
      <c r="K410" s="27">
        <v>8.7982888499999995E-2</v>
      </c>
      <c r="L410" s="27">
        <v>0</v>
      </c>
      <c r="M410" s="27">
        <v>1.7596577700000001E-2</v>
      </c>
      <c r="N410" s="27">
        <v>7.0386310800000004E-2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1.2253884192200557E-2</v>
      </c>
      <c r="V410" s="27">
        <v>8.7982888499999995E-2</v>
      </c>
      <c r="W410" s="27">
        <v>1.2253884192200557E-2</v>
      </c>
      <c r="X410" s="27">
        <f t="shared" si="37"/>
        <v>8.7982888499999995E-2</v>
      </c>
      <c r="Y410" s="27">
        <v>0</v>
      </c>
      <c r="Z410" s="27">
        <f t="shared" si="36"/>
        <v>0</v>
      </c>
      <c r="AA410" s="27">
        <v>0</v>
      </c>
      <c r="AB410" s="28">
        <v>0</v>
      </c>
      <c r="AC410" s="27">
        <v>0</v>
      </c>
      <c r="AD410" s="28">
        <v>0</v>
      </c>
      <c r="AE410" s="27">
        <v>0</v>
      </c>
      <c r="AF410" s="28">
        <v>0</v>
      </c>
      <c r="AG410" s="27">
        <v>0</v>
      </c>
      <c r="AH410" s="28">
        <v>0</v>
      </c>
      <c r="AI410" s="27">
        <f>0.10381980843/1.18</f>
        <v>8.7982888499999995E-2</v>
      </c>
      <c r="AJ410" s="27">
        <v>0</v>
      </c>
      <c r="AK410" s="27">
        <v>0</v>
      </c>
      <c r="AL410" s="27">
        <v>0</v>
      </c>
      <c r="AM410" s="27">
        <f t="shared" si="34"/>
        <v>8.7982888499999995E-2</v>
      </c>
      <c r="AN410" s="27">
        <f t="shared" si="38"/>
        <v>0</v>
      </c>
      <c r="AO410" s="35" t="s">
        <v>1435</v>
      </c>
    </row>
    <row r="411" spans="1:41" ht="31.5" customHeight="1" x14ac:dyDescent="0.25">
      <c r="A411" s="8" t="s">
        <v>92</v>
      </c>
      <c r="B411" s="39" t="s">
        <v>761</v>
      </c>
      <c r="C411" s="29" t="s">
        <v>762</v>
      </c>
      <c r="D411" s="38" t="s">
        <v>1482</v>
      </c>
      <c r="E411" s="30">
        <v>2018</v>
      </c>
      <c r="F411" s="30">
        <v>2018</v>
      </c>
      <c r="G411" s="30" t="s">
        <v>1435</v>
      </c>
      <c r="H411" s="27">
        <v>1.2253884192200557E-2</v>
      </c>
      <c r="I411" s="27">
        <v>0</v>
      </c>
      <c r="J411" s="27">
        <v>0</v>
      </c>
      <c r="K411" s="27">
        <v>8.7982888499999995E-2</v>
      </c>
      <c r="L411" s="27">
        <v>0</v>
      </c>
      <c r="M411" s="27">
        <v>1.7596577700000001E-2</v>
      </c>
      <c r="N411" s="27">
        <v>7.0386310800000004E-2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1.2253884192200557E-2</v>
      </c>
      <c r="V411" s="27">
        <v>8.7982888499999995E-2</v>
      </c>
      <c r="W411" s="27">
        <v>1.2253884192200557E-2</v>
      </c>
      <c r="X411" s="27">
        <f t="shared" si="37"/>
        <v>8.7982888499999995E-2</v>
      </c>
      <c r="Y411" s="27">
        <v>0</v>
      </c>
      <c r="Z411" s="27">
        <f t="shared" si="36"/>
        <v>0</v>
      </c>
      <c r="AA411" s="27">
        <v>0</v>
      </c>
      <c r="AB411" s="28">
        <v>0</v>
      </c>
      <c r="AC411" s="27">
        <v>0</v>
      </c>
      <c r="AD411" s="28">
        <v>0</v>
      </c>
      <c r="AE411" s="27">
        <v>0</v>
      </c>
      <c r="AF411" s="28">
        <v>0</v>
      </c>
      <c r="AG411" s="27">
        <v>0</v>
      </c>
      <c r="AH411" s="28">
        <v>0</v>
      </c>
      <c r="AI411" s="27">
        <f>0.10381980843/1.18</f>
        <v>8.7982888499999995E-2</v>
      </c>
      <c r="AJ411" s="27">
        <v>0</v>
      </c>
      <c r="AK411" s="27">
        <v>0</v>
      </c>
      <c r="AL411" s="27">
        <v>0</v>
      </c>
      <c r="AM411" s="27">
        <f t="shared" ref="AM411:AM474" si="39">AD411+AF411+AG411+AI411+AK411</f>
        <v>8.7982888499999995E-2</v>
      </c>
      <c r="AN411" s="27">
        <f t="shared" si="38"/>
        <v>0</v>
      </c>
      <c r="AO411" s="35" t="s">
        <v>1435</v>
      </c>
    </row>
    <row r="412" spans="1:41" ht="31.5" customHeight="1" x14ac:dyDescent="0.25">
      <c r="A412" s="8" t="s">
        <v>92</v>
      </c>
      <c r="B412" s="39" t="s">
        <v>763</v>
      </c>
      <c r="C412" s="29" t="s">
        <v>764</v>
      </c>
      <c r="D412" s="38" t="s">
        <v>1482</v>
      </c>
      <c r="E412" s="30">
        <v>2018</v>
      </c>
      <c r="F412" s="30">
        <v>2018</v>
      </c>
      <c r="G412" s="30" t="s">
        <v>1435</v>
      </c>
      <c r="H412" s="27">
        <v>6.1269420961002786E-3</v>
      </c>
      <c r="I412" s="27">
        <v>0</v>
      </c>
      <c r="J412" s="27">
        <v>0</v>
      </c>
      <c r="K412" s="27">
        <v>4.3991444249999997E-2</v>
      </c>
      <c r="L412" s="27">
        <v>0</v>
      </c>
      <c r="M412" s="27">
        <v>8.7982888500000005E-3</v>
      </c>
      <c r="N412" s="27">
        <v>3.5193155400000002E-2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6.1269420961002786E-3</v>
      </c>
      <c r="V412" s="27">
        <v>4.3991444249999997E-2</v>
      </c>
      <c r="W412" s="27">
        <v>6.1269420961002786E-3</v>
      </c>
      <c r="X412" s="27">
        <f t="shared" si="37"/>
        <v>4.3991444249999997E-2</v>
      </c>
      <c r="Y412" s="27">
        <v>0</v>
      </c>
      <c r="Z412" s="27">
        <f t="shared" si="36"/>
        <v>0</v>
      </c>
      <c r="AA412" s="27">
        <v>0</v>
      </c>
      <c r="AB412" s="28">
        <v>0</v>
      </c>
      <c r="AC412" s="27">
        <v>0</v>
      </c>
      <c r="AD412" s="28">
        <v>0</v>
      </c>
      <c r="AE412" s="27">
        <v>0</v>
      </c>
      <c r="AF412" s="28">
        <v>0</v>
      </c>
      <c r="AG412" s="27">
        <v>0</v>
      </c>
      <c r="AH412" s="28">
        <v>0</v>
      </c>
      <c r="AI412" s="27">
        <f>0.051909904215/1.18</f>
        <v>4.3991444249999997E-2</v>
      </c>
      <c r="AJ412" s="27">
        <v>0</v>
      </c>
      <c r="AK412" s="27">
        <v>0</v>
      </c>
      <c r="AL412" s="27">
        <v>0</v>
      </c>
      <c r="AM412" s="27">
        <f t="shared" si="39"/>
        <v>4.3991444249999997E-2</v>
      </c>
      <c r="AN412" s="27">
        <f t="shared" si="38"/>
        <v>0</v>
      </c>
      <c r="AO412" s="35" t="s">
        <v>1435</v>
      </c>
    </row>
    <row r="413" spans="1:41" ht="31.5" customHeight="1" x14ac:dyDescent="0.25">
      <c r="A413" s="8" t="s">
        <v>92</v>
      </c>
      <c r="B413" s="39" t="s">
        <v>765</v>
      </c>
      <c r="C413" s="29" t="s">
        <v>766</v>
      </c>
      <c r="D413" s="38" t="s">
        <v>1482</v>
      </c>
      <c r="E413" s="30">
        <v>2018</v>
      </c>
      <c r="F413" s="30">
        <v>2018</v>
      </c>
      <c r="G413" s="30" t="s">
        <v>1435</v>
      </c>
      <c r="H413" s="27">
        <v>6.1269420961002786E-3</v>
      </c>
      <c r="I413" s="27">
        <v>0</v>
      </c>
      <c r="J413" s="27">
        <v>0</v>
      </c>
      <c r="K413" s="27">
        <v>4.3991444249999997E-2</v>
      </c>
      <c r="L413" s="27">
        <v>0</v>
      </c>
      <c r="M413" s="27">
        <v>8.7982888500000005E-3</v>
      </c>
      <c r="N413" s="27">
        <v>3.5193155400000002E-2</v>
      </c>
      <c r="O413" s="27">
        <v>0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6.1269420961002786E-3</v>
      </c>
      <c r="V413" s="27">
        <v>4.3991444249999997E-2</v>
      </c>
      <c r="W413" s="27">
        <v>6.1269420961002786E-3</v>
      </c>
      <c r="X413" s="27">
        <f t="shared" si="37"/>
        <v>4.3991444249999997E-2</v>
      </c>
      <c r="Y413" s="27">
        <v>0</v>
      </c>
      <c r="Z413" s="27">
        <f t="shared" si="36"/>
        <v>0</v>
      </c>
      <c r="AA413" s="27">
        <v>0</v>
      </c>
      <c r="AB413" s="28">
        <v>0</v>
      </c>
      <c r="AC413" s="27">
        <v>0</v>
      </c>
      <c r="AD413" s="28">
        <v>0</v>
      </c>
      <c r="AE413" s="27">
        <v>0</v>
      </c>
      <c r="AF413" s="28">
        <v>0</v>
      </c>
      <c r="AG413" s="27">
        <v>0</v>
      </c>
      <c r="AH413" s="28">
        <v>0</v>
      </c>
      <c r="AI413" s="27">
        <f>0.051909904215/1.18</f>
        <v>4.3991444249999997E-2</v>
      </c>
      <c r="AJ413" s="27">
        <v>0</v>
      </c>
      <c r="AK413" s="27">
        <v>0</v>
      </c>
      <c r="AL413" s="27">
        <v>0</v>
      </c>
      <c r="AM413" s="27">
        <f t="shared" si="39"/>
        <v>4.3991444249999997E-2</v>
      </c>
      <c r="AN413" s="27">
        <f t="shared" si="38"/>
        <v>0</v>
      </c>
      <c r="AO413" s="35" t="s">
        <v>1435</v>
      </c>
    </row>
    <row r="414" spans="1:41" ht="31.5" customHeight="1" x14ac:dyDescent="0.25">
      <c r="A414" s="8" t="s">
        <v>92</v>
      </c>
      <c r="B414" s="39" t="s">
        <v>767</v>
      </c>
      <c r="C414" s="29" t="s">
        <v>768</v>
      </c>
      <c r="D414" s="38" t="s">
        <v>1482</v>
      </c>
      <c r="E414" s="30">
        <v>2018</v>
      </c>
      <c r="F414" s="30">
        <v>2018</v>
      </c>
      <c r="G414" s="30" t="s">
        <v>1435</v>
      </c>
      <c r="H414" s="27">
        <v>1.2253884192200557E-2</v>
      </c>
      <c r="I414" s="27">
        <v>0</v>
      </c>
      <c r="J414" s="27">
        <v>0</v>
      </c>
      <c r="K414" s="27">
        <v>8.7982888499999995E-2</v>
      </c>
      <c r="L414" s="27">
        <v>0</v>
      </c>
      <c r="M414" s="27">
        <v>1.7596577700000001E-2</v>
      </c>
      <c r="N414" s="27">
        <v>7.0386310800000004E-2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1.2253884192200557E-2</v>
      </c>
      <c r="V414" s="27">
        <v>8.7982888499999995E-2</v>
      </c>
      <c r="W414" s="27">
        <v>1.2253884192200557E-2</v>
      </c>
      <c r="X414" s="27">
        <f t="shared" si="37"/>
        <v>8.7982888499999995E-2</v>
      </c>
      <c r="Y414" s="27">
        <v>0</v>
      </c>
      <c r="Z414" s="27">
        <f t="shared" si="36"/>
        <v>0</v>
      </c>
      <c r="AA414" s="27">
        <v>0</v>
      </c>
      <c r="AB414" s="28">
        <v>0</v>
      </c>
      <c r="AC414" s="27">
        <v>0</v>
      </c>
      <c r="AD414" s="28">
        <v>0</v>
      </c>
      <c r="AE414" s="27">
        <v>0</v>
      </c>
      <c r="AF414" s="28">
        <v>0</v>
      </c>
      <c r="AG414" s="27">
        <v>0</v>
      </c>
      <c r="AH414" s="28">
        <v>0</v>
      </c>
      <c r="AI414" s="27">
        <f>0.10381980843/1.18</f>
        <v>8.7982888499999995E-2</v>
      </c>
      <c r="AJ414" s="27">
        <v>0</v>
      </c>
      <c r="AK414" s="27">
        <v>0</v>
      </c>
      <c r="AL414" s="27">
        <v>0</v>
      </c>
      <c r="AM414" s="27">
        <f t="shared" si="39"/>
        <v>8.7982888499999995E-2</v>
      </c>
      <c r="AN414" s="27">
        <f t="shared" si="38"/>
        <v>0</v>
      </c>
      <c r="AO414" s="35" t="s">
        <v>1435</v>
      </c>
    </row>
    <row r="415" spans="1:41" ht="31.5" customHeight="1" x14ac:dyDescent="0.25">
      <c r="A415" s="8" t="s">
        <v>92</v>
      </c>
      <c r="B415" s="39" t="s">
        <v>769</v>
      </c>
      <c r="C415" s="29" t="s">
        <v>770</v>
      </c>
      <c r="D415" s="38" t="s">
        <v>1482</v>
      </c>
      <c r="E415" s="30">
        <v>2018</v>
      </c>
      <c r="F415" s="30">
        <v>2018</v>
      </c>
      <c r="G415" s="30" t="s">
        <v>1435</v>
      </c>
      <c r="H415" s="27">
        <v>5.8109614345403904E-2</v>
      </c>
      <c r="I415" s="27">
        <v>0</v>
      </c>
      <c r="J415" s="27">
        <v>0</v>
      </c>
      <c r="K415" s="27">
        <v>0.41722703100000003</v>
      </c>
      <c r="L415" s="27">
        <v>0</v>
      </c>
      <c r="M415" s="27">
        <v>8.3445406200000002E-2</v>
      </c>
      <c r="N415" s="27">
        <v>0.33378162480000001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5.8109614345403904E-2</v>
      </c>
      <c r="V415" s="27">
        <v>0.41722703100000003</v>
      </c>
      <c r="W415" s="27">
        <v>5.8109614345403904E-2</v>
      </c>
      <c r="X415" s="27">
        <f t="shared" si="37"/>
        <v>0.41722703100000003</v>
      </c>
      <c r="Y415" s="27">
        <v>0</v>
      </c>
      <c r="Z415" s="27">
        <f t="shared" si="36"/>
        <v>0</v>
      </c>
      <c r="AA415" s="27">
        <v>0</v>
      </c>
      <c r="AB415" s="28">
        <v>0</v>
      </c>
      <c r="AC415" s="27">
        <v>0</v>
      </c>
      <c r="AD415" s="28">
        <v>0</v>
      </c>
      <c r="AE415" s="27">
        <v>0</v>
      </c>
      <c r="AF415" s="28">
        <v>0</v>
      </c>
      <c r="AG415" s="27">
        <v>0</v>
      </c>
      <c r="AH415" s="28">
        <v>0</v>
      </c>
      <c r="AI415" s="27">
        <f>0.49232789658/1.18</f>
        <v>0.41722703100000003</v>
      </c>
      <c r="AJ415" s="27">
        <v>0</v>
      </c>
      <c r="AK415" s="27">
        <v>0</v>
      </c>
      <c r="AL415" s="27">
        <v>0</v>
      </c>
      <c r="AM415" s="27">
        <f t="shared" si="39"/>
        <v>0.41722703100000003</v>
      </c>
      <c r="AN415" s="27">
        <f t="shared" si="38"/>
        <v>0</v>
      </c>
      <c r="AO415" s="35" t="s">
        <v>1435</v>
      </c>
    </row>
    <row r="416" spans="1:41" ht="31.5" customHeight="1" x14ac:dyDescent="0.25">
      <c r="A416" s="8" t="s">
        <v>92</v>
      </c>
      <c r="B416" s="39" t="s">
        <v>771</v>
      </c>
      <c r="C416" s="29" t="s">
        <v>772</v>
      </c>
      <c r="D416" s="38" t="s">
        <v>1482</v>
      </c>
      <c r="E416" s="30">
        <v>2018</v>
      </c>
      <c r="F416" s="30">
        <v>2018</v>
      </c>
      <c r="G416" s="30" t="s">
        <v>1435</v>
      </c>
      <c r="H416" s="27">
        <v>9.2482144846796673E-3</v>
      </c>
      <c r="I416" s="27">
        <v>0</v>
      </c>
      <c r="J416" s="27">
        <v>0</v>
      </c>
      <c r="K416" s="27">
        <v>6.6402180000000005E-2</v>
      </c>
      <c r="L416" s="27">
        <v>0</v>
      </c>
      <c r="M416" s="27">
        <v>1.9507985084745764E-2</v>
      </c>
      <c r="N416" s="27">
        <v>4.6894194915254241E-2</v>
      </c>
      <c r="O416" s="27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9.2482144846796673E-3</v>
      </c>
      <c r="V416" s="27">
        <v>6.6402180000000005E-2</v>
      </c>
      <c r="W416" s="27">
        <v>9.2482144846796673E-3</v>
      </c>
      <c r="X416" s="27">
        <f t="shared" si="37"/>
        <v>6.6402180000000005E-2</v>
      </c>
      <c r="Y416" s="27">
        <v>0</v>
      </c>
      <c r="Z416" s="27">
        <f t="shared" si="36"/>
        <v>0</v>
      </c>
      <c r="AA416" s="27">
        <v>0</v>
      </c>
      <c r="AB416" s="28">
        <v>0</v>
      </c>
      <c r="AC416" s="27">
        <v>0</v>
      </c>
      <c r="AD416" s="28">
        <v>0</v>
      </c>
      <c r="AE416" s="27">
        <v>0</v>
      </c>
      <c r="AF416" s="28">
        <v>0</v>
      </c>
      <c r="AG416" s="27">
        <v>0</v>
      </c>
      <c r="AH416" s="28">
        <v>0</v>
      </c>
      <c r="AI416" s="27">
        <f>0.0783545724/1.18</f>
        <v>6.6402180000000005E-2</v>
      </c>
      <c r="AJ416" s="27">
        <v>0</v>
      </c>
      <c r="AK416" s="27">
        <v>0</v>
      </c>
      <c r="AL416" s="27">
        <v>0</v>
      </c>
      <c r="AM416" s="27">
        <f t="shared" si="39"/>
        <v>6.6402180000000005E-2</v>
      </c>
      <c r="AN416" s="27">
        <f t="shared" si="38"/>
        <v>0</v>
      </c>
      <c r="AO416" s="35" t="s">
        <v>1435</v>
      </c>
    </row>
    <row r="417" spans="1:41" ht="31.5" customHeight="1" x14ac:dyDescent="0.25">
      <c r="A417" s="8" t="s">
        <v>92</v>
      </c>
      <c r="B417" s="39" t="s">
        <v>773</v>
      </c>
      <c r="C417" s="29" t="s">
        <v>774</v>
      </c>
      <c r="D417" s="38" t="s">
        <v>1482</v>
      </c>
      <c r="E417" s="30">
        <v>2018</v>
      </c>
      <c r="F417" s="30">
        <v>2018</v>
      </c>
      <c r="G417" s="30" t="s">
        <v>1435</v>
      </c>
      <c r="H417" s="27">
        <v>6.9361608635097501E-3</v>
      </c>
      <c r="I417" s="27">
        <v>0</v>
      </c>
      <c r="J417" s="27">
        <v>0</v>
      </c>
      <c r="K417" s="27">
        <v>4.9801635000000004E-2</v>
      </c>
      <c r="L417" s="27">
        <v>0</v>
      </c>
      <c r="M417" s="27">
        <v>1.4630988813559322E-2</v>
      </c>
      <c r="N417" s="27">
        <v>3.5170646186440682E-2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6.9361608635097501E-3</v>
      </c>
      <c r="V417" s="27">
        <v>4.9801635000000004E-2</v>
      </c>
      <c r="W417" s="27">
        <v>6.9361608635097501E-3</v>
      </c>
      <c r="X417" s="27">
        <f t="shared" si="37"/>
        <v>4.9801635000000004E-2</v>
      </c>
      <c r="Y417" s="27">
        <v>0</v>
      </c>
      <c r="Z417" s="27">
        <f t="shared" si="36"/>
        <v>0</v>
      </c>
      <c r="AA417" s="27">
        <v>0</v>
      </c>
      <c r="AB417" s="28">
        <v>0</v>
      </c>
      <c r="AC417" s="27">
        <v>0</v>
      </c>
      <c r="AD417" s="28">
        <v>0</v>
      </c>
      <c r="AE417" s="27">
        <v>0</v>
      </c>
      <c r="AF417" s="28">
        <v>0</v>
      </c>
      <c r="AG417" s="27">
        <v>0</v>
      </c>
      <c r="AH417" s="28">
        <v>0</v>
      </c>
      <c r="AI417" s="27">
        <f>0.0587659293/1.18</f>
        <v>4.9801635000000004E-2</v>
      </c>
      <c r="AJ417" s="27">
        <v>0</v>
      </c>
      <c r="AK417" s="27">
        <v>0</v>
      </c>
      <c r="AL417" s="27">
        <v>0</v>
      </c>
      <c r="AM417" s="27">
        <f t="shared" si="39"/>
        <v>4.9801635000000004E-2</v>
      </c>
      <c r="AN417" s="27">
        <f t="shared" si="38"/>
        <v>0</v>
      </c>
      <c r="AO417" s="35" t="s">
        <v>1435</v>
      </c>
    </row>
    <row r="418" spans="1:41" ht="31.5" customHeight="1" x14ac:dyDescent="0.25">
      <c r="A418" s="59" t="s">
        <v>92</v>
      </c>
      <c r="B418" s="41" t="s">
        <v>775</v>
      </c>
      <c r="C418" s="29" t="s">
        <v>776</v>
      </c>
      <c r="D418" s="38" t="s">
        <v>1482</v>
      </c>
      <c r="E418" s="30">
        <v>2019</v>
      </c>
      <c r="F418" s="30">
        <v>2019</v>
      </c>
      <c r="G418" s="30" t="s">
        <v>1435</v>
      </c>
      <c r="H418" s="27">
        <v>4.5738161559888586E-2</v>
      </c>
      <c r="I418" s="27">
        <v>0</v>
      </c>
      <c r="J418" s="27">
        <v>0</v>
      </c>
      <c r="K418" s="27">
        <v>0.32840000000000003</v>
      </c>
      <c r="L418" s="27">
        <v>0</v>
      </c>
      <c r="M418" s="27">
        <v>8.4116362194165933E-2</v>
      </c>
      <c r="N418" s="27">
        <v>0.2442836378058339</v>
      </c>
      <c r="O418" s="27">
        <v>0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4.5738161559888586E-2</v>
      </c>
      <c r="V418" s="27">
        <v>0.32840000000000003</v>
      </c>
      <c r="W418" s="27">
        <v>4.5738161559888586E-2</v>
      </c>
      <c r="X418" s="27">
        <f t="shared" si="37"/>
        <v>0.32840000000000003</v>
      </c>
      <c r="Y418" s="27">
        <v>0</v>
      </c>
      <c r="Z418" s="27">
        <f t="shared" si="36"/>
        <v>0</v>
      </c>
      <c r="AA418" s="27">
        <v>0</v>
      </c>
      <c r="AB418" s="28">
        <v>0</v>
      </c>
      <c r="AC418" s="27">
        <v>0</v>
      </c>
      <c r="AD418" s="28">
        <v>0</v>
      </c>
      <c r="AE418" s="27">
        <v>0</v>
      </c>
      <c r="AF418" s="28">
        <v>0</v>
      </c>
      <c r="AG418" s="27">
        <v>0</v>
      </c>
      <c r="AH418" s="28">
        <v>0</v>
      </c>
      <c r="AI418" s="27">
        <v>0</v>
      </c>
      <c r="AJ418" s="27">
        <v>0</v>
      </c>
      <c r="AK418" s="27">
        <f>0.387512/1.18</f>
        <v>0.32840000000000003</v>
      </c>
      <c r="AL418" s="27">
        <v>0</v>
      </c>
      <c r="AM418" s="27">
        <f t="shared" si="39"/>
        <v>0.32840000000000003</v>
      </c>
      <c r="AN418" s="27">
        <f t="shared" si="38"/>
        <v>0</v>
      </c>
      <c r="AO418" s="35" t="s">
        <v>1435</v>
      </c>
    </row>
    <row r="419" spans="1:41" ht="31.5" customHeight="1" x14ac:dyDescent="0.25">
      <c r="A419" s="59" t="s">
        <v>92</v>
      </c>
      <c r="B419" s="41" t="s">
        <v>777</v>
      </c>
      <c r="C419" s="29" t="s">
        <v>778</v>
      </c>
      <c r="D419" s="38" t="s">
        <v>1482</v>
      </c>
      <c r="E419" s="30">
        <v>2019</v>
      </c>
      <c r="F419" s="30">
        <v>2019</v>
      </c>
      <c r="G419" s="30" t="s">
        <v>1435</v>
      </c>
      <c r="H419" s="27">
        <v>3.6590529247910869E-2</v>
      </c>
      <c r="I419" s="27">
        <v>0</v>
      </c>
      <c r="J419" s="27">
        <v>0</v>
      </c>
      <c r="K419" s="27">
        <v>0.26272000000000001</v>
      </c>
      <c r="L419" s="27">
        <v>0</v>
      </c>
      <c r="M419" s="27">
        <v>6.7293089755332713E-2</v>
      </c>
      <c r="N419" s="27">
        <v>0.19542691024466696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3.6590529247910869E-2</v>
      </c>
      <c r="V419" s="27">
        <v>0.26272000000000001</v>
      </c>
      <c r="W419" s="27">
        <v>3.6590529247910869E-2</v>
      </c>
      <c r="X419" s="27">
        <f t="shared" si="37"/>
        <v>0.26272000000000001</v>
      </c>
      <c r="Y419" s="27">
        <v>0</v>
      </c>
      <c r="Z419" s="27">
        <f t="shared" si="36"/>
        <v>0</v>
      </c>
      <c r="AA419" s="27">
        <v>0</v>
      </c>
      <c r="AB419" s="28">
        <v>0</v>
      </c>
      <c r="AC419" s="27">
        <v>0</v>
      </c>
      <c r="AD419" s="28">
        <v>0</v>
      </c>
      <c r="AE419" s="27">
        <v>0</v>
      </c>
      <c r="AF419" s="28">
        <v>0</v>
      </c>
      <c r="AG419" s="27">
        <v>0</v>
      </c>
      <c r="AH419" s="28">
        <v>0</v>
      </c>
      <c r="AI419" s="27">
        <v>0</v>
      </c>
      <c r="AJ419" s="27">
        <v>0</v>
      </c>
      <c r="AK419" s="27">
        <f>0.3100096/1.18</f>
        <v>0.26272000000000001</v>
      </c>
      <c r="AL419" s="27">
        <v>0</v>
      </c>
      <c r="AM419" s="27">
        <f t="shared" si="39"/>
        <v>0.26272000000000001</v>
      </c>
      <c r="AN419" s="27">
        <f t="shared" si="38"/>
        <v>0</v>
      </c>
      <c r="AO419" s="35" t="s">
        <v>1435</v>
      </c>
    </row>
    <row r="420" spans="1:41" ht="31.5" customHeight="1" x14ac:dyDescent="0.25">
      <c r="A420" s="59" t="s">
        <v>92</v>
      </c>
      <c r="B420" s="41" t="s">
        <v>779</v>
      </c>
      <c r="C420" s="29" t="s">
        <v>780</v>
      </c>
      <c r="D420" s="38" t="s">
        <v>1482</v>
      </c>
      <c r="E420" s="30">
        <v>2019</v>
      </c>
      <c r="F420" s="30">
        <v>2019</v>
      </c>
      <c r="G420" s="30" t="s">
        <v>1435</v>
      </c>
      <c r="H420" s="27">
        <v>3.6590529247910869E-2</v>
      </c>
      <c r="I420" s="27">
        <v>0</v>
      </c>
      <c r="J420" s="27">
        <v>0</v>
      </c>
      <c r="K420" s="27">
        <v>0.26272000000000001</v>
      </c>
      <c r="L420" s="27">
        <v>0</v>
      </c>
      <c r="M420" s="27">
        <v>6.7293089755332713E-2</v>
      </c>
      <c r="N420" s="27">
        <v>0.19542691024466696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3.6590529247910869E-2</v>
      </c>
      <c r="V420" s="27">
        <v>0.26272000000000001</v>
      </c>
      <c r="W420" s="27">
        <v>3.6590529247910869E-2</v>
      </c>
      <c r="X420" s="27">
        <f t="shared" si="37"/>
        <v>0.26272000000000001</v>
      </c>
      <c r="Y420" s="27">
        <v>0</v>
      </c>
      <c r="Z420" s="27">
        <f t="shared" si="36"/>
        <v>0</v>
      </c>
      <c r="AA420" s="27">
        <v>0</v>
      </c>
      <c r="AB420" s="28">
        <v>0</v>
      </c>
      <c r="AC420" s="27">
        <v>0</v>
      </c>
      <c r="AD420" s="28">
        <v>0</v>
      </c>
      <c r="AE420" s="27">
        <v>0</v>
      </c>
      <c r="AF420" s="28">
        <v>0</v>
      </c>
      <c r="AG420" s="27">
        <v>0</v>
      </c>
      <c r="AH420" s="28">
        <v>0</v>
      </c>
      <c r="AI420" s="27">
        <v>0</v>
      </c>
      <c r="AJ420" s="27">
        <v>0</v>
      </c>
      <c r="AK420" s="27">
        <f>0.3100096/1.18</f>
        <v>0.26272000000000001</v>
      </c>
      <c r="AL420" s="27">
        <v>0</v>
      </c>
      <c r="AM420" s="27">
        <f t="shared" si="39"/>
        <v>0.26272000000000001</v>
      </c>
      <c r="AN420" s="27">
        <f t="shared" si="38"/>
        <v>0</v>
      </c>
      <c r="AO420" s="35" t="s">
        <v>1435</v>
      </c>
    </row>
    <row r="421" spans="1:41" ht="31.5" customHeight="1" x14ac:dyDescent="0.25">
      <c r="A421" s="59" t="s">
        <v>92</v>
      </c>
      <c r="B421" s="41" t="s">
        <v>781</v>
      </c>
      <c r="C421" s="29" t="s">
        <v>782</v>
      </c>
      <c r="D421" s="38" t="s">
        <v>1482</v>
      </c>
      <c r="E421" s="30">
        <v>2019</v>
      </c>
      <c r="F421" s="30">
        <v>2019</v>
      </c>
      <c r="G421" s="30" t="s">
        <v>1435</v>
      </c>
      <c r="H421" s="27">
        <v>3.6590529247910869E-2</v>
      </c>
      <c r="I421" s="27">
        <v>0</v>
      </c>
      <c r="J421" s="27">
        <v>0</v>
      </c>
      <c r="K421" s="27">
        <v>0.26272000000000001</v>
      </c>
      <c r="L421" s="27">
        <v>0</v>
      </c>
      <c r="M421" s="27">
        <v>6.7293089755332713E-2</v>
      </c>
      <c r="N421" s="27">
        <v>0.19542691024466696</v>
      </c>
      <c r="O421" s="27">
        <v>0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3.6590529247910869E-2</v>
      </c>
      <c r="V421" s="27">
        <v>0.26272000000000001</v>
      </c>
      <c r="W421" s="27">
        <v>3.6590529247910869E-2</v>
      </c>
      <c r="X421" s="27">
        <f t="shared" si="37"/>
        <v>0.26272000000000001</v>
      </c>
      <c r="Y421" s="27">
        <v>0</v>
      </c>
      <c r="Z421" s="27">
        <f t="shared" si="36"/>
        <v>0</v>
      </c>
      <c r="AA421" s="27">
        <v>0</v>
      </c>
      <c r="AB421" s="28">
        <v>0</v>
      </c>
      <c r="AC421" s="27">
        <v>0</v>
      </c>
      <c r="AD421" s="28">
        <v>0</v>
      </c>
      <c r="AE421" s="27">
        <v>0</v>
      </c>
      <c r="AF421" s="28">
        <v>0</v>
      </c>
      <c r="AG421" s="27">
        <v>0</v>
      </c>
      <c r="AH421" s="28">
        <v>0</v>
      </c>
      <c r="AI421" s="27">
        <v>0</v>
      </c>
      <c r="AJ421" s="27">
        <v>0</v>
      </c>
      <c r="AK421" s="27">
        <f>0.3100096/1.18</f>
        <v>0.26272000000000001</v>
      </c>
      <c r="AL421" s="27">
        <v>0</v>
      </c>
      <c r="AM421" s="27">
        <f t="shared" si="39"/>
        <v>0.26272000000000001</v>
      </c>
      <c r="AN421" s="27">
        <f t="shared" si="38"/>
        <v>0</v>
      </c>
      <c r="AO421" s="35" t="s">
        <v>1435</v>
      </c>
    </row>
    <row r="422" spans="1:41" ht="31.5" customHeight="1" x14ac:dyDescent="0.25">
      <c r="A422" s="59" t="s">
        <v>92</v>
      </c>
      <c r="B422" s="41" t="s">
        <v>783</v>
      </c>
      <c r="C422" s="29" t="s">
        <v>784</v>
      </c>
      <c r="D422" s="38" t="s">
        <v>1482</v>
      </c>
      <c r="E422" s="30">
        <v>2019</v>
      </c>
      <c r="F422" s="30">
        <v>2019</v>
      </c>
      <c r="G422" s="30" t="s">
        <v>1435</v>
      </c>
      <c r="H422" s="27">
        <v>3.6590529247910869E-2</v>
      </c>
      <c r="I422" s="27">
        <v>0</v>
      </c>
      <c r="J422" s="27">
        <v>0</v>
      </c>
      <c r="K422" s="27">
        <v>0.26272000000000001</v>
      </c>
      <c r="L422" s="27">
        <v>0</v>
      </c>
      <c r="M422" s="27">
        <v>6.7293089755332713E-2</v>
      </c>
      <c r="N422" s="27">
        <v>0.19542691024466696</v>
      </c>
      <c r="O422" s="27">
        <v>0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3.6590529247910869E-2</v>
      </c>
      <c r="V422" s="27">
        <v>0.26272000000000001</v>
      </c>
      <c r="W422" s="27">
        <v>3.6590529247910869E-2</v>
      </c>
      <c r="X422" s="27">
        <f t="shared" si="37"/>
        <v>0.26272000000000001</v>
      </c>
      <c r="Y422" s="27">
        <v>0</v>
      </c>
      <c r="Z422" s="27">
        <f t="shared" si="36"/>
        <v>0</v>
      </c>
      <c r="AA422" s="27">
        <v>0</v>
      </c>
      <c r="AB422" s="28">
        <v>0</v>
      </c>
      <c r="AC422" s="27">
        <v>0</v>
      </c>
      <c r="AD422" s="28">
        <v>0</v>
      </c>
      <c r="AE422" s="27">
        <v>0</v>
      </c>
      <c r="AF422" s="28">
        <v>0</v>
      </c>
      <c r="AG422" s="27">
        <v>0</v>
      </c>
      <c r="AH422" s="28">
        <v>0</v>
      </c>
      <c r="AI422" s="27">
        <v>0</v>
      </c>
      <c r="AJ422" s="27">
        <v>0</v>
      </c>
      <c r="AK422" s="27">
        <f>0.3100096/1.18</f>
        <v>0.26272000000000001</v>
      </c>
      <c r="AL422" s="27">
        <v>0</v>
      </c>
      <c r="AM422" s="27">
        <f t="shared" si="39"/>
        <v>0.26272000000000001</v>
      </c>
      <c r="AN422" s="27">
        <f t="shared" si="38"/>
        <v>0</v>
      </c>
      <c r="AO422" s="35" t="s">
        <v>1435</v>
      </c>
    </row>
    <row r="423" spans="1:41" ht="31.5" customHeight="1" x14ac:dyDescent="0.25">
      <c r="A423" s="59" t="s">
        <v>92</v>
      </c>
      <c r="B423" s="41" t="s">
        <v>785</v>
      </c>
      <c r="C423" s="29" t="s">
        <v>786</v>
      </c>
      <c r="D423" s="38" t="s">
        <v>1482</v>
      </c>
      <c r="E423" s="30">
        <v>2019</v>
      </c>
      <c r="F423" s="30">
        <v>2019</v>
      </c>
      <c r="G423" s="30" t="s">
        <v>1435</v>
      </c>
      <c r="H423" s="27">
        <v>1.5041782729805015E-2</v>
      </c>
      <c r="I423" s="27">
        <v>0</v>
      </c>
      <c r="J423" s="27">
        <v>0</v>
      </c>
      <c r="K423" s="27">
        <v>0.108</v>
      </c>
      <c r="L423" s="27">
        <v>0</v>
      </c>
      <c r="M423" s="27">
        <v>3.2000646015962711E-2</v>
      </c>
      <c r="N423" s="27">
        <v>7.5999353984037288E-2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1.5041782729805015E-2</v>
      </c>
      <c r="V423" s="27">
        <v>0.108</v>
      </c>
      <c r="W423" s="27">
        <v>1.5041782729805015E-2</v>
      </c>
      <c r="X423" s="27">
        <f t="shared" si="37"/>
        <v>0.108</v>
      </c>
      <c r="Y423" s="27">
        <v>0</v>
      </c>
      <c r="Z423" s="27">
        <f t="shared" si="36"/>
        <v>0</v>
      </c>
      <c r="AA423" s="27">
        <v>0</v>
      </c>
      <c r="AB423" s="28">
        <v>0</v>
      </c>
      <c r="AC423" s="27">
        <v>0</v>
      </c>
      <c r="AD423" s="28">
        <v>0</v>
      </c>
      <c r="AE423" s="27">
        <v>0</v>
      </c>
      <c r="AF423" s="28">
        <v>0</v>
      </c>
      <c r="AG423" s="27">
        <v>0</v>
      </c>
      <c r="AH423" s="28">
        <v>0</v>
      </c>
      <c r="AI423" s="27">
        <v>0</v>
      </c>
      <c r="AJ423" s="27">
        <v>0</v>
      </c>
      <c r="AK423" s="27">
        <f>0.12744/1.18</f>
        <v>0.108</v>
      </c>
      <c r="AL423" s="27">
        <v>0</v>
      </c>
      <c r="AM423" s="27">
        <f t="shared" si="39"/>
        <v>0.108</v>
      </c>
      <c r="AN423" s="27">
        <f t="shared" si="38"/>
        <v>0</v>
      </c>
      <c r="AO423" s="35" t="s">
        <v>1435</v>
      </c>
    </row>
    <row r="424" spans="1:41" ht="31.5" customHeight="1" x14ac:dyDescent="0.25">
      <c r="A424" s="59" t="s">
        <v>92</v>
      </c>
      <c r="B424" s="41" t="s">
        <v>787</v>
      </c>
      <c r="C424" s="29" t="s">
        <v>788</v>
      </c>
      <c r="D424" s="38" t="s">
        <v>1482</v>
      </c>
      <c r="E424" s="30">
        <v>2019</v>
      </c>
      <c r="F424" s="30">
        <v>2019</v>
      </c>
      <c r="G424" s="30" t="s">
        <v>1435</v>
      </c>
      <c r="H424" s="27">
        <v>1.5041782729805015E-2</v>
      </c>
      <c r="I424" s="27">
        <v>0</v>
      </c>
      <c r="J424" s="27">
        <v>0</v>
      </c>
      <c r="K424" s="27">
        <v>0.108</v>
      </c>
      <c r="L424" s="27">
        <v>0</v>
      </c>
      <c r="M424" s="27">
        <v>3.2000646015962711E-2</v>
      </c>
      <c r="N424" s="27">
        <v>7.5999353984037288E-2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1.5041782729805015E-2</v>
      </c>
      <c r="V424" s="27">
        <v>0.108</v>
      </c>
      <c r="W424" s="27">
        <v>1.5041782729805015E-2</v>
      </c>
      <c r="X424" s="27">
        <f t="shared" si="37"/>
        <v>0.108</v>
      </c>
      <c r="Y424" s="27">
        <v>0</v>
      </c>
      <c r="Z424" s="27">
        <f t="shared" si="36"/>
        <v>0</v>
      </c>
      <c r="AA424" s="27">
        <v>0</v>
      </c>
      <c r="AB424" s="28">
        <v>0</v>
      </c>
      <c r="AC424" s="27">
        <v>0</v>
      </c>
      <c r="AD424" s="28">
        <v>0</v>
      </c>
      <c r="AE424" s="27">
        <v>0</v>
      </c>
      <c r="AF424" s="28">
        <v>0</v>
      </c>
      <c r="AG424" s="27">
        <v>0</v>
      </c>
      <c r="AH424" s="28">
        <v>0</v>
      </c>
      <c r="AI424" s="27">
        <v>0</v>
      </c>
      <c r="AJ424" s="27">
        <v>0</v>
      </c>
      <c r="AK424" s="27">
        <f>0.12744/1.18</f>
        <v>0.108</v>
      </c>
      <c r="AL424" s="27">
        <v>0</v>
      </c>
      <c r="AM424" s="27">
        <f t="shared" si="39"/>
        <v>0.108</v>
      </c>
      <c r="AN424" s="27">
        <f t="shared" si="38"/>
        <v>0</v>
      </c>
      <c r="AO424" s="35" t="s">
        <v>1435</v>
      </c>
    </row>
    <row r="425" spans="1:41" ht="31.5" customHeight="1" x14ac:dyDescent="0.25">
      <c r="A425" s="59" t="s">
        <v>92</v>
      </c>
      <c r="B425" s="41" t="s">
        <v>789</v>
      </c>
      <c r="C425" s="29" t="s">
        <v>790</v>
      </c>
      <c r="D425" s="38" t="s">
        <v>1482</v>
      </c>
      <c r="E425" s="30">
        <v>2019</v>
      </c>
      <c r="F425" s="30">
        <v>2019</v>
      </c>
      <c r="G425" s="30" t="s">
        <v>1435</v>
      </c>
      <c r="H425" s="27">
        <v>1.5041782729805015E-2</v>
      </c>
      <c r="I425" s="27">
        <v>0</v>
      </c>
      <c r="J425" s="27">
        <v>0</v>
      </c>
      <c r="K425" s="27">
        <v>0.108</v>
      </c>
      <c r="L425" s="27">
        <v>0</v>
      </c>
      <c r="M425" s="27">
        <v>3.2000646015962711E-2</v>
      </c>
      <c r="N425" s="27">
        <v>7.5999353984037288E-2</v>
      </c>
      <c r="O425" s="27">
        <v>0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1.5041782729805015E-2</v>
      </c>
      <c r="V425" s="27">
        <v>0.108</v>
      </c>
      <c r="W425" s="27">
        <v>1.5041782729805015E-2</v>
      </c>
      <c r="X425" s="27">
        <f t="shared" si="37"/>
        <v>0.108</v>
      </c>
      <c r="Y425" s="27">
        <v>0</v>
      </c>
      <c r="Z425" s="27">
        <f t="shared" si="36"/>
        <v>0</v>
      </c>
      <c r="AA425" s="27">
        <v>0</v>
      </c>
      <c r="AB425" s="28">
        <v>0</v>
      </c>
      <c r="AC425" s="27">
        <v>0</v>
      </c>
      <c r="AD425" s="28">
        <v>0</v>
      </c>
      <c r="AE425" s="27">
        <v>0</v>
      </c>
      <c r="AF425" s="28">
        <v>0</v>
      </c>
      <c r="AG425" s="27">
        <v>0</v>
      </c>
      <c r="AH425" s="28">
        <v>0</v>
      </c>
      <c r="AI425" s="27">
        <v>0</v>
      </c>
      <c r="AJ425" s="27">
        <v>0</v>
      </c>
      <c r="AK425" s="27">
        <f>0.12744/1.18</f>
        <v>0.108</v>
      </c>
      <c r="AL425" s="27">
        <v>0</v>
      </c>
      <c r="AM425" s="27">
        <f t="shared" si="39"/>
        <v>0.108</v>
      </c>
      <c r="AN425" s="27">
        <f t="shared" si="38"/>
        <v>0</v>
      </c>
      <c r="AO425" s="35" t="s">
        <v>1435</v>
      </c>
    </row>
    <row r="426" spans="1:41" ht="31.5" customHeight="1" x14ac:dyDescent="0.25">
      <c r="A426" s="59" t="s">
        <v>92</v>
      </c>
      <c r="B426" s="41" t="s">
        <v>791</v>
      </c>
      <c r="C426" s="29" t="s">
        <v>792</v>
      </c>
      <c r="D426" s="38" t="s">
        <v>1482</v>
      </c>
      <c r="E426" s="30">
        <v>2019</v>
      </c>
      <c r="F426" s="30">
        <v>2019</v>
      </c>
      <c r="G426" s="30" t="s">
        <v>1435</v>
      </c>
      <c r="H426" s="27">
        <v>2.2562674094707521E-2</v>
      </c>
      <c r="I426" s="27">
        <v>0</v>
      </c>
      <c r="J426" s="27">
        <v>0</v>
      </c>
      <c r="K426" s="27">
        <v>0.16200000000000001</v>
      </c>
      <c r="L426" s="27">
        <v>0</v>
      </c>
      <c r="M426" s="27">
        <v>4.8000969023944073E-2</v>
      </c>
      <c r="N426" s="27">
        <v>0.11399903097605595</v>
      </c>
      <c r="O426" s="27">
        <v>0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2.2562674094707521E-2</v>
      </c>
      <c r="V426" s="27">
        <v>0.16200000000000001</v>
      </c>
      <c r="W426" s="27">
        <v>2.2562674094707521E-2</v>
      </c>
      <c r="X426" s="27">
        <f t="shared" si="37"/>
        <v>0.16200000000000001</v>
      </c>
      <c r="Y426" s="27">
        <v>0</v>
      </c>
      <c r="Z426" s="27">
        <f t="shared" si="36"/>
        <v>0</v>
      </c>
      <c r="AA426" s="27">
        <v>0</v>
      </c>
      <c r="AB426" s="28">
        <v>0</v>
      </c>
      <c r="AC426" s="27">
        <v>0</v>
      </c>
      <c r="AD426" s="28">
        <v>0</v>
      </c>
      <c r="AE426" s="27">
        <v>0</v>
      </c>
      <c r="AF426" s="28">
        <v>0</v>
      </c>
      <c r="AG426" s="27">
        <v>0</v>
      </c>
      <c r="AH426" s="28">
        <v>0</v>
      </c>
      <c r="AI426" s="27">
        <v>0</v>
      </c>
      <c r="AJ426" s="27">
        <v>0</v>
      </c>
      <c r="AK426" s="27">
        <f>0.19116/1.18</f>
        <v>0.16200000000000001</v>
      </c>
      <c r="AL426" s="27">
        <v>0</v>
      </c>
      <c r="AM426" s="27">
        <f t="shared" si="39"/>
        <v>0.16200000000000001</v>
      </c>
      <c r="AN426" s="27">
        <f t="shared" si="38"/>
        <v>0</v>
      </c>
      <c r="AO426" s="35" t="s">
        <v>1435</v>
      </c>
    </row>
    <row r="427" spans="1:41" ht="31.5" customHeight="1" x14ac:dyDescent="0.25">
      <c r="A427" s="59" t="s">
        <v>92</v>
      </c>
      <c r="B427" s="41" t="s">
        <v>793</v>
      </c>
      <c r="C427" s="29" t="s">
        <v>794</v>
      </c>
      <c r="D427" s="38" t="s">
        <v>1482</v>
      </c>
      <c r="E427" s="30">
        <v>2019</v>
      </c>
      <c r="F427" s="30">
        <v>2019</v>
      </c>
      <c r="G427" s="30" t="s">
        <v>1435</v>
      </c>
      <c r="H427" s="27">
        <v>2.2562674094707521E-2</v>
      </c>
      <c r="I427" s="27">
        <v>0</v>
      </c>
      <c r="J427" s="27">
        <v>0</v>
      </c>
      <c r="K427" s="27">
        <v>0.16200000000000001</v>
      </c>
      <c r="L427" s="27">
        <v>0</v>
      </c>
      <c r="M427" s="27">
        <v>4.8000969023944073E-2</v>
      </c>
      <c r="N427" s="27">
        <v>0.11399903097605595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2.2562674094707521E-2</v>
      </c>
      <c r="V427" s="27">
        <v>0.16200000000000001</v>
      </c>
      <c r="W427" s="27">
        <v>2.2562674094707521E-2</v>
      </c>
      <c r="X427" s="27">
        <f t="shared" si="37"/>
        <v>0.16200000000000001</v>
      </c>
      <c r="Y427" s="27">
        <v>0</v>
      </c>
      <c r="Z427" s="27">
        <f t="shared" si="36"/>
        <v>0</v>
      </c>
      <c r="AA427" s="27">
        <v>0</v>
      </c>
      <c r="AB427" s="28">
        <v>0</v>
      </c>
      <c r="AC427" s="27">
        <v>0</v>
      </c>
      <c r="AD427" s="28">
        <v>0</v>
      </c>
      <c r="AE427" s="27">
        <v>0</v>
      </c>
      <c r="AF427" s="28">
        <v>0</v>
      </c>
      <c r="AG427" s="27">
        <v>0</v>
      </c>
      <c r="AH427" s="28">
        <v>0</v>
      </c>
      <c r="AI427" s="27">
        <v>0</v>
      </c>
      <c r="AJ427" s="27">
        <v>0</v>
      </c>
      <c r="AK427" s="27">
        <f>0.19116/1.18</f>
        <v>0.16200000000000001</v>
      </c>
      <c r="AL427" s="27">
        <v>0</v>
      </c>
      <c r="AM427" s="27">
        <f t="shared" si="39"/>
        <v>0.16200000000000001</v>
      </c>
      <c r="AN427" s="27">
        <f t="shared" si="38"/>
        <v>0</v>
      </c>
      <c r="AO427" s="35" t="s">
        <v>1435</v>
      </c>
    </row>
    <row r="428" spans="1:41" ht="31.5" customHeight="1" x14ac:dyDescent="0.25">
      <c r="A428" s="59" t="s">
        <v>92</v>
      </c>
      <c r="B428" s="41" t="s">
        <v>795</v>
      </c>
      <c r="C428" s="29" t="s">
        <v>796</v>
      </c>
      <c r="D428" s="38" t="s">
        <v>1482</v>
      </c>
      <c r="E428" s="30">
        <v>2019</v>
      </c>
      <c r="F428" s="30">
        <v>2019</v>
      </c>
      <c r="G428" s="30" t="s">
        <v>1435</v>
      </c>
      <c r="H428" s="27">
        <v>3.7604456824512536E-2</v>
      </c>
      <c r="I428" s="27">
        <v>0</v>
      </c>
      <c r="J428" s="27">
        <v>0</v>
      </c>
      <c r="K428" s="27">
        <v>0.27</v>
      </c>
      <c r="L428" s="27">
        <v>0</v>
      </c>
      <c r="M428" s="27">
        <v>8.0001615039906701E-2</v>
      </c>
      <c r="N428" s="27">
        <v>0.18999838496009325</v>
      </c>
      <c r="O428" s="27">
        <v>0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3.7604456824512536E-2</v>
      </c>
      <c r="V428" s="27">
        <v>0.27</v>
      </c>
      <c r="W428" s="27">
        <v>3.7604456824512536E-2</v>
      </c>
      <c r="X428" s="27">
        <f t="shared" si="37"/>
        <v>0.27</v>
      </c>
      <c r="Y428" s="27">
        <v>0</v>
      </c>
      <c r="Z428" s="27">
        <f t="shared" si="36"/>
        <v>0</v>
      </c>
      <c r="AA428" s="27">
        <v>0</v>
      </c>
      <c r="AB428" s="28">
        <v>0</v>
      </c>
      <c r="AC428" s="27">
        <v>0</v>
      </c>
      <c r="AD428" s="28">
        <v>0</v>
      </c>
      <c r="AE428" s="27">
        <v>0</v>
      </c>
      <c r="AF428" s="28">
        <v>0</v>
      </c>
      <c r="AG428" s="27">
        <v>0</v>
      </c>
      <c r="AH428" s="28">
        <v>0</v>
      </c>
      <c r="AI428" s="27">
        <v>0</v>
      </c>
      <c r="AJ428" s="27">
        <v>0</v>
      </c>
      <c r="AK428" s="27">
        <f>0.3186/1.18</f>
        <v>0.27</v>
      </c>
      <c r="AL428" s="27">
        <v>0</v>
      </c>
      <c r="AM428" s="27">
        <f t="shared" si="39"/>
        <v>0.27</v>
      </c>
      <c r="AN428" s="27">
        <f t="shared" si="38"/>
        <v>0</v>
      </c>
      <c r="AO428" s="35" t="s">
        <v>1435</v>
      </c>
    </row>
    <row r="429" spans="1:41" ht="31.5" customHeight="1" x14ac:dyDescent="0.25">
      <c r="A429" s="59" t="s">
        <v>92</v>
      </c>
      <c r="B429" s="41" t="s">
        <v>797</v>
      </c>
      <c r="C429" s="29" t="s">
        <v>798</v>
      </c>
      <c r="D429" s="38" t="s">
        <v>1482</v>
      </c>
      <c r="E429" s="30">
        <v>2019</v>
      </c>
      <c r="F429" s="30">
        <v>2019</v>
      </c>
      <c r="G429" s="30" t="s">
        <v>1435</v>
      </c>
      <c r="H429" s="27">
        <v>2.2562674094707521E-2</v>
      </c>
      <c r="I429" s="27">
        <v>0</v>
      </c>
      <c r="J429" s="27">
        <v>0</v>
      </c>
      <c r="K429" s="27">
        <v>0.16200000000000001</v>
      </c>
      <c r="L429" s="27">
        <v>0</v>
      </c>
      <c r="M429" s="27">
        <v>4.8000969023944073E-2</v>
      </c>
      <c r="N429" s="27">
        <v>0.11399903097605595</v>
      </c>
      <c r="O429" s="27">
        <v>0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2.2562674094707521E-2</v>
      </c>
      <c r="V429" s="27">
        <v>0.16200000000000001</v>
      </c>
      <c r="W429" s="27">
        <v>2.2562674094707521E-2</v>
      </c>
      <c r="X429" s="27">
        <f t="shared" si="37"/>
        <v>0.16200000000000001</v>
      </c>
      <c r="Y429" s="27">
        <v>0</v>
      </c>
      <c r="Z429" s="27">
        <f t="shared" si="36"/>
        <v>0</v>
      </c>
      <c r="AA429" s="27">
        <v>0</v>
      </c>
      <c r="AB429" s="28">
        <v>0</v>
      </c>
      <c r="AC429" s="27">
        <v>0</v>
      </c>
      <c r="AD429" s="28">
        <v>0</v>
      </c>
      <c r="AE429" s="27">
        <v>0</v>
      </c>
      <c r="AF429" s="28">
        <v>0</v>
      </c>
      <c r="AG429" s="27">
        <v>0</v>
      </c>
      <c r="AH429" s="28">
        <v>0</v>
      </c>
      <c r="AI429" s="27">
        <v>0</v>
      </c>
      <c r="AJ429" s="27">
        <v>0</v>
      </c>
      <c r="AK429" s="27">
        <f>0.19116/1.18</f>
        <v>0.16200000000000001</v>
      </c>
      <c r="AL429" s="27">
        <v>0</v>
      </c>
      <c r="AM429" s="27">
        <f t="shared" si="39"/>
        <v>0.16200000000000001</v>
      </c>
      <c r="AN429" s="27">
        <f t="shared" si="38"/>
        <v>0</v>
      </c>
      <c r="AO429" s="35" t="s">
        <v>1435</v>
      </c>
    </row>
    <row r="430" spans="1:41" ht="31.5" customHeight="1" x14ac:dyDescent="0.25">
      <c r="A430" s="59" t="s">
        <v>92</v>
      </c>
      <c r="B430" s="41" t="s">
        <v>799</v>
      </c>
      <c r="C430" s="29" t="s">
        <v>800</v>
      </c>
      <c r="D430" s="38" t="s">
        <v>1482</v>
      </c>
      <c r="E430" s="30">
        <v>2019</v>
      </c>
      <c r="F430" s="30">
        <v>2019</v>
      </c>
      <c r="G430" s="30" t="s">
        <v>1435</v>
      </c>
      <c r="H430" s="27">
        <v>3.7604456824512536E-2</v>
      </c>
      <c r="I430" s="27">
        <v>0</v>
      </c>
      <c r="J430" s="27">
        <v>0</v>
      </c>
      <c r="K430" s="27">
        <v>0.27</v>
      </c>
      <c r="L430" s="27">
        <v>0</v>
      </c>
      <c r="M430" s="27">
        <v>8.0001615039906701E-2</v>
      </c>
      <c r="N430" s="27">
        <v>0.18999838496009325</v>
      </c>
      <c r="O430" s="27">
        <v>0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3.7604456824512536E-2</v>
      </c>
      <c r="V430" s="27">
        <v>0.27</v>
      </c>
      <c r="W430" s="27">
        <v>3.7604456824512536E-2</v>
      </c>
      <c r="X430" s="27">
        <f t="shared" si="37"/>
        <v>0.27</v>
      </c>
      <c r="Y430" s="27">
        <v>0</v>
      </c>
      <c r="Z430" s="27">
        <f t="shared" si="36"/>
        <v>0</v>
      </c>
      <c r="AA430" s="27">
        <v>0</v>
      </c>
      <c r="AB430" s="28">
        <v>0</v>
      </c>
      <c r="AC430" s="27">
        <v>0</v>
      </c>
      <c r="AD430" s="28">
        <v>0</v>
      </c>
      <c r="AE430" s="27">
        <v>0</v>
      </c>
      <c r="AF430" s="28">
        <v>0</v>
      </c>
      <c r="AG430" s="27">
        <v>0</v>
      </c>
      <c r="AH430" s="28">
        <v>0</v>
      </c>
      <c r="AI430" s="27">
        <v>0</v>
      </c>
      <c r="AJ430" s="27">
        <v>0</v>
      </c>
      <c r="AK430" s="27">
        <f>0.3186/1.18</f>
        <v>0.27</v>
      </c>
      <c r="AL430" s="27">
        <v>0</v>
      </c>
      <c r="AM430" s="27">
        <f t="shared" si="39"/>
        <v>0.27</v>
      </c>
      <c r="AN430" s="27">
        <f t="shared" si="38"/>
        <v>0</v>
      </c>
      <c r="AO430" s="35" t="s">
        <v>1435</v>
      </c>
    </row>
    <row r="431" spans="1:41" ht="31.5" customHeight="1" x14ac:dyDescent="0.25">
      <c r="A431" s="59" t="s">
        <v>92</v>
      </c>
      <c r="B431" s="41" t="s">
        <v>801</v>
      </c>
      <c r="C431" s="29" t="s">
        <v>802</v>
      </c>
      <c r="D431" s="38" t="s">
        <v>1482</v>
      </c>
      <c r="E431" s="30">
        <v>2019</v>
      </c>
      <c r="F431" s="30">
        <v>2019</v>
      </c>
      <c r="G431" s="30" t="s">
        <v>1435</v>
      </c>
      <c r="H431" s="27">
        <v>0.68103481894150419</v>
      </c>
      <c r="I431" s="27">
        <v>0</v>
      </c>
      <c r="J431" s="27">
        <v>0</v>
      </c>
      <c r="K431" s="27">
        <v>4.8898299999999999</v>
      </c>
      <c r="L431" s="27">
        <v>0</v>
      </c>
      <c r="M431" s="27">
        <v>1.9792169050000001</v>
      </c>
      <c r="N431" s="27">
        <v>2.9106130950000004</v>
      </c>
      <c r="O431" s="27">
        <v>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0.68103481894150419</v>
      </c>
      <c r="V431" s="27">
        <v>4.8898299999999999</v>
      </c>
      <c r="W431" s="27">
        <v>0.68103481894150419</v>
      </c>
      <c r="X431" s="27">
        <f t="shared" si="37"/>
        <v>4.8898299999999999</v>
      </c>
      <c r="Y431" s="27">
        <v>0</v>
      </c>
      <c r="Z431" s="27">
        <f t="shared" si="36"/>
        <v>0</v>
      </c>
      <c r="AA431" s="27">
        <v>0</v>
      </c>
      <c r="AB431" s="28">
        <v>0</v>
      </c>
      <c r="AC431" s="27">
        <v>0</v>
      </c>
      <c r="AD431" s="28">
        <v>0</v>
      </c>
      <c r="AE431" s="27">
        <v>0</v>
      </c>
      <c r="AF431" s="28">
        <v>0</v>
      </c>
      <c r="AG431" s="27">
        <v>0</v>
      </c>
      <c r="AH431" s="28">
        <v>0</v>
      </c>
      <c r="AI431" s="27">
        <v>0</v>
      </c>
      <c r="AJ431" s="27">
        <v>0</v>
      </c>
      <c r="AK431" s="27">
        <f>5.7699994/1.18</f>
        <v>4.8898299999999999</v>
      </c>
      <c r="AL431" s="27">
        <v>0</v>
      </c>
      <c r="AM431" s="27">
        <f t="shared" si="39"/>
        <v>4.8898299999999999</v>
      </c>
      <c r="AN431" s="27">
        <f t="shared" si="38"/>
        <v>0</v>
      </c>
      <c r="AO431" s="35" t="s">
        <v>1435</v>
      </c>
    </row>
    <row r="432" spans="1:41" ht="31.5" customHeight="1" x14ac:dyDescent="0.25">
      <c r="A432" s="59" t="s">
        <v>92</v>
      </c>
      <c r="B432" s="41" t="s">
        <v>803</v>
      </c>
      <c r="C432" s="29" t="s">
        <v>804</v>
      </c>
      <c r="D432" s="38" t="s">
        <v>1482</v>
      </c>
      <c r="E432" s="30">
        <v>2019</v>
      </c>
      <c r="F432" s="30">
        <v>2019</v>
      </c>
      <c r="G432" s="30" t="s">
        <v>1435</v>
      </c>
      <c r="H432" s="27">
        <v>0.68103481894150419</v>
      </c>
      <c r="I432" s="27">
        <v>0</v>
      </c>
      <c r="J432" s="27">
        <v>0</v>
      </c>
      <c r="K432" s="27">
        <v>4.8898299999999999</v>
      </c>
      <c r="L432" s="27">
        <v>0</v>
      </c>
      <c r="M432" s="27">
        <v>1.9792169050000001</v>
      </c>
      <c r="N432" s="27">
        <v>2.9106130950000004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0.68103481894150419</v>
      </c>
      <c r="V432" s="27">
        <v>4.8898299999999999</v>
      </c>
      <c r="W432" s="27">
        <v>0.68103481894150419</v>
      </c>
      <c r="X432" s="27">
        <f t="shared" si="37"/>
        <v>4.8898299999999999</v>
      </c>
      <c r="Y432" s="27">
        <v>0</v>
      </c>
      <c r="Z432" s="27">
        <f t="shared" si="36"/>
        <v>0</v>
      </c>
      <c r="AA432" s="27">
        <v>0</v>
      </c>
      <c r="AB432" s="28">
        <v>0</v>
      </c>
      <c r="AC432" s="27">
        <v>0</v>
      </c>
      <c r="AD432" s="28">
        <v>0</v>
      </c>
      <c r="AE432" s="27">
        <v>0</v>
      </c>
      <c r="AF432" s="28">
        <v>0</v>
      </c>
      <c r="AG432" s="27">
        <v>0</v>
      </c>
      <c r="AH432" s="28">
        <v>0</v>
      </c>
      <c r="AI432" s="27">
        <v>0</v>
      </c>
      <c r="AJ432" s="27">
        <v>0</v>
      </c>
      <c r="AK432" s="27">
        <f>5.7699994/1.18</f>
        <v>4.8898299999999999</v>
      </c>
      <c r="AL432" s="27">
        <v>0</v>
      </c>
      <c r="AM432" s="27">
        <f t="shared" si="39"/>
        <v>4.8898299999999999</v>
      </c>
      <c r="AN432" s="27">
        <f t="shared" si="38"/>
        <v>0</v>
      </c>
      <c r="AO432" s="35" t="s">
        <v>1435</v>
      </c>
    </row>
    <row r="433" spans="1:41" ht="31.5" customHeight="1" x14ac:dyDescent="0.25">
      <c r="A433" s="59" t="s">
        <v>92</v>
      </c>
      <c r="B433" s="41" t="s">
        <v>805</v>
      </c>
      <c r="C433" s="29" t="s">
        <v>806</v>
      </c>
      <c r="D433" s="38" t="s">
        <v>1482</v>
      </c>
      <c r="E433" s="30">
        <v>2019</v>
      </c>
      <c r="F433" s="30">
        <v>2019</v>
      </c>
      <c r="G433" s="30" t="s">
        <v>1435</v>
      </c>
      <c r="H433" s="27">
        <v>0.88404735376044585</v>
      </c>
      <c r="I433" s="27">
        <v>0</v>
      </c>
      <c r="J433" s="27">
        <v>0</v>
      </c>
      <c r="K433" s="27">
        <v>6.3474600000000008</v>
      </c>
      <c r="L433" s="27">
        <v>0</v>
      </c>
      <c r="M433" s="27">
        <v>2.5636629765000003</v>
      </c>
      <c r="N433" s="27">
        <v>3.7837970235000005</v>
      </c>
      <c r="O433" s="27">
        <v>0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0.88404735376044585</v>
      </c>
      <c r="V433" s="27">
        <v>6.3474600000000008</v>
      </c>
      <c r="W433" s="27">
        <v>0.88404735376044585</v>
      </c>
      <c r="X433" s="27">
        <f t="shared" si="37"/>
        <v>6.3474600000000008</v>
      </c>
      <c r="Y433" s="27">
        <v>0</v>
      </c>
      <c r="Z433" s="27">
        <f t="shared" si="36"/>
        <v>0</v>
      </c>
      <c r="AA433" s="27">
        <v>0</v>
      </c>
      <c r="AB433" s="28">
        <v>0</v>
      </c>
      <c r="AC433" s="27">
        <v>0</v>
      </c>
      <c r="AD433" s="28">
        <v>0</v>
      </c>
      <c r="AE433" s="27">
        <v>0</v>
      </c>
      <c r="AF433" s="28">
        <v>0</v>
      </c>
      <c r="AG433" s="27">
        <v>0</v>
      </c>
      <c r="AH433" s="28">
        <v>0</v>
      </c>
      <c r="AI433" s="27">
        <v>0</v>
      </c>
      <c r="AJ433" s="27">
        <v>0</v>
      </c>
      <c r="AK433" s="27">
        <f>7.4900028/1.18</f>
        <v>6.3474600000000008</v>
      </c>
      <c r="AL433" s="27">
        <v>0</v>
      </c>
      <c r="AM433" s="27">
        <f t="shared" si="39"/>
        <v>6.3474600000000008</v>
      </c>
      <c r="AN433" s="27">
        <f t="shared" si="38"/>
        <v>0</v>
      </c>
      <c r="AO433" s="35" t="s">
        <v>1435</v>
      </c>
    </row>
    <row r="434" spans="1:41" ht="31.5" customHeight="1" x14ac:dyDescent="0.25">
      <c r="A434" s="59" t="s">
        <v>92</v>
      </c>
      <c r="B434" s="41" t="s">
        <v>807</v>
      </c>
      <c r="C434" s="29" t="s">
        <v>808</v>
      </c>
      <c r="D434" s="38" t="s">
        <v>1482</v>
      </c>
      <c r="E434" s="30">
        <v>2019</v>
      </c>
      <c r="F434" s="30">
        <v>2019</v>
      </c>
      <c r="G434" s="30" t="s">
        <v>1435</v>
      </c>
      <c r="H434" s="27">
        <v>0.74831197771587754</v>
      </c>
      <c r="I434" s="27">
        <v>0</v>
      </c>
      <c r="J434" s="27">
        <v>0</v>
      </c>
      <c r="K434" s="27">
        <v>5.3728800000000003</v>
      </c>
      <c r="L434" s="27">
        <v>0</v>
      </c>
      <c r="M434" s="27">
        <v>2.1712055955</v>
      </c>
      <c r="N434" s="27">
        <v>3.2016744044999998</v>
      </c>
      <c r="O434" s="27">
        <v>0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0.74831197771587754</v>
      </c>
      <c r="V434" s="27">
        <v>5.3728800000000003</v>
      </c>
      <c r="W434" s="27">
        <v>0.74831197771587754</v>
      </c>
      <c r="X434" s="27">
        <f t="shared" si="37"/>
        <v>5.3728800000000003</v>
      </c>
      <c r="Y434" s="27">
        <v>0</v>
      </c>
      <c r="Z434" s="27">
        <f t="shared" si="36"/>
        <v>0</v>
      </c>
      <c r="AA434" s="27">
        <v>0</v>
      </c>
      <c r="AB434" s="28">
        <v>0</v>
      </c>
      <c r="AC434" s="27">
        <v>0</v>
      </c>
      <c r="AD434" s="28">
        <v>0</v>
      </c>
      <c r="AE434" s="27">
        <v>0</v>
      </c>
      <c r="AF434" s="28">
        <v>0</v>
      </c>
      <c r="AG434" s="27">
        <v>0</v>
      </c>
      <c r="AH434" s="28">
        <v>0</v>
      </c>
      <c r="AI434" s="27">
        <v>0</v>
      </c>
      <c r="AJ434" s="27">
        <v>0</v>
      </c>
      <c r="AK434" s="27">
        <f>6.3399984/1.18</f>
        <v>5.3728800000000003</v>
      </c>
      <c r="AL434" s="27">
        <v>0</v>
      </c>
      <c r="AM434" s="27">
        <f t="shared" si="39"/>
        <v>5.3728800000000003</v>
      </c>
      <c r="AN434" s="27">
        <f t="shared" si="38"/>
        <v>0</v>
      </c>
      <c r="AO434" s="35" t="s">
        <v>1435</v>
      </c>
    </row>
    <row r="435" spans="1:41" ht="31.5" customHeight="1" x14ac:dyDescent="0.25">
      <c r="A435" s="59" t="s">
        <v>92</v>
      </c>
      <c r="B435" s="41" t="s">
        <v>809</v>
      </c>
      <c r="C435" s="29" t="s">
        <v>810</v>
      </c>
      <c r="D435" s="38" t="s">
        <v>1482</v>
      </c>
      <c r="E435" s="30">
        <v>2019</v>
      </c>
      <c r="F435" s="30">
        <v>2019</v>
      </c>
      <c r="G435" s="30" t="s">
        <v>1435</v>
      </c>
      <c r="H435" s="27">
        <v>4.6431754874651822E-2</v>
      </c>
      <c r="I435" s="27">
        <v>0</v>
      </c>
      <c r="J435" s="27">
        <v>0</v>
      </c>
      <c r="K435" s="27">
        <v>0.33338000000000007</v>
      </c>
      <c r="L435" s="27">
        <v>0</v>
      </c>
      <c r="M435" s="27">
        <v>9.4524887478739841E-2</v>
      </c>
      <c r="N435" s="27">
        <v>0.23885511252126018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4.6431754874651822E-2</v>
      </c>
      <c r="V435" s="27">
        <v>0.33338000000000007</v>
      </c>
      <c r="W435" s="27">
        <v>4.6431754874651822E-2</v>
      </c>
      <c r="X435" s="27">
        <f t="shared" si="37"/>
        <v>0.33338000000000007</v>
      </c>
      <c r="Y435" s="27">
        <v>0</v>
      </c>
      <c r="Z435" s="27">
        <f t="shared" si="36"/>
        <v>0</v>
      </c>
      <c r="AA435" s="27">
        <v>0</v>
      </c>
      <c r="AB435" s="28">
        <v>0</v>
      </c>
      <c r="AC435" s="27">
        <v>0</v>
      </c>
      <c r="AD435" s="28">
        <v>0</v>
      </c>
      <c r="AE435" s="27">
        <v>0</v>
      </c>
      <c r="AF435" s="28">
        <v>0</v>
      </c>
      <c r="AG435" s="27">
        <v>0</v>
      </c>
      <c r="AH435" s="28">
        <v>0</v>
      </c>
      <c r="AI435" s="27">
        <v>0</v>
      </c>
      <c r="AJ435" s="27">
        <v>0</v>
      </c>
      <c r="AK435" s="27">
        <f>0.3933884/1.18</f>
        <v>0.33338000000000007</v>
      </c>
      <c r="AL435" s="27">
        <v>0</v>
      </c>
      <c r="AM435" s="27">
        <f t="shared" si="39"/>
        <v>0.33338000000000007</v>
      </c>
      <c r="AN435" s="27">
        <f t="shared" si="38"/>
        <v>0</v>
      </c>
      <c r="AO435" s="35" t="s">
        <v>1435</v>
      </c>
    </row>
    <row r="436" spans="1:41" ht="31.5" customHeight="1" x14ac:dyDescent="0.25">
      <c r="A436" s="59" t="s">
        <v>92</v>
      </c>
      <c r="B436" s="41" t="s">
        <v>811</v>
      </c>
      <c r="C436" s="29" t="s">
        <v>812</v>
      </c>
      <c r="D436" s="38" t="s">
        <v>1482</v>
      </c>
      <c r="E436" s="30">
        <v>2019</v>
      </c>
      <c r="F436" s="30">
        <v>2019</v>
      </c>
      <c r="G436" s="30" t="s">
        <v>1435</v>
      </c>
      <c r="H436" s="27">
        <v>4.6431754874651822E-2</v>
      </c>
      <c r="I436" s="27">
        <v>0</v>
      </c>
      <c r="J436" s="27">
        <v>0</v>
      </c>
      <c r="K436" s="27">
        <v>0.33338000000000007</v>
      </c>
      <c r="L436" s="27">
        <v>0</v>
      </c>
      <c r="M436" s="27">
        <v>9.4524887478739841E-2</v>
      </c>
      <c r="N436" s="27">
        <v>0.23885511252126018</v>
      </c>
      <c r="O436" s="27">
        <v>0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4.6431754874651822E-2</v>
      </c>
      <c r="V436" s="27">
        <v>0.33338000000000007</v>
      </c>
      <c r="W436" s="27">
        <v>4.6431754874651822E-2</v>
      </c>
      <c r="X436" s="27">
        <f t="shared" si="37"/>
        <v>0.33338000000000007</v>
      </c>
      <c r="Y436" s="27">
        <v>0</v>
      </c>
      <c r="Z436" s="27">
        <f t="shared" si="36"/>
        <v>0</v>
      </c>
      <c r="AA436" s="27">
        <v>0</v>
      </c>
      <c r="AB436" s="28">
        <v>0</v>
      </c>
      <c r="AC436" s="27">
        <v>0</v>
      </c>
      <c r="AD436" s="28">
        <v>0</v>
      </c>
      <c r="AE436" s="27">
        <v>0</v>
      </c>
      <c r="AF436" s="28">
        <v>0</v>
      </c>
      <c r="AG436" s="27">
        <v>0</v>
      </c>
      <c r="AH436" s="28">
        <v>0</v>
      </c>
      <c r="AI436" s="27">
        <v>0</v>
      </c>
      <c r="AJ436" s="27">
        <v>0</v>
      </c>
      <c r="AK436" s="27">
        <f>0.3933884/1.18</f>
        <v>0.33338000000000007</v>
      </c>
      <c r="AL436" s="27">
        <v>0</v>
      </c>
      <c r="AM436" s="27">
        <f t="shared" si="39"/>
        <v>0.33338000000000007</v>
      </c>
      <c r="AN436" s="27">
        <f t="shared" si="38"/>
        <v>0</v>
      </c>
      <c r="AO436" s="35" t="s">
        <v>1435</v>
      </c>
    </row>
    <row r="437" spans="1:41" ht="31.5" customHeight="1" x14ac:dyDescent="0.25">
      <c r="A437" s="59" t="s">
        <v>92</v>
      </c>
      <c r="B437" s="41" t="s">
        <v>813</v>
      </c>
      <c r="C437" s="29" t="s">
        <v>814</v>
      </c>
      <c r="D437" s="38" t="s">
        <v>1482</v>
      </c>
      <c r="E437" s="30">
        <v>2019</v>
      </c>
      <c r="F437" s="30">
        <v>2019</v>
      </c>
      <c r="G437" s="30" t="s">
        <v>1435</v>
      </c>
      <c r="H437" s="27">
        <v>4.6431754874651822E-2</v>
      </c>
      <c r="I437" s="27">
        <v>0</v>
      </c>
      <c r="J437" s="27">
        <v>0</v>
      </c>
      <c r="K437" s="27">
        <v>0.33338000000000007</v>
      </c>
      <c r="L437" s="27">
        <v>0</v>
      </c>
      <c r="M437" s="27">
        <v>9.4524887478739841E-2</v>
      </c>
      <c r="N437" s="27">
        <v>0.23885511252126018</v>
      </c>
      <c r="O437" s="27">
        <v>0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4.6431754874651822E-2</v>
      </c>
      <c r="V437" s="27">
        <v>0.33338000000000007</v>
      </c>
      <c r="W437" s="27">
        <v>4.6431754874651822E-2</v>
      </c>
      <c r="X437" s="27">
        <f t="shared" si="37"/>
        <v>0.33338000000000007</v>
      </c>
      <c r="Y437" s="27">
        <v>0</v>
      </c>
      <c r="Z437" s="27">
        <f t="shared" si="36"/>
        <v>0</v>
      </c>
      <c r="AA437" s="27">
        <v>0</v>
      </c>
      <c r="AB437" s="28">
        <v>0</v>
      </c>
      <c r="AC437" s="27">
        <v>0</v>
      </c>
      <c r="AD437" s="28">
        <v>0</v>
      </c>
      <c r="AE437" s="27">
        <v>0</v>
      </c>
      <c r="AF437" s="28">
        <v>0</v>
      </c>
      <c r="AG437" s="27">
        <v>0</v>
      </c>
      <c r="AH437" s="28">
        <v>0</v>
      </c>
      <c r="AI437" s="27">
        <v>0</v>
      </c>
      <c r="AJ437" s="27">
        <v>0</v>
      </c>
      <c r="AK437" s="27">
        <f>0.3933884/1.18</f>
        <v>0.33338000000000007</v>
      </c>
      <c r="AL437" s="27">
        <v>0</v>
      </c>
      <c r="AM437" s="27">
        <f t="shared" si="39"/>
        <v>0.33338000000000007</v>
      </c>
      <c r="AN437" s="27">
        <f t="shared" si="38"/>
        <v>0</v>
      </c>
      <c r="AO437" s="35" t="s">
        <v>1435</v>
      </c>
    </row>
    <row r="438" spans="1:41" ht="31.5" customHeight="1" x14ac:dyDescent="0.25">
      <c r="A438" s="59"/>
      <c r="B438" s="41" t="s">
        <v>815</v>
      </c>
      <c r="C438" s="29" t="s">
        <v>816</v>
      </c>
      <c r="D438" s="38" t="s">
        <v>1482</v>
      </c>
      <c r="E438" s="30">
        <v>2019</v>
      </c>
      <c r="F438" s="30">
        <v>2019</v>
      </c>
      <c r="G438" s="30" t="s">
        <v>1435</v>
      </c>
      <c r="H438" s="27">
        <v>4.6431754874651822E-2</v>
      </c>
      <c r="I438" s="27">
        <v>0</v>
      </c>
      <c r="J438" s="27">
        <v>0</v>
      </c>
      <c r="K438" s="27">
        <v>0.33338000000000007</v>
      </c>
      <c r="L438" s="27">
        <v>0</v>
      </c>
      <c r="M438" s="27">
        <v>9.4524887478739841E-2</v>
      </c>
      <c r="N438" s="27">
        <v>0.23885511252126018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4.6431754874651822E-2</v>
      </c>
      <c r="V438" s="27">
        <v>0.33338000000000007</v>
      </c>
      <c r="W438" s="27">
        <v>4.6431754874651822E-2</v>
      </c>
      <c r="X438" s="27">
        <f t="shared" si="37"/>
        <v>0.33338000000000007</v>
      </c>
      <c r="Y438" s="27">
        <v>0</v>
      </c>
      <c r="Z438" s="27">
        <f t="shared" si="36"/>
        <v>0</v>
      </c>
      <c r="AA438" s="27">
        <v>0</v>
      </c>
      <c r="AB438" s="28">
        <v>0</v>
      </c>
      <c r="AC438" s="27">
        <v>0</v>
      </c>
      <c r="AD438" s="28">
        <v>0</v>
      </c>
      <c r="AE438" s="27">
        <v>0</v>
      </c>
      <c r="AF438" s="28">
        <v>0</v>
      </c>
      <c r="AG438" s="27">
        <v>0</v>
      </c>
      <c r="AH438" s="28">
        <v>0</v>
      </c>
      <c r="AI438" s="27">
        <v>0</v>
      </c>
      <c r="AJ438" s="27">
        <v>0</v>
      </c>
      <c r="AK438" s="27">
        <f>0.3933884/1.18</f>
        <v>0.33338000000000007</v>
      </c>
      <c r="AL438" s="27">
        <v>0</v>
      </c>
      <c r="AM438" s="27">
        <f t="shared" si="39"/>
        <v>0.33338000000000007</v>
      </c>
      <c r="AN438" s="27">
        <f t="shared" si="38"/>
        <v>0</v>
      </c>
      <c r="AO438" s="35" t="s">
        <v>1435</v>
      </c>
    </row>
    <row r="439" spans="1:41" ht="31.5" customHeight="1" x14ac:dyDescent="0.25">
      <c r="A439" s="59" t="s">
        <v>92</v>
      </c>
      <c r="B439" s="41" t="s">
        <v>817</v>
      </c>
      <c r="C439" s="29" t="s">
        <v>818</v>
      </c>
      <c r="D439" s="38" t="s">
        <v>1482</v>
      </c>
      <c r="E439" s="30">
        <v>2019</v>
      </c>
      <c r="F439" s="30">
        <v>2019</v>
      </c>
      <c r="G439" s="30" t="s">
        <v>1435</v>
      </c>
      <c r="H439" s="27">
        <v>4.6431754874651822E-2</v>
      </c>
      <c r="I439" s="27">
        <v>0</v>
      </c>
      <c r="J439" s="27">
        <v>0</v>
      </c>
      <c r="K439" s="27">
        <v>0.33338000000000007</v>
      </c>
      <c r="L439" s="27">
        <v>0</v>
      </c>
      <c r="M439" s="27">
        <v>9.4524887478739841E-2</v>
      </c>
      <c r="N439" s="27">
        <v>0.23885511252126018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4.6431754874651822E-2</v>
      </c>
      <c r="V439" s="27">
        <v>0.33338000000000007</v>
      </c>
      <c r="W439" s="27">
        <v>4.6431754874651822E-2</v>
      </c>
      <c r="X439" s="27">
        <f t="shared" si="37"/>
        <v>0.33338000000000007</v>
      </c>
      <c r="Y439" s="27">
        <v>0</v>
      </c>
      <c r="Z439" s="27">
        <f t="shared" si="36"/>
        <v>0</v>
      </c>
      <c r="AA439" s="27">
        <v>0</v>
      </c>
      <c r="AB439" s="28">
        <v>0</v>
      </c>
      <c r="AC439" s="27">
        <v>0</v>
      </c>
      <c r="AD439" s="28">
        <v>0</v>
      </c>
      <c r="AE439" s="27">
        <v>0</v>
      </c>
      <c r="AF439" s="28">
        <v>0</v>
      </c>
      <c r="AG439" s="27">
        <v>0</v>
      </c>
      <c r="AH439" s="28">
        <v>0</v>
      </c>
      <c r="AI439" s="27">
        <v>0</v>
      </c>
      <c r="AJ439" s="27">
        <v>0</v>
      </c>
      <c r="AK439" s="27">
        <f>0.3933884/1.18</f>
        <v>0.33338000000000007</v>
      </c>
      <c r="AL439" s="27">
        <v>0</v>
      </c>
      <c r="AM439" s="27">
        <f t="shared" si="39"/>
        <v>0.33338000000000007</v>
      </c>
      <c r="AN439" s="27">
        <f t="shared" si="38"/>
        <v>0</v>
      </c>
      <c r="AO439" s="35" t="s">
        <v>1435</v>
      </c>
    </row>
    <row r="440" spans="1:41" ht="31.5" customHeight="1" x14ac:dyDescent="0.25">
      <c r="A440" s="59"/>
      <c r="B440" s="41" t="s">
        <v>819</v>
      </c>
      <c r="C440" s="29" t="s">
        <v>820</v>
      </c>
      <c r="D440" s="38" t="s">
        <v>1482</v>
      </c>
      <c r="E440" s="30">
        <v>2019</v>
      </c>
      <c r="F440" s="30">
        <v>2019</v>
      </c>
      <c r="G440" s="30" t="s">
        <v>1435</v>
      </c>
      <c r="H440" s="27">
        <v>6.9647632311977722E-2</v>
      </c>
      <c r="I440" s="27">
        <v>0</v>
      </c>
      <c r="J440" s="27">
        <v>0</v>
      </c>
      <c r="K440" s="27">
        <v>0.50007000000000001</v>
      </c>
      <c r="L440" s="27">
        <v>0</v>
      </c>
      <c r="M440" s="27">
        <v>0.14178733121811019</v>
      </c>
      <c r="N440" s="27">
        <v>0.35828266878188986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6.9647632311977722E-2</v>
      </c>
      <c r="V440" s="27">
        <v>0.50007000000000001</v>
      </c>
      <c r="W440" s="27">
        <v>6.9647632311977722E-2</v>
      </c>
      <c r="X440" s="27">
        <f t="shared" si="37"/>
        <v>0.50007000000000001</v>
      </c>
      <c r="Y440" s="27">
        <v>0</v>
      </c>
      <c r="Z440" s="27">
        <f t="shared" si="36"/>
        <v>0</v>
      </c>
      <c r="AA440" s="27">
        <v>0</v>
      </c>
      <c r="AB440" s="28">
        <v>0</v>
      </c>
      <c r="AC440" s="27">
        <v>0</v>
      </c>
      <c r="AD440" s="28">
        <v>0</v>
      </c>
      <c r="AE440" s="27">
        <v>0</v>
      </c>
      <c r="AF440" s="28">
        <v>0</v>
      </c>
      <c r="AG440" s="27">
        <v>0</v>
      </c>
      <c r="AH440" s="28">
        <v>0</v>
      </c>
      <c r="AI440" s="27">
        <v>0</v>
      </c>
      <c r="AJ440" s="27">
        <v>0</v>
      </c>
      <c r="AK440" s="27">
        <f>0.5900826/1.18</f>
        <v>0.50007000000000001</v>
      </c>
      <c r="AL440" s="27">
        <v>0</v>
      </c>
      <c r="AM440" s="27">
        <f t="shared" si="39"/>
        <v>0.50007000000000001</v>
      </c>
      <c r="AN440" s="27">
        <f t="shared" si="38"/>
        <v>0</v>
      </c>
      <c r="AO440" s="35" t="s">
        <v>1435</v>
      </c>
    </row>
    <row r="441" spans="1:41" ht="31.5" customHeight="1" x14ac:dyDescent="0.25">
      <c r="A441" s="59" t="s">
        <v>92</v>
      </c>
      <c r="B441" s="41" t="s">
        <v>821</v>
      </c>
      <c r="C441" s="29" t="s">
        <v>822</v>
      </c>
      <c r="D441" s="38" t="s">
        <v>1482</v>
      </c>
      <c r="E441" s="30">
        <v>2019</v>
      </c>
      <c r="F441" s="30">
        <v>2019</v>
      </c>
      <c r="G441" s="30" t="s">
        <v>1435</v>
      </c>
      <c r="H441" s="27">
        <v>4.6431754874651822E-2</v>
      </c>
      <c r="I441" s="27">
        <v>0</v>
      </c>
      <c r="J441" s="27">
        <v>0</v>
      </c>
      <c r="K441" s="27">
        <v>0.33338000000000007</v>
      </c>
      <c r="L441" s="27">
        <v>0</v>
      </c>
      <c r="M441" s="27">
        <v>9.4524887478739841E-2</v>
      </c>
      <c r="N441" s="27">
        <v>0.23885511252126018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4.6431754874651822E-2</v>
      </c>
      <c r="V441" s="27">
        <v>0.33338000000000007</v>
      </c>
      <c r="W441" s="27">
        <v>4.6431754874651822E-2</v>
      </c>
      <c r="X441" s="27">
        <f t="shared" si="37"/>
        <v>0.33338000000000007</v>
      </c>
      <c r="Y441" s="27">
        <v>0</v>
      </c>
      <c r="Z441" s="27">
        <f t="shared" si="36"/>
        <v>0</v>
      </c>
      <c r="AA441" s="27">
        <v>0</v>
      </c>
      <c r="AB441" s="28">
        <v>0</v>
      </c>
      <c r="AC441" s="27">
        <v>0</v>
      </c>
      <c r="AD441" s="28">
        <v>0</v>
      </c>
      <c r="AE441" s="27">
        <v>0</v>
      </c>
      <c r="AF441" s="28">
        <v>0</v>
      </c>
      <c r="AG441" s="27">
        <v>0</v>
      </c>
      <c r="AH441" s="28">
        <v>0</v>
      </c>
      <c r="AI441" s="27">
        <v>0</v>
      </c>
      <c r="AJ441" s="27">
        <v>0</v>
      </c>
      <c r="AK441" s="27">
        <f>0.3933884/1.18</f>
        <v>0.33338000000000007</v>
      </c>
      <c r="AL441" s="27">
        <v>0</v>
      </c>
      <c r="AM441" s="27">
        <f t="shared" si="39"/>
        <v>0.33338000000000007</v>
      </c>
      <c r="AN441" s="27">
        <f t="shared" si="38"/>
        <v>0</v>
      </c>
      <c r="AO441" s="35" t="s">
        <v>1435</v>
      </c>
    </row>
    <row r="442" spans="1:41" ht="31.5" customHeight="1" x14ac:dyDescent="0.25">
      <c r="A442" s="59" t="s">
        <v>92</v>
      </c>
      <c r="B442" s="41" t="s">
        <v>823</v>
      </c>
      <c r="C442" s="29" t="s">
        <v>824</v>
      </c>
      <c r="D442" s="38" t="s">
        <v>1482</v>
      </c>
      <c r="E442" s="30">
        <v>2019</v>
      </c>
      <c r="F442" s="30">
        <v>2019</v>
      </c>
      <c r="G442" s="30" t="s">
        <v>1435</v>
      </c>
      <c r="H442" s="27">
        <v>6.4149083746169924E-3</v>
      </c>
      <c r="I442" s="27">
        <v>0</v>
      </c>
      <c r="J442" s="27">
        <v>0</v>
      </c>
      <c r="K442" s="27">
        <v>4.6059042129750004E-2</v>
      </c>
      <c r="L442" s="27">
        <v>0</v>
      </c>
      <c r="M442" s="27">
        <v>9.2118084259500011E-3</v>
      </c>
      <c r="N442" s="27">
        <v>3.6847233703800004E-2</v>
      </c>
      <c r="O442" s="27">
        <v>0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6.4149083746169924E-3</v>
      </c>
      <c r="V442" s="27">
        <v>4.6059042129750004E-2</v>
      </c>
      <c r="W442" s="27">
        <v>6.4149083746169924E-3</v>
      </c>
      <c r="X442" s="27">
        <f t="shared" si="37"/>
        <v>4.6059042129750004E-2</v>
      </c>
      <c r="Y442" s="27">
        <v>0</v>
      </c>
      <c r="Z442" s="27">
        <f t="shared" si="36"/>
        <v>0</v>
      </c>
      <c r="AA442" s="27">
        <v>0</v>
      </c>
      <c r="AB442" s="28">
        <v>0</v>
      </c>
      <c r="AC442" s="27">
        <v>0</v>
      </c>
      <c r="AD442" s="28">
        <v>0</v>
      </c>
      <c r="AE442" s="27">
        <v>0</v>
      </c>
      <c r="AF442" s="28">
        <v>0</v>
      </c>
      <c r="AG442" s="27">
        <v>0</v>
      </c>
      <c r="AH442" s="28">
        <v>0</v>
      </c>
      <c r="AI442" s="27">
        <v>0</v>
      </c>
      <c r="AJ442" s="27">
        <v>0</v>
      </c>
      <c r="AK442" s="27">
        <f>0.054349669713105/1.18</f>
        <v>4.6059042129750004E-2</v>
      </c>
      <c r="AL442" s="27">
        <v>0</v>
      </c>
      <c r="AM442" s="27">
        <f t="shared" si="39"/>
        <v>4.6059042129750004E-2</v>
      </c>
      <c r="AN442" s="27">
        <f t="shared" si="38"/>
        <v>0</v>
      </c>
      <c r="AO442" s="35" t="s">
        <v>1435</v>
      </c>
    </row>
    <row r="443" spans="1:41" ht="31.5" customHeight="1" x14ac:dyDescent="0.25">
      <c r="A443" s="59" t="s">
        <v>92</v>
      </c>
      <c r="B443" s="41" t="s">
        <v>825</v>
      </c>
      <c r="C443" s="29" t="s">
        <v>826</v>
      </c>
      <c r="D443" s="38" t="s">
        <v>1482</v>
      </c>
      <c r="E443" s="30">
        <v>2019</v>
      </c>
      <c r="F443" s="30">
        <v>2019</v>
      </c>
      <c r="G443" s="30" t="s">
        <v>1435</v>
      </c>
      <c r="H443" s="27">
        <v>1.2829816749233985E-2</v>
      </c>
      <c r="I443" s="27">
        <v>0</v>
      </c>
      <c r="J443" s="27">
        <v>0</v>
      </c>
      <c r="K443" s="27">
        <v>9.2118084259500008E-2</v>
      </c>
      <c r="L443" s="27">
        <v>0</v>
      </c>
      <c r="M443" s="27">
        <v>1.8423616851900002E-2</v>
      </c>
      <c r="N443" s="27">
        <v>7.3694467407600009E-2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1.2829816749233985E-2</v>
      </c>
      <c r="V443" s="27">
        <v>9.2118084259500008E-2</v>
      </c>
      <c r="W443" s="27">
        <v>1.2829816749233985E-2</v>
      </c>
      <c r="X443" s="27">
        <f t="shared" si="37"/>
        <v>9.2118084259500008E-2</v>
      </c>
      <c r="Y443" s="27">
        <v>0</v>
      </c>
      <c r="Z443" s="27">
        <f t="shared" si="36"/>
        <v>0</v>
      </c>
      <c r="AA443" s="27">
        <v>0</v>
      </c>
      <c r="AB443" s="28">
        <v>0</v>
      </c>
      <c r="AC443" s="27">
        <v>0</v>
      </c>
      <c r="AD443" s="28">
        <v>0</v>
      </c>
      <c r="AE443" s="27">
        <v>0</v>
      </c>
      <c r="AF443" s="28">
        <v>0</v>
      </c>
      <c r="AG443" s="27">
        <v>0</v>
      </c>
      <c r="AH443" s="28">
        <v>0</v>
      </c>
      <c r="AI443" s="27">
        <v>0</v>
      </c>
      <c r="AJ443" s="27">
        <v>0</v>
      </c>
      <c r="AK443" s="27">
        <f>0.10869933942621/1.18</f>
        <v>9.2118084259500008E-2</v>
      </c>
      <c r="AL443" s="27">
        <v>0</v>
      </c>
      <c r="AM443" s="27">
        <f t="shared" si="39"/>
        <v>9.2118084259500008E-2</v>
      </c>
      <c r="AN443" s="27">
        <f t="shared" si="38"/>
        <v>0</v>
      </c>
      <c r="AO443" s="35" t="s">
        <v>1435</v>
      </c>
    </row>
    <row r="444" spans="1:41" ht="31.5" customHeight="1" x14ac:dyDescent="0.25">
      <c r="A444" s="59" t="s">
        <v>92</v>
      </c>
      <c r="B444" s="41" t="s">
        <v>827</v>
      </c>
      <c r="C444" s="29" t="s">
        <v>828</v>
      </c>
      <c r="D444" s="38" t="s">
        <v>1482</v>
      </c>
      <c r="E444" s="30">
        <v>2019</v>
      </c>
      <c r="F444" s="30">
        <v>2019</v>
      </c>
      <c r="G444" s="30" t="s">
        <v>1435</v>
      </c>
      <c r="H444" s="27">
        <v>1.2829816749233985E-2</v>
      </c>
      <c r="I444" s="27">
        <v>0</v>
      </c>
      <c r="J444" s="27">
        <v>0</v>
      </c>
      <c r="K444" s="27">
        <v>9.2118084259500008E-2</v>
      </c>
      <c r="L444" s="27">
        <v>0</v>
      </c>
      <c r="M444" s="27">
        <v>1.8423616851900002E-2</v>
      </c>
      <c r="N444" s="27">
        <v>7.3694467407600009E-2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1.2829816749233985E-2</v>
      </c>
      <c r="V444" s="27">
        <v>9.2118084259500008E-2</v>
      </c>
      <c r="W444" s="27">
        <v>1.2829816749233985E-2</v>
      </c>
      <c r="X444" s="27">
        <f t="shared" si="37"/>
        <v>9.2118084259500008E-2</v>
      </c>
      <c r="Y444" s="27">
        <v>0</v>
      </c>
      <c r="Z444" s="27">
        <f t="shared" si="36"/>
        <v>0</v>
      </c>
      <c r="AA444" s="27">
        <v>0</v>
      </c>
      <c r="AB444" s="28">
        <v>0</v>
      </c>
      <c r="AC444" s="27">
        <v>0</v>
      </c>
      <c r="AD444" s="28">
        <v>0</v>
      </c>
      <c r="AE444" s="27">
        <v>0</v>
      </c>
      <c r="AF444" s="28">
        <v>0</v>
      </c>
      <c r="AG444" s="27">
        <v>0</v>
      </c>
      <c r="AH444" s="28">
        <v>0</v>
      </c>
      <c r="AI444" s="27">
        <v>0</v>
      </c>
      <c r="AJ444" s="27">
        <v>0</v>
      </c>
      <c r="AK444" s="27">
        <f>0.10869933942621/1.18</f>
        <v>9.2118084259500008E-2</v>
      </c>
      <c r="AL444" s="27">
        <v>0</v>
      </c>
      <c r="AM444" s="27">
        <f t="shared" si="39"/>
        <v>9.2118084259500008E-2</v>
      </c>
      <c r="AN444" s="27">
        <f t="shared" si="38"/>
        <v>0</v>
      </c>
      <c r="AO444" s="35" t="s">
        <v>1435</v>
      </c>
    </row>
    <row r="445" spans="1:41" ht="31.5" customHeight="1" x14ac:dyDescent="0.25">
      <c r="A445" s="59" t="s">
        <v>92</v>
      </c>
      <c r="B445" s="41" t="s">
        <v>829</v>
      </c>
      <c r="C445" s="29" t="s">
        <v>830</v>
      </c>
      <c r="D445" s="38" t="s">
        <v>1482</v>
      </c>
      <c r="E445" s="30">
        <v>2019</v>
      </c>
      <c r="F445" s="30">
        <v>2019</v>
      </c>
      <c r="G445" s="30" t="s">
        <v>1435</v>
      </c>
      <c r="H445" s="27">
        <v>6.4149083746169924E-3</v>
      </c>
      <c r="I445" s="27">
        <v>0</v>
      </c>
      <c r="J445" s="27">
        <v>0</v>
      </c>
      <c r="K445" s="27">
        <v>4.6059042129750004E-2</v>
      </c>
      <c r="L445" s="27">
        <v>0</v>
      </c>
      <c r="M445" s="27">
        <v>9.2118084259500011E-3</v>
      </c>
      <c r="N445" s="27">
        <v>3.6847233703800004E-2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6.4149083746169924E-3</v>
      </c>
      <c r="V445" s="27">
        <v>4.6059042129750004E-2</v>
      </c>
      <c r="W445" s="27">
        <v>6.4149083746169924E-3</v>
      </c>
      <c r="X445" s="27">
        <f t="shared" si="37"/>
        <v>4.6059042129750004E-2</v>
      </c>
      <c r="Y445" s="27">
        <v>0</v>
      </c>
      <c r="Z445" s="27">
        <f t="shared" si="36"/>
        <v>0</v>
      </c>
      <c r="AA445" s="27">
        <v>0</v>
      </c>
      <c r="AB445" s="28">
        <v>0</v>
      </c>
      <c r="AC445" s="27">
        <v>0</v>
      </c>
      <c r="AD445" s="28">
        <v>0</v>
      </c>
      <c r="AE445" s="27">
        <v>0</v>
      </c>
      <c r="AF445" s="28">
        <v>0</v>
      </c>
      <c r="AG445" s="27">
        <v>0</v>
      </c>
      <c r="AH445" s="28">
        <v>0</v>
      </c>
      <c r="AI445" s="27">
        <v>0</v>
      </c>
      <c r="AJ445" s="27">
        <v>0</v>
      </c>
      <c r="AK445" s="27">
        <f>0.054349669713105/1.18</f>
        <v>4.6059042129750004E-2</v>
      </c>
      <c r="AL445" s="27">
        <v>0</v>
      </c>
      <c r="AM445" s="27">
        <f t="shared" si="39"/>
        <v>4.6059042129750004E-2</v>
      </c>
      <c r="AN445" s="27">
        <f t="shared" si="38"/>
        <v>0</v>
      </c>
      <c r="AO445" s="35" t="s">
        <v>1435</v>
      </c>
    </row>
    <row r="446" spans="1:41" ht="31.5" customHeight="1" x14ac:dyDescent="0.25">
      <c r="A446" s="59" t="s">
        <v>92</v>
      </c>
      <c r="B446" s="41" t="s">
        <v>831</v>
      </c>
      <c r="C446" s="29" t="s">
        <v>832</v>
      </c>
      <c r="D446" s="38" t="s">
        <v>1482</v>
      </c>
      <c r="E446" s="30">
        <v>2019</v>
      </c>
      <c r="F446" s="30">
        <v>2019</v>
      </c>
      <c r="G446" s="30" t="s">
        <v>1435</v>
      </c>
      <c r="H446" s="27">
        <v>1.2829816749233985E-2</v>
      </c>
      <c r="I446" s="27">
        <v>0</v>
      </c>
      <c r="J446" s="27">
        <v>0</v>
      </c>
      <c r="K446" s="27">
        <v>9.2118084259500008E-2</v>
      </c>
      <c r="L446" s="27">
        <v>0</v>
      </c>
      <c r="M446" s="27">
        <v>1.8423616851900002E-2</v>
      </c>
      <c r="N446" s="27">
        <v>7.3694467407600009E-2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1.2829816749233985E-2</v>
      </c>
      <c r="V446" s="27">
        <v>9.2118084259500008E-2</v>
      </c>
      <c r="W446" s="27">
        <v>1.2829816749233985E-2</v>
      </c>
      <c r="X446" s="27">
        <f t="shared" si="37"/>
        <v>9.2118084259500008E-2</v>
      </c>
      <c r="Y446" s="27">
        <v>0</v>
      </c>
      <c r="Z446" s="27">
        <f t="shared" si="36"/>
        <v>0</v>
      </c>
      <c r="AA446" s="27">
        <v>0</v>
      </c>
      <c r="AB446" s="28">
        <v>0</v>
      </c>
      <c r="AC446" s="27">
        <v>0</v>
      </c>
      <c r="AD446" s="28">
        <v>0</v>
      </c>
      <c r="AE446" s="27">
        <v>0</v>
      </c>
      <c r="AF446" s="28">
        <v>0</v>
      </c>
      <c r="AG446" s="27">
        <v>0</v>
      </c>
      <c r="AH446" s="28">
        <v>0</v>
      </c>
      <c r="AI446" s="27">
        <v>0</v>
      </c>
      <c r="AJ446" s="27">
        <v>0</v>
      </c>
      <c r="AK446" s="27">
        <f>0.10869933942621/1.18</f>
        <v>9.2118084259500008E-2</v>
      </c>
      <c r="AL446" s="27">
        <v>0</v>
      </c>
      <c r="AM446" s="27">
        <f t="shared" si="39"/>
        <v>9.2118084259500008E-2</v>
      </c>
      <c r="AN446" s="27">
        <f t="shared" si="38"/>
        <v>0</v>
      </c>
      <c r="AO446" s="35" t="s">
        <v>1435</v>
      </c>
    </row>
    <row r="447" spans="1:41" ht="31.5" customHeight="1" x14ac:dyDescent="0.25">
      <c r="A447" s="59" t="s">
        <v>92</v>
      </c>
      <c r="B447" s="41" t="s">
        <v>833</v>
      </c>
      <c r="C447" s="29" t="s">
        <v>834</v>
      </c>
      <c r="D447" s="38" t="s">
        <v>1482</v>
      </c>
      <c r="E447" s="30">
        <v>2019</v>
      </c>
      <c r="F447" s="30">
        <v>2019</v>
      </c>
      <c r="G447" s="30" t="s">
        <v>1435</v>
      </c>
      <c r="H447" s="27">
        <v>1.2829816749233985E-2</v>
      </c>
      <c r="I447" s="27">
        <v>0</v>
      </c>
      <c r="J447" s="27">
        <v>0</v>
      </c>
      <c r="K447" s="27">
        <v>9.2118084259500008E-2</v>
      </c>
      <c r="L447" s="27">
        <v>0</v>
      </c>
      <c r="M447" s="27">
        <v>1.8423616851900002E-2</v>
      </c>
      <c r="N447" s="27">
        <v>7.3694467407600009E-2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1.2829816749233985E-2</v>
      </c>
      <c r="V447" s="27">
        <v>9.2118084259500008E-2</v>
      </c>
      <c r="W447" s="27">
        <v>1.2829816749233985E-2</v>
      </c>
      <c r="X447" s="27">
        <f t="shared" si="37"/>
        <v>9.2118084259500008E-2</v>
      </c>
      <c r="Y447" s="27">
        <v>0</v>
      </c>
      <c r="Z447" s="27">
        <f t="shared" si="36"/>
        <v>0</v>
      </c>
      <c r="AA447" s="27">
        <v>0</v>
      </c>
      <c r="AB447" s="28">
        <v>0</v>
      </c>
      <c r="AC447" s="27">
        <v>0</v>
      </c>
      <c r="AD447" s="28">
        <v>0</v>
      </c>
      <c r="AE447" s="27">
        <v>0</v>
      </c>
      <c r="AF447" s="28">
        <v>0</v>
      </c>
      <c r="AG447" s="27">
        <v>0</v>
      </c>
      <c r="AH447" s="28">
        <v>0</v>
      </c>
      <c r="AI447" s="27">
        <v>0</v>
      </c>
      <c r="AJ447" s="27">
        <v>0</v>
      </c>
      <c r="AK447" s="27">
        <f>0.10869933942621/1.18</f>
        <v>9.2118084259500008E-2</v>
      </c>
      <c r="AL447" s="27">
        <v>0</v>
      </c>
      <c r="AM447" s="27">
        <f t="shared" si="39"/>
        <v>9.2118084259500008E-2</v>
      </c>
      <c r="AN447" s="27">
        <f t="shared" si="38"/>
        <v>0</v>
      </c>
      <c r="AO447" s="35" t="s">
        <v>1435</v>
      </c>
    </row>
    <row r="448" spans="1:41" ht="31.5" customHeight="1" x14ac:dyDescent="0.25">
      <c r="A448" s="59" t="s">
        <v>92</v>
      </c>
      <c r="B448" s="41" t="s">
        <v>835</v>
      </c>
      <c r="C448" s="29" t="s">
        <v>836</v>
      </c>
      <c r="D448" s="38" t="s">
        <v>1482</v>
      </c>
      <c r="E448" s="30">
        <v>2019</v>
      </c>
      <c r="F448" s="30">
        <v>2019</v>
      </c>
      <c r="G448" s="30" t="s">
        <v>1435</v>
      </c>
      <c r="H448" s="27">
        <v>6.4149083746169924E-3</v>
      </c>
      <c r="I448" s="27">
        <v>0</v>
      </c>
      <c r="J448" s="27">
        <v>0</v>
      </c>
      <c r="K448" s="27">
        <v>4.6059042129750004E-2</v>
      </c>
      <c r="L448" s="27">
        <v>0</v>
      </c>
      <c r="M448" s="27">
        <v>9.2118084259500011E-3</v>
      </c>
      <c r="N448" s="27">
        <v>3.6847233703800004E-2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6.4149083746169924E-3</v>
      </c>
      <c r="V448" s="27">
        <v>4.6059042129750004E-2</v>
      </c>
      <c r="W448" s="27">
        <v>6.4149083746169924E-3</v>
      </c>
      <c r="X448" s="27">
        <f t="shared" si="37"/>
        <v>4.6059042129750004E-2</v>
      </c>
      <c r="Y448" s="27">
        <v>0</v>
      </c>
      <c r="Z448" s="27">
        <f t="shared" si="36"/>
        <v>0</v>
      </c>
      <c r="AA448" s="27">
        <v>0</v>
      </c>
      <c r="AB448" s="28">
        <v>0</v>
      </c>
      <c r="AC448" s="27">
        <v>0</v>
      </c>
      <c r="AD448" s="28">
        <v>0</v>
      </c>
      <c r="AE448" s="27">
        <v>0</v>
      </c>
      <c r="AF448" s="28">
        <v>0</v>
      </c>
      <c r="AG448" s="27">
        <v>0</v>
      </c>
      <c r="AH448" s="28">
        <v>0</v>
      </c>
      <c r="AI448" s="27">
        <v>0</v>
      </c>
      <c r="AJ448" s="27">
        <v>0</v>
      </c>
      <c r="AK448" s="27">
        <f>0.054349669713105/1.18</f>
        <v>4.6059042129750004E-2</v>
      </c>
      <c r="AL448" s="27">
        <v>0</v>
      </c>
      <c r="AM448" s="27">
        <f t="shared" si="39"/>
        <v>4.6059042129750004E-2</v>
      </c>
      <c r="AN448" s="27">
        <f t="shared" si="38"/>
        <v>0</v>
      </c>
      <c r="AO448" s="35" t="s">
        <v>1435</v>
      </c>
    </row>
    <row r="449" spans="1:41" ht="31.5" customHeight="1" x14ac:dyDescent="0.25">
      <c r="A449" s="59" t="s">
        <v>92</v>
      </c>
      <c r="B449" s="41" t="s">
        <v>837</v>
      </c>
      <c r="C449" s="29" t="s">
        <v>838</v>
      </c>
      <c r="D449" s="38" t="s">
        <v>1482</v>
      </c>
      <c r="E449" s="30">
        <v>2019</v>
      </c>
      <c r="F449" s="30">
        <v>2019</v>
      </c>
      <c r="G449" s="30" t="s">
        <v>1435</v>
      </c>
      <c r="H449" s="27">
        <v>6.4149083746169924E-3</v>
      </c>
      <c r="I449" s="27">
        <v>0</v>
      </c>
      <c r="J449" s="27">
        <v>0</v>
      </c>
      <c r="K449" s="27">
        <v>4.6059042129750004E-2</v>
      </c>
      <c r="L449" s="27">
        <v>0</v>
      </c>
      <c r="M449" s="27">
        <v>9.2118084259500011E-3</v>
      </c>
      <c r="N449" s="27">
        <v>3.6847233703800004E-2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6.4149083746169924E-3</v>
      </c>
      <c r="V449" s="27">
        <v>4.6059042129750004E-2</v>
      </c>
      <c r="W449" s="27">
        <v>6.4149083746169924E-3</v>
      </c>
      <c r="X449" s="27">
        <f t="shared" si="37"/>
        <v>4.6059042129750004E-2</v>
      </c>
      <c r="Y449" s="27">
        <v>0</v>
      </c>
      <c r="Z449" s="27">
        <f t="shared" si="36"/>
        <v>0</v>
      </c>
      <c r="AA449" s="27">
        <v>0</v>
      </c>
      <c r="AB449" s="28">
        <v>0</v>
      </c>
      <c r="AC449" s="27">
        <v>0</v>
      </c>
      <c r="AD449" s="28">
        <v>0</v>
      </c>
      <c r="AE449" s="27">
        <v>0</v>
      </c>
      <c r="AF449" s="28">
        <v>0</v>
      </c>
      <c r="AG449" s="27">
        <v>0</v>
      </c>
      <c r="AH449" s="28">
        <v>0</v>
      </c>
      <c r="AI449" s="27">
        <v>0</v>
      </c>
      <c r="AJ449" s="27">
        <v>0</v>
      </c>
      <c r="AK449" s="27">
        <f>0.054349669713105/1.18</f>
        <v>4.6059042129750004E-2</v>
      </c>
      <c r="AL449" s="27">
        <v>0</v>
      </c>
      <c r="AM449" s="27">
        <f t="shared" si="39"/>
        <v>4.6059042129750004E-2</v>
      </c>
      <c r="AN449" s="27">
        <f t="shared" si="38"/>
        <v>0</v>
      </c>
      <c r="AO449" s="35" t="s">
        <v>1435</v>
      </c>
    </row>
    <row r="450" spans="1:41" ht="31.5" customHeight="1" x14ac:dyDescent="0.25">
      <c r="A450" s="59" t="s">
        <v>92</v>
      </c>
      <c r="B450" s="41" t="s">
        <v>839</v>
      </c>
      <c r="C450" s="29" t="s">
        <v>840</v>
      </c>
      <c r="D450" s="38" t="s">
        <v>1482</v>
      </c>
      <c r="E450" s="30">
        <v>2019</v>
      </c>
      <c r="F450" s="30">
        <v>2019</v>
      </c>
      <c r="G450" s="30" t="s">
        <v>1435</v>
      </c>
      <c r="H450" s="27">
        <v>6.4149083746169924E-3</v>
      </c>
      <c r="I450" s="27">
        <v>0</v>
      </c>
      <c r="J450" s="27">
        <v>0</v>
      </c>
      <c r="K450" s="27">
        <v>4.6059042129750004E-2</v>
      </c>
      <c r="L450" s="27">
        <v>0</v>
      </c>
      <c r="M450" s="27">
        <v>9.2118084259500011E-3</v>
      </c>
      <c r="N450" s="27">
        <v>3.6847233703800004E-2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6.4149083746169924E-3</v>
      </c>
      <c r="V450" s="27">
        <v>4.6059042129750004E-2</v>
      </c>
      <c r="W450" s="27">
        <v>6.4149083746169924E-3</v>
      </c>
      <c r="X450" s="27">
        <f t="shared" si="37"/>
        <v>4.6059042129750004E-2</v>
      </c>
      <c r="Y450" s="27">
        <v>0</v>
      </c>
      <c r="Z450" s="27">
        <f t="shared" si="36"/>
        <v>0</v>
      </c>
      <c r="AA450" s="27">
        <v>0</v>
      </c>
      <c r="AB450" s="28">
        <v>0</v>
      </c>
      <c r="AC450" s="27">
        <v>0</v>
      </c>
      <c r="AD450" s="28">
        <v>0</v>
      </c>
      <c r="AE450" s="27">
        <v>0</v>
      </c>
      <c r="AF450" s="28">
        <v>0</v>
      </c>
      <c r="AG450" s="27">
        <v>0</v>
      </c>
      <c r="AH450" s="28">
        <v>0</v>
      </c>
      <c r="AI450" s="27">
        <v>0</v>
      </c>
      <c r="AJ450" s="27">
        <v>0</v>
      </c>
      <c r="AK450" s="27">
        <f>0.054349669713105/1.18</f>
        <v>4.6059042129750004E-2</v>
      </c>
      <c r="AL450" s="27">
        <v>0</v>
      </c>
      <c r="AM450" s="27">
        <f t="shared" si="39"/>
        <v>4.6059042129750004E-2</v>
      </c>
      <c r="AN450" s="27">
        <f t="shared" si="38"/>
        <v>0</v>
      </c>
      <c r="AO450" s="35" t="s">
        <v>1435</v>
      </c>
    </row>
    <row r="451" spans="1:41" ht="31.5" customHeight="1" x14ac:dyDescent="0.25">
      <c r="A451" s="59" t="s">
        <v>92</v>
      </c>
      <c r="B451" s="41" t="s">
        <v>841</v>
      </c>
      <c r="C451" s="29" t="s">
        <v>842</v>
      </c>
      <c r="D451" s="38" t="s">
        <v>1482</v>
      </c>
      <c r="E451" s="30">
        <v>2019</v>
      </c>
      <c r="F451" s="30">
        <v>2019</v>
      </c>
      <c r="G451" s="30" t="s">
        <v>1435</v>
      </c>
      <c r="H451" s="27">
        <v>1.2829816749233985E-2</v>
      </c>
      <c r="I451" s="27">
        <v>0</v>
      </c>
      <c r="J451" s="27">
        <v>0</v>
      </c>
      <c r="K451" s="27">
        <v>9.2118084259500008E-2</v>
      </c>
      <c r="L451" s="27">
        <v>0</v>
      </c>
      <c r="M451" s="27">
        <v>1.8423616851900002E-2</v>
      </c>
      <c r="N451" s="27">
        <v>7.3694467407600009E-2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1.2829816749233985E-2</v>
      </c>
      <c r="V451" s="27">
        <v>9.2118084259500008E-2</v>
      </c>
      <c r="W451" s="27">
        <v>1.2829816749233985E-2</v>
      </c>
      <c r="X451" s="27">
        <f t="shared" si="37"/>
        <v>9.2118084259500008E-2</v>
      </c>
      <c r="Y451" s="27">
        <v>0</v>
      </c>
      <c r="Z451" s="27">
        <f t="shared" si="36"/>
        <v>0</v>
      </c>
      <c r="AA451" s="27">
        <v>0</v>
      </c>
      <c r="AB451" s="28">
        <v>0</v>
      </c>
      <c r="AC451" s="27">
        <v>0</v>
      </c>
      <c r="AD451" s="28">
        <v>0</v>
      </c>
      <c r="AE451" s="27">
        <v>0</v>
      </c>
      <c r="AF451" s="28">
        <v>0</v>
      </c>
      <c r="AG451" s="27">
        <v>0</v>
      </c>
      <c r="AH451" s="28">
        <v>0</v>
      </c>
      <c r="AI451" s="27">
        <v>0</v>
      </c>
      <c r="AJ451" s="27">
        <v>0</v>
      </c>
      <c r="AK451" s="27">
        <f>0.10869933942621/1.18</f>
        <v>9.2118084259500008E-2</v>
      </c>
      <c r="AL451" s="27">
        <v>0</v>
      </c>
      <c r="AM451" s="27">
        <f t="shared" si="39"/>
        <v>9.2118084259500008E-2</v>
      </c>
      <c r="AN451" s="27">
        <f t="shared" si="38"/>
        <v>0</v>
      </c>
      <c r="AO451" s="35" t="s">
        <v>1435</v>
      </c>
    </row>
    <row r="452" spans="1:41" ht="31.5" customHeight="1" x14ac:dyDescent="0.25">
      <c r="A452" s="59" t="s">
        <v>92</v>
      </c>
      <c r="B452" s="41" t="s">
        <v>843</v>
      </c>
      <c r="C452" s="29" t="s">
        <v>844</v>
      </c>
      <c r="D452" s="38" t="s">
        <v>1482</v>
      </c>
      <c r="E452" s="30">
        <v>2019</v>
      </c>
      <c r="F452" s="30">
        <v>2019</v>
      </c>
      <c r="G452" s="30" t="s">
        <v>1435</v>
      </c>
      <c r="H452" s="27">
        <v>6.4149083746169924E-3</v>
      </c>
      <c r="I452" s="27">
        <v>0</v>
      </c>
      <c r="J452" s="27">
        <v>0</v>
      </c>
      <c r="K452" s="27">
        <v>4.6059042129750004E-2</v>
      </c>
      <c r="L452" s="27">
        <v>0</v>
      </c>
      <c r="M452" s="27">
        <v>9.2118084259500011E-3</v>
      </c>
      <c r="N452" s="27">
        <v>3.6847233703800004E-2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6.4149083746169924E-3</v>
      </c>
      <c r="V452" s="27">
        <v>4.6059042129750004E-2</v>
      </c>
      <c r="W452" s="27">
        <v>6.4149083746169924E-3</v>
      </c>
      <c r="X452" s="27">
        <f t="shared" si="37"/>
        <v>4.6059042129750004E-2</v>
      </c>
      <c r="Y452" s="27">
        <v>0</v>
      </c>
      <c r="Z452" s="27">
        <f t="shared" ref="Z452:Z515" si="40">AH452</f>
        <v>0</v>
      </c>
      <c r="AA452" s="27">
        <v>0</v>
      </c>
      <c r="AB452" s="28">
        <v>0</v>
      </c>
      <c r="AC452" s="27">
        <v>0</v>
      </c>
      <c r="AD452" s="28">
        <v>0</v>
      </c>
      <c r="AE452" s="27">
        <v>0</v>
      </c>
      <c r="AF452" s="28">
        <v>0</v>
      </c>
      <c r="AG452" s="27">
        <v>0</v>
      </c>
      <c r="AH452" s="28">
        <v>0</v>
      </c>
      <c r="AI452" s="27">
        <v>0</v>
      </c>
      <c r="AJ452" s="27">
        <v>0</v>
      </c>
      <c r="AK452" s="27">
        <f>0.054349669713105/1.18</f>
        <v>4.6059042129750004E-2</v>
      </c>
      <c r="AL452" s="27">
        <v>0</v>
      </c>
      <c r="AM452" s="27">
        <f t="shared" si="39"/>
        <v>4.6059042129750004E-2</v>
      </c>
      <c r="AN452" s="27">
        <f t="shared" si="38"/>
        <v>0</v>
      </c>
      <c r="AO452" s="35" t="s">
        <v>1435</v>
      </c>
    </row>
    <row r="453" spans="1:41" ht="31.5" customHeight="1" x14ac:dyDescent="0.25">
      <c r="A453" s="59" t="s">
        <v>92</v>
      </c>
      <c r="B453" s="41" t="s">
        <v>845</v>
      </c>
      <c r="C453" s="29" t="s">
        <v>846</v>
      </c>
      <c r="D453" s="38" t="s">
        <v>1482</v>
      </c>
      <c r="E453" s="30">
        <v>2019</v>
      </c>
      <c r="F453" s="30">
        <v>2019</v>
      </c>
      <c r="G453" s="30" t="s">
        <v>1435</v>
      </c>
      <c r="H453" s="27">
        <v>6.4149083746169924E-3</v>
      </c>
      <c r="I453" s="27">
        <v>0</v>
      </c>
      <c r="J453" s="27">
        <v>0</v>
      </c>
      <c r="K453" s="27">
        <v>4.6059042129750004E-2</v>
      </c>
      <c r="L453" s="27">
        <v>0</v>
      </c>
      <c r="M453" s="27">
        <v>9.2118084259500011E-3</v>
      </c>
      <c r="N453" s="27">
        <v>3.6847233703800004E-2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6.4149083746169924E-3</v>
      </c>
      <c r="V453" s="27">
        <v>4.6059042129750004E-2</v>
      </c>
      <c r="W453" s="27">
        <v>6.4149083746169924E-3</v>
      </c>
      <c r="X453" s="27">
        <f t="shared" si="37"/>
        <v>4.6059042129750004E-2</v>
      </c>
      <c r="Y453" s="27">
        <v>0</v>
      </c>
      <c r="Z453" s="27">
        <f t="shared" si="40"/>
        <v>0</v>
      </c>
      <c r="AA453" s="27">
        <v>0</v>
      </c>
      <c r="AB453" s="28">
        <v>0</v>
      </c>
      <c r="AC453" s="27">
        <v>0</v>
      </c>
      <c r="AD453" s="28">
        <v>0</v>
      </c>
      <c r="AE453" s="27">
        <v>0</v>
      </c>
      <c r="AF453" s="28">
        <v>0</v>
      </c>
      <c r="AG453" s="27">
        <v>0</v>
      </c>
      <c r="AH453" s="28">
        <v>0</v>
      </c>
      <c r="AI453" s="27">
        <v>0</v>
      </c>
      <c r="AJ453" s="27">
        <v>0</v>
      </c>
      <c r="AK453" s="27">
        <f>0.054349669713105/1.18</f>
        <v>4.6059042129750004E-2</v>
      </c>
      <c r="AL453" s="27">
        <v>0</v>
      </c>
      <c r="AM453" s="27">
        <f t="shared" si="39"/>
        <v>4.6059042129750004E-2</v>
      </c>
      <c r="AN453" s="27">
        <f t="shared" si="38"/>
        <v>0</v>
      </c>
      <c r="AO453" s="35" t="s">
        <v>1435</v>
      </c>
    </row>
    <row r="454" spans="1:41" ht="31.5" customHeight="1" x14ac:dyDescent="0.25">
      <c r="A454" s="59" t="s">
        <v>92</v>
      </c>
      <c r="B454" s="41" t="s">
        <v>646</v>
      </c>
      <c r="C454" s="29" t="s">
        <v>847</v>
      </c>
      <c r="D454" s="38" t="s">
        <v>1482</v>
      </c>
      <c r="E454" s="30">
        <v>2019</v>
      </c>
      <c r="F454" s="30">
        <v>2019</v>
      </c>
      <c r="G454" s="30" t="s">
        <v>1435</v>
      </c>
      <c r="H454" s="27">
        <v>6.4149083746169924E-3</v>
      </c>
      <c r="I454" s="27">
        <v>0</v>
      </c>
      <c r="J454" s="27">
        <v>0</v>
      </c>
      <c r="K454" s="27">
        <v>4.6059042129750004E-2</v>
      </c>
      <c r="L454" s="27">
        <v>0</v>
      </c>
      <c r="M454" s="27">
        <v>9.2118084259500011E-3</v>
      </c>
      <c r="N454" s="27">
        <v>3.6847233703800004E-2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6.4149083746169924E-3</v>
      </c>
      <c r="V454" s="27">
        <v>4.6059042129750004E-2</v>
      </c>
      <c r="W454" s="27">
        <v>6.4149083746169924E-3</v>
      </c>
      <c r="X454" s="27">
        <f t="shared" si="37"/>
        <v>4.6059042129750004E-2</v>
      </c>
      <c r="Y454" s="27">
        <v>0</v>
      </c>
      <c r="Z454" s="27">
        <f t="shared" si="40"/>
        <v>0</v>
      </c>
      <c r="AA454" s="27">
        <v>0</v>
      </c>
      <c r="AB454" s="28">
        <v>0</v>
      </c>
      <c r="AC454" s="27">
        <v>0</v>
      </c>
      <c r="AD454" s="28">
        <v>0</v>
      </c>
      <c r="AE454" s="27">
        <v>0</v>
      </c>
      <c r="AF454" s="28">
        <v>0</v>
      </c>
      <c r="AG454" s="27">
        <v>0</v>
      </c>
      <c r="AH454" s="28">
        <v>0</v>
      </c>
      <c r="AI454" s="27">
        <v>0</v>
      </c>
      <c r="AJ454" s="27">
        <v>0</v>
      </c>
      <c r="AK454" s="27">
        <f>0.054349669713105/1.18</f>
        <v>4.6059042129750004E-2</v>
      </c>
      <c r="AL454" s="27">
        <v>0</v>
      </c>
      <c r="AM454" s="27">
        <f t="shared" si="39"/>
        <v>4.6059042129750004E-2</v>
      </c>
      <c r="AN454" s="27">
        <f t="shared" si="38"/>
        <v>0</v>
      </c>
      <c r="AO454" s="35" t="s">
        <v>1435</v>
      </c>
    </row>
    <row r="455" spans="1:41" ht="31.5" customHeight="1" x14ac:dyDescent="0.25">
      <c r="A455" s="59" t="s">
        <v>92</v>
      </c>
      <c r="B455" s="41" t="s">
        <v>848</v>
      </c>
      <c r="C455" s="29" t="s">
        <v>849</v>
      </c>
      <c r="D455" s="38" t="s">
        <v>1482</v>
      </c>
      <c r="E455" s="30">
        <v>2019</v>
      </c>
      <c r="F455" s="30">
        <v>2019</v>
      </c>
      <c r="G455" s="30" t="s">
        <v>1435</v>
      </c>
      <c r="H455" s="27">
        <v>1.2829816749233985E-2</v>
      </c>
      <c r="I455" s="27">
        <v>0</v>
      </c>
      <c r="J455" s="27">
        <v>0</v>
      </c>
      <c r="K455" s="27">
        <v>9.2118084259500008E-2</v>
      </c>
      <c r="L455" s="27">
        <v>0</v>
      </c>
      <c r="M455" s="27">
        <v>1.8423616851900002E-2</v>
      </c>
      <c r="N455" s="27">
        <v>7.3694467407600009E-2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1.2829816749233985E-2</v>
      </c>
      <c r="V455" s="27">
        <v>9.2118084259500008E-2</v>
      </c>
      <c r="W455" s="27">
        <v>1.2829816749233985E-2</v>
      </c>
      <c r="X455" s="27">
        <f t="shared" si="37"/>
        <v>9.2118084259500008E-2</v>
      </c>
      <c r="Y455" s="27">
        <v>0</v>
      </c>
      <c r="Z455" s="27">
        <f t="shared" si="40"/>
        <v>0</v>
      </c>
      <c r="AA455" s="27">
        <v>0</v>
      </c>
      <c r="AB455" s="28">
        <v>0</v>
      </c>
      <c r="AC455" s="27">
        <v>0</v>
      </c>
      <c r="AD455" s="28">
        <v>0</v>
      </c>
      <c r="AE455" s="27">
        <v>0</v>
      </c>
      <c r="AF455" s="28">
        <v>0</v>
      </c>
      <c r="AG455" s="27">
        <v>0</v>
      </c>
      <c r="AH455" s="28">
        <v>0</v>
      </c>
      <c r="AI455" s="27">
        <v>0</v>
      </c>
      <c r="AJ455" s="27">
        <v>0</v>
      </c>
      <c r="AK455" s="27">
        <f>0.10869933942621/1.18</f>
        <v>9.2118084259500008E-2</v>
      </c>
      <c r="AL455" s="27">
        <v>0</v>
      </c>
      <c r="AM455" s="27">
        <f t="shared" si="39"/>
        <v>9.2118084259500008E-2</v>
      </c>
      <c r="AN455" s="27">
        <f t="shared" si="38"/>
        <v>0</v>
      </c>
      <c r="AO455" s="35" t="s">
        <v>1435</v>
      </c>
    </row>
    <row r="456" spans="1:41" ht="31.5" customHeight="1" x14ac:dyDescent="0.25">
      <c r="A456" s="59" t="s">
        <v>92</v>
      </c>
      <c r="B456" s="41" t="s">
        <v>850</v>
      </c>
      <c r="C456" s="29" t="s">
        <v>851</v>
      </c>
      <c r="D456" s="38" t="s">
        <v>1482</v>
      </c>
      <c r="E456" s="30">
        <v>2019</v>
      </c>
      <c r="F456" s="30">
        <v>2019</v>
      </c>
      <c r="G456" s="30" t="s">
        <v>1435</v>
      </c>
      <c r="H456" s="27">
        <v>1.2829816749233985E-2</v>
      </c>
      <c r="I456" s="27">
        <v>0</v>
      </c>
      <c r="J456" s="27">
        <v>0</v>
      </c>
      <c r="K456" s="27">
        <v>9.2118084259500008E-2</v>
      </c>
      <c r="L456" s="27">
        <v>0</v>
      </c>
      <c r="M456" s="27">
        <v>1.8423616851900002E-2</v>
      </c>
      <c r="N456" s="27">
        <v>7.3694467407600009E-2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1.2829816749233985E-2</v>
      </c>
      <c r="V456" s="27">
        <v>9.2118084259500008E-2</v>
      </c>
      <c r="W456" s="27">
        <v>1.2829816749233985E-2</v>
      </c>
      <c r="X456" s="27">
        <f t="shared" si="37"/>
        <v>9.2118084259500008E-2</v>
      </c>
      <c r="Y456" s="27">
        <v>0</v>
      </c>
      <c r="Z456" s="27">
        <f t="shared" si="40"/>
        <v>0</v>
      </c>
      <c r="AA456" s="27">
        <v>0</v>
      </c>
      <c r="AB456" s="28">
        <v>0</v>
      </c>
      <c r="AC456" s="27">
        <v>0</v>
      </c>
      <c r="AD456" s="28">
        <v>0</v>
      </c>
      <c r="AE456" s="27">
        <v>0</v>
      </c>
      <c r="AF456" s="28">
        <v>0</v>
      </c>
      <c r="AG456" s="27">
        <v>0</v>
      </c>
      <c r="AH456" s="28">
        <v>0</v>
      </c>
      <c r="AI456" s="27">
        <v>0</v>
      </c>
      <c r="AJ456" s="27">
        <v>0</v>
      </c>
      <c r="AK456" s="27">
        <f>0.10869933942621/1.18</f>
        <v>9.2118084259500008E-2</v>
      </c>
      <c r="AL456" s="27">
        <v>0</v>
      </c>
      <c r="AM456" s="27">
        <f t="shared" si="39"/>
        <v>9.2118084259500008E-2</v>
      </c>
      <c r="AN456" s="27">
        <f t="shared" si="38"/>
        <v>0</v>
      </c>
      <c r="AO456" s="35" t="s">
        <v>1435</v>
      </c>
    </row>
    <row r="457" spans="1:41" ht="31.5" customHeight="1" x14ac:dyDescent="0.25">
      <c r="A457" s="59" t="s">
        <v>92</v>
      </c>
      <c r="B457" s="41" t="s">
        <v>852</v>
      </c>
      <c r="C457" s="29" t="s">
        <v>853</v>
      </c>
      <c r="D457" s="38" t="s">
        <v>1482</v>
      </c>
      <c r="E457" s="30">
        <v>2019</v>
      </c>
      <c r="F457" s="30">
        <v>2019</v>
      </c>
      <c r="G457" s="30" t="s">
        <v>1435</v>
      </c>
      <c r="H457" s="27">
        <v>7.1330553498885799E-2</v>
      </c>
      <c r="I457" s="27">
        <v>0</v>
      </c>
      <c r="J457" s="27">
        <v>0</v>
      </c>
      <c r="K457" s="27">
        <v>0.51215337412200002</v>
      </c>
      <c r="L457" s="27">
        <v>0</v>
      </c>
      <c r="M457" s="27">
        <v>0.10243067482440001</v>
      </c>
      <c r="N457" s="27">
        <v>0.40972269929760002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7.1330553498885799E-2</v>
      </c>
      <c r="V457" s="27">
        <v>0.51215337412200002</v>
      </c>
      <c r="W457" s="27">
        <v>7.1330553498885799E-2</v>
      </c>
      <c r="X457" s="27">
        <f t="shared" ref="X457:X520" si="41">AG457+AI457+AK457</f>
        <v>0.51215337412200002</v>
      </c>
      <c r="Y457" s="27">
        <v>0</v>
      </c>
      <c r="Z457" s="27">
        <f t="shared" si="40"/>
        <v>0</v>
      </c>
      <c r="AA457" s="27">
        <v>0</v>
      </c>
      <c r="AB457" s="28">
        <v>0</v>
      </c>
      <c r="AC457" s="27">
        <v>0</v>
      </c>
      <c r="AD457" s="28">
        <v>0</v>
      </c>
      <c r="AE457" s="27">
        <v>0</v>
      </c>
      <c r="AF457" s="28">
        <v>0</v>
      </c>
      <c r="AG457" s="27">
        <v>0</v>
      </c>
      <c r="AH457" s="28">
        <v>0</v>
      </c>
      <c r="AI457" s="27">
        <v>0</v>
      </c>
      <c r="AJ457" s="27">
        <v>0</v>
      </c>
      <c r="AK457" s="27">
        <f>0.60434098146396/1.18</f>
        <v>0.51215337412200002</v>
      </c>
      <c r="AL457" s="27">
        <v>0</v>
      </c>
      <c r="AM457" s="27">
        <f t="shared" si="39"/>
        <v>0.51215337412200002</v>
      </c>
      <c r="AN457" s="27">
        <f t="shared" si="38"/>
        <v>0</v>
      </c>
      <c r="AO457" s="35" t="s">
        <v>1435</v>
      </c>
    </row>
    <row r="458" spans="1:41" ht="31.5" customHeight="1" x14ac:dyDescent="0.25">
      <c r="A458" s="59" t="s">
        <v>92</v>
      </c>
      <c r="B458" s="41" t="s">
        <v>854</v>
      </c>
      <c r="C458" s="29" t="s">
        <v>855</v>
      </c>
      <c r="D458" s="38" t="s">
        <v>1482</v>
      </c>
      <c r="E458" s="30">
        <v>2019</v>
      </c>
      <c r="F458" s="30">
        <v>2019</v>
      </c>
      <c r="G458" s="30" t="s">
        <v>1435</v>
      </c>
      <c r="H458" s="27">
        <v>9.682880565459611E-3</v>
      </c>
      <c r="I458" s="27">
        <v>0</v>
      </c>
      <c r="J458" s="27">
        <v>0</v>
      </c>
      <c r="K458" s="27">
        <v>6.952308246000001E-2</v>
      </c>
      <c r="L458" s="27">
        <v>0</v>
      </c>
      <c r="M458" s="27">
        <v>2.0424860383728816E-2</v>
      </c>
      <c r="N458" s="27">
        <v>4.9098222076271188E-2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</v>
      </c>
      <c r="U458" s="27">
        <v>9.682880565459611E-3</v>
      </c>
      <c r="V458" s="27">
        <v>6.952308246000001E-2</v>
      </c>
      <c r="W458" s="27">
        <v>9.682880565459611E-3</v>
      </c>
      <c r="X458" s="27">
        <f t="shared" si="41"/>
        <v>6.952308246000001E-2</v>
      </c>
      <c r="Y458" s="27">
        <v>0</v>
      </c>
      <c r="Z458" s="27">
        <f t="shared" si="40"/>
        <v>0</v>
      </c>
      <c r="AA458" s="27">
        <v>0</v>
      </c>
      <c r="AB458" s="28">
        <v>0</v>
      </c>
      <c r="AC458" s="27">
        <v>0</v>
      </c>
      <c r="AD458" s="28">
        <v>0</v>
      </c>
      <c r="AE458" s="27">
        <v>0</v>
      </c>
      <c r="AF458" s="28">
        <v>0</v>
      </c>
      <c r="AG458" s="27">
        <v>0</v>
      </c>
      <c r="AH458" s="28">
        <v>0</v>
      </c>
      <c r="AI458" s="27">
        <v>0</v>
      </c>
      <c r="AJ458" s="27">
        <v>0</v>
      </c>
      <c r="AK458" s="27">
        <f>0.0820372373028/1.18</f>
        <v>6.952308246000001E-2</v>
      </c>
      <c r="AL458" s="27">
        <v>0</v>
      </c>
      <c r="AM458" s="27">
        <f t="shared" si="39"/>
        <v>6.952308246000001E-2</v>
      </c>
      <c r="AN458" s="27">
        <f t="shared" si="38"/>
        <v>0</v>
      </c>
      <c r="AO458" s="35" t="s">
        <v>1435</v>
      </c>
    </row>
    <row r="459" spans="1:41" ht="31.5" customHeight="1" x14ac:dyDescent="0.25">
      <c r="A459" s="59" t="s">
        <v>92</v>
      </c>
      <c r="B459" s="41" t="s">
        <v>856</v>
      </c>
      <c r="C459" s="29" t="s">
        <v>857</v>
      </c>
      <c r="D459" s="38" t="s">
        <v>1482</v>
      </c>
      <c r="E459" s="30">
        <v>2019</v>
      </c>
      <c r="F459" s="30">
        <v>2019</v>
      </c>
      <c r="G459" s="30" t="s">
        <v>1435</v>
      </c>
      <c r="H459" s="27">
        <v>9.682880565459611E-3</v>
      </c>
      <c r="I459" s="27">
        <v>0</v>
      </c>
      <c r="J459" s="27">
        <v>0</v>
      </c>
      <c r="K459" s="27">
        <v>6.952308246000001E-2</v>
      </c>
      <c r="L459" s="27">
        <v>0</v>
      </c>
      <c r="M459" s="27">
        <v>2.0424860383728816E-2</v>
      </c>
      <c r="N459" s="27">
        <v>4.9098222076271188E-2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9.682880565459611E-3</v>
      </c>
      <c r="V459" s="27">
        <v>6.952308246000001E-2</v>
      </c>
      <c r="W459" s="27">
        <v>9.682880565459611E-3</v>
      </c>
      <c r="X459" s="27">
        <f t="shared" si="41"/>
        <v>6.952308246000001E-2</v>
      </c>
      <c r="Y459" s="27">
        <v>0</v>
      </c>
      <c r="Z459" s="27">
        <f t="shared" si="40"/>
        <v>0</v>
      </c>
      <c r="AA459" s="27">
        <v>0</v>
      </c>
      <c r="AB459" s="28">
        <v>0</v>
      </c>
      <c r="AC459" s="27">
        <v>0</v>
      </c>
      <c r="AD459" s="28">
        <v>0</v>
      </c>
      <c r="AE459" s="27">
        <v>0</v>
      </c>
      <c r="AF459" s="28">
        <v>0</v>
      </c>
      <c r="AG459" s="27">
        <v>0</v>
      </c>
      <c r="AH459" s="28">
        <v>0</v>
      </c>
      <c r="AI459" s="27">
        <v>0</v>
      </c>
      <c r="AJ459" s="27">
        <v>0</v>
      </c>
      <c r="AK459" s="27">
        <f>0.0820372373028/1.18</f>
        <v>6.952308246000001E-2</v>
      </c>
      <c r="AL459" s="27">
        <v>0</v>
      </c>
      <c r="AM459" s="27">
        <f t="shared" si="39"/>
        <v>6.952308246000001E-2</v>
      </c>
      <c r="AN459" s="27">
        <f t="shared" si="38"/>
        <v>0</v>
      </c>
      <c r="AO459" s="35" t="s">
        <v>1435</v>
      </c>
    </row>
    <row r="460" spans="1:41" ht="31.5" customHeight="1" x14ac:dyDescent="0.25">
      <c r="A460" s="9" t="s">
        <v>94</v>
      </c>
      <c r="B460" s="10" t="s">
        <v>95</v>
      </c>
      <c r="C460" s="23" t="s">
        <v>48</v>
      </c>
      <c r="D460" s="36" t="s">
        <v>1435</v>
      </c>
      <c r="E460" s="24" t="s">
        <v>1435</v>
      </c>
      <c r="F460" s="24" t="s">
        <v>1435</v>
      </c>
      <c r="G460" s="24" t="s">
        <v>1435</v>
      </c>
      <c r="H460" s="25">
        <f>H461</f>
        <v>40.816171842219326</v>
      </c>
      <c r="I460" s="25">
        <f>I461</f>
        <v>17.580011548614621</v>
      </c>
      <c r="J460" s="25">
        <v>0</v>
      </c>
      <c r="K460" s="25">
        <v>293.06011382713461</v>
      </c>
      <c r="L460" s="25">
        <v>13.290843192869367</v>
      </c>
      <c r="M460" s="25">
        <v>198.30301009949608</v>
      </c>
      <c r="N460" s="25">
        <v>81.466268534769199</v>
      </c>
      <c r="O460" s="25">
        <v>0</v>
      </c>
      <c r="P460" s="25">
        <v>126.22448291905295</v>
      </c>
      <c r="Q460" s="25">
        <v>5.4307509199999995</v>
      </c>
      <c r="R460" s="25">
        <v>83.332361038222444</v>
      </c>
      <c r="S460" s="25">
        <v>37.460158360000001</v>
      </c>
      <c r="T460" s="25">
        <v>0</v>
      </c>
      <c r="U460" s="25">
        <f>U461</f>
        <v>40.816171842219326</v>
      </c>
      <c r="V460" s="25">
        <v>293.06011382713461</v>
      </c>
      <c r="W460" s="25">
        <f>W461</f>
        <v>23.437656460851287</v>
      </c>
      <c r="X460" s="25">
        <f t="shared" si="41"/>
        <v>168.28237338891219</v>
      </c>
      <c r="Y460" s="25">
        <f t="shared" ref="Y460:AI460" si="42">Y461</f>
        <v>4.164255632064406</v>
      </c>
      <c r="Z460" s="25">
        <f t="shared" si="40"/>
        <v>29.89935543822244</v>
      </c>
      <c r="AA460" s="25">
        <f t="shared" si="42"/>
        <v>0</v>
      </c>
      <c r="AB460" s="26">
        <v>0</v>
      </c>
      <c r="AC460" s="25">
        <f t="shared" si="42"/>
        <v>59.814628000000013</v>
      </c>
      <c r="AD460" s="26">
        <f t="shared" si="42"/>
        <v>53.635303959999987</v>
      </c>
      <c r="AE460" s="25">
        <f t="shared" si="42"/>
        <v>35.063756999999995</v>
      </c>
      <c r="AF460" s="26">
        <f t="shared" si="42"/>
        <v>42.689823520830508</v>
      </c>
      <c r="AG460" s="25">
        <f t="shared" si="42"/>
        <v>30.729352989052565</v>
      </c>
      <c r="AH460" s="26">
        <f t="shared" si="42"/>
        <v>29.89935543822244</v>
      </c>
      <c r="AI460" s="25">
        <f t="shared" si="42"/>
        <v>84.05023577228674</v>
      </c>
      <c r="AJ460" s="25">
        <v>0</v>
      </c>
      <c r="AK460" s="25">
        <f>AK461</f>
        <v>53.502784627572879</v>
      </c>
      <c r="AL460" s="25">
        <v>0</v>
      </c>
      <c r="AM460" s="25">
        <f t="shared" si="39"/>
        <v>264.60750086974269</v>
      </c>
      <c r="AN460" s="25">
        <f t="shared" si="38"/>
        <v>126.22448291905295</v>
      </c>
      <c r="AO460" s="26" t="s">
        <v>1435</v>
      </c>
    </row>
    <row r="461" spans="1:41" ht="31.5" customHeight="1" x14ac:dyDescent="0.25">
      <c r="A461" s="9" t="s">
        <v>96</v>
      </c>
      <c r="B461" s="10" t="s">
        <v>97</v>
      </c>
      <c r="C461" s="23" t="s">
        <v>48</v>
      </c>
      <c r="D461" s="36" t="s">
        <v>1435</v>
      </c>
      <c r="E461" s="24" t="s">
        <v>1435</v>
      </c>
      <c r="F461" s="24" t="s">
        <v>1435</v>
      </c>
      <c r="G461" s="24" t="s">
        <v>1435</v>
      </c>
      <c r="H461" s="25">
        <f>SUM(H462:H629)</f>
        <v>40.816171842219326</v>
      </c>
      <c r="I461" s="25">
        <f>SUM(I462:I629)</f>
        <v>17.580011548614621</v>
      </c>
      <c r="J461" s="25">
        <v>0</v>
      </c>
      <c r="K461" s="25">
        <v>293.06011382713461</v>
      </c>
      <c r="L461" s="25">
        <v>13.290843192869367</v>
      </c>
      <c r="M461" s="25">
        <v>198.30301009949608</v>
      </c>
      <c r="N461" s="25">
        <v>81.466268534769199</v>
      </c>
      <c r="O461" s="25">
        <v>0</v>
      </c>
      <c r="P461" s="25">
        <v>126.22448291905295</v>
      </c>
      <c r="Q461" s="25">
        <v>5.4307509199999995</v>
      </c>
      <c r="R461" s="25">
        <v>83.332361038222444</v>
      </c>
      <c r="S461" s="25">
        <v>37.460158360000001</v>
      </c>
      <c r="T461" s="25">
        <v>0</v>
      </c>
      <c r="U461" s="25">
        <f>SUM(U462:U629)</f>
        <v>40.816171842219326</v>
      </c>
      <c r="V461" s="25">
        <v>293.06011382713461</v>
      </c>
      <c r="W461" s="25">
        <f>SUM(W462:W629)</f>
        <v>23.437656460851287</v>
      </c>
      <c r="X461" s="25">
        <f t="shared" si="41"/>
        <v>168.28237338891219</v>
      </c>
      <c r="Y461" s="25">
        <f>SUM(Y462:Y629)</f>
        <v>4.164255632064406</v>
      </c>
      <c r="Z461" s="25">
        <f t="shared" si="40"/>
        <v>29.89935543822244</v>
      </c>
      <c r="AA461" s="25">
        <f>SUM(AA462:AA552)</f>
        <v>0</v>
      </c>
      <c r="AB461" s="26">
        <v>0</v>
      </c>
      <c r="AC461" s="25">
        <f>SUM(AC462:AC552)</f>
        <v>59.814628000000013</v>
      </c>
      <c r="AD461" s="26">
        <f>SUM(AD462:AD552)</f>
        <v>53.635303959999987</v>
      </c>
      <c r="AE461" s="25">
        <f>SUM(AE462:AE552)</f>
        <v>35.063756999999995</v>
      </c>
      <c r="AF461" s="26">
        <f>SUM(AF462:AF552)</f>
        <v>42.689823520830508</v>
      </c>
      <c r="AG461" s="25">
        <f>SUM(AG462:AG629)</f>
        <v>30.729352989052565</v>
      </c>
      <c r="AH461" s="26">
        <f>SUM(AH462:AH579)</f>
        <v>29.89935543822244</v>
      </c>
      <c r="AI461" s="25">
        <f>SUM(AI462:AI604)</f>
        <v>84.05023577228674</v>
      </c>
      <c r="AJ461" s="25">
        <v>0</v>
      </c>
      <c r="AK461" s="25">
        <f>SUM(AK462:AK629)</f>
        <v>53.502784627572879</v>
      </c>
      <c r="AL461" s="25">
        <v>0</v>
      </c>
      <c r="AM461" s="25">
        <f t="shared" si="39"/>
        <v>264.60750086974269</v>
      </c>
      <c r="AN461" s="25">
        <f t="shared" si="38"/>
        <v>126.22448291905295</v>
      </c>
      <c r="AO461" s="26" t="s">
        <v>1435</v>
      </c>
    </row>
    <row r="462" spans="1:41" ht="31.5" customHeight="1" x14ac:dyDescent="0.25">
      <c r="A462" s="8" t="s">
        <v>96</v>
      </c>
      <c r="B462" s="39" t="s">
        <v>858</v>
      </c>
      <c r="C462" s="29" t="s">
        <v>859</v>
      </c>
      <c r="D462" s="38" t="s">
        <v>1481</v>
      </c>
      <c r="E462" s="30">
        <v>2015</v>
      </c>
      <c r="F462" s="30">
        <v>2015</v>
      </c>
      <c r="G462" s="30" t="s">
        <v>1435</v>
      </c>
      <c r="H462" s="27">
        <v>0.92418105849582177</v>
      </c>
      <c r="I462" s="27">
        <v>0.88252159610027858</v>
      </c>
      <c r="J462" s="27">
        <v>0</v>
      </c>
      <c r="K462" s="27">
        <v>6.6356200000000003</v>
      </c>
      <c r="L462" s="27">
        <v>0.182727</v>
      </c>
      <c r="M462" s="27">
        <v>4.5884830000000001</v>
      </c>
      <c r="N462" s="27">
        <v>1.8644100000000001</v>
      </c>
      <c r="O462" s="27">
        <v>0</v>
      </c>
      <c r="P462" s="27">
        <v>6.3365050600000004</v>
      </c>
      <c r="Q462" s="27">
        <v>0.18273</v>
      </c>
      <c r="R462" s="27">
        <v>4.3093098200000002</v>
      </c>
      <c r="S462" s="27">
        <v>1.8444652399999999</v>
      </c>
      <c r="T462" s="27">
        <v>0</v>
      </c>
      <c r="U462" s="27">
        <v>0.92418105849582177</v>
      </c>
      <c r="V462" s="27">
        <v>6.6356200000000003</v>
      </c>
      <c r="W462" s="27">
        <v>0</v>
      </c>
      <c r="X462" s="27">
        <f t="shared" si="41"/>
        <v>0</v>
      </c>
      <c r="Y462" s="27">
        <v>0</v>
      </c>
      <c r="Z462" s="27">
        <f t="shared" si="40"/>
        <v>0</v>
      </c>
      <c r="AA462" s="27">
        <v>0</v>
      </c>
      <c r="AB462" s="28">
        <v>0</v>
      </c>
      <c r="AC462" s="27">
        <f>7.8300316/1.18</f>
        <v>6.6356200000000003</v>
      </c>
      <c r="AD462" s="28">
        <f>7.4770759708/1.18</f>
        <v>6.3365050600000004</v>
      </c>
      <c r="AE462" s="27">
        <v>0</v>
      </c>
      <c r="AF462" s="28">
        <v>0</v>
      </c>
      <c r="AG462" s="27">
        <v>0</v>
      </c>
      <c r="AH462" s="28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f t="shared" si="39"/>
        <v>6.3365050600000004</v>
      </c>
      <c r="AN462" s="27">
        <f t="shared" si="38"/>
        <v>6.3365050600000004</v>
      </c>
      <c r="AO462" s="35" t="s">
        <v>1486</v>
      </c>
    </row>
    <row r="463" spans="1:41" ht="31.5" customHeight="1" x14ac:dyDescent="0.25">
      <c r="A463" s="8" t="s">
        <v>96</v>
      </c>
      <c r="B463" s="39" t="s">
        <v>860</v>
      </c>
      <c r="C463" s="29" t="s">
        <v>861</v>
      </c>
      <c r="D463" s="38" t="s">
        <v>1481</v>
      </c>
      <c r="E463" s="30">
        <v>2015</v>
      </c>
      <c r="F463" s="30">
        <v>2015</v>
      </c>
      <c r="G463" s="30" t="s">
        <v>1435</v>
      </c>
      <c r="H463" s="27">
        <v>0.552624373259053</v>
      </c>
      <c r="I463" s="27">
        <v>0.72024933844011152</v>
      </c>
      <c r="J463" s="27">
        <v>0</v>
      </c>
      <c r="K463" s="27">
        <v>3.9678430000000002</v>
      </c>
      <c r="L463" s="27">
        <v>9.7155000000000005E-2</v>
      </c>
      <c r="M463" s="27">
        <v>2.0584180000000001</v>
      </c>
      <c r="N463" s="27">
        <v>1.81227</v>
      </c>
      <c r="O463" s="27">
        <v>0</v>
      </c>
      <c r="P463" s="27">
        <v>5.1713902500000009</v>
      </c>
      <c r="Q463" s="27">
        <v>9.7156439999999997E-2</v>
      </c>
      <c r="R463" s="27">
        <v>2.8069730599999998</v>
      </c>
      <c r="S463" s="27">
        <v>2.2672607499999997</v>
      </c>
      <c r="T463" s="27">
        <v>0</v>
      </c>
      <c r="U463" s="27">
        <v>0.552624373259053</v>
      </c>
      <c r="V463" s="27">
        <v>3.9678430000000002</v>
      </c>
      <c r="W463" s="27">
        <v>0</v>
      </c>
      <c r="X463" s="27">
        <f t="shared" si="41"/>
        <v>0</v>
      </c>
      <c r="Y463" s="27">
        <v>0</v>
      </c>
      <c r="Z463" s="27">
        <f t="shared" si="40"/>
        <v>0</v>
      </c>
      <c r="AA463" s="27">
        <v>0</v>
      </c>
      <c r="AB463" s="28">
        <v>0</v>
      </c>
      <c r="AC463" s="27">
        <f>4.68205474/1.18</f>
        <v>3.9678430000000002</v>
      </c>
      <c r="AD463" s="28">
        <f>6.102240495/1.18</f>
        <v>5.1713902500000009</v>
      </c>
      <c r="AE463" s="27">
        <v>0</v>
      </c>
      <c r="AF463" s="28">
        <v>0</v>
      </c>
      <c r="AG463" s="27">
        <v>0</v>
      </c>
      <c r="AH463" s="28">
        <v>0</v>
      </c>
      <c r="AI463" s="27">
        <v>0</v>
      </c>
      <c r="AJ463" s="27">
        <v>0</v>
      </c>
      <c r="AK463" s="27">
        <v>0</v>
      </c>
      <c r="AL463" s="27">
        <v>0</v>
      </c>
      <c r="AM463" s="27">
        <f t="shared" si="39"/>
        <v>5.1713902500000009</v>
      </c>
      <c r="AN463" s="27">
        <f t="shared" si="38"/>
        <v>5.1713902500000009</v>
      </c>
      <c r="AO463" s="35" t="s">
        <v>1486</v>
      </c>
    </row>
    <row r="464" spans="1:41" ht="31.5" customHeight="1" x14ac:dyDescent="0.25">
      <c r="A464" s="8" t="s">
        <v>96</v>
      </c>
      <c r="B464" s="39" t="s">
        <v>862</v>
      </c>
      <c r="C464" s="29" t="s">
        <v>863</v>
      </c>
      <c r="D464" s="38" t="s">
        <v>1481</v>
      </c>
      <c r="E464" s="30">
        <v>2015</v>
      </c>
      <c r="F464" s="30">
        <v>2015</v>
      </c>
      <c r="G464" s="30" t="s">
        <v>1435</v>
      </c>
      <c r="H464" s="27">
        <v>0.4960610027855154</v>
      </c>
      <c r="I464" s="27">
        <v>0.491208380362117</v>
      </c>
      <c r="J464" s="27">
        <v>0</v>
      </c>
      <c r="K464" s="27">
        <v>3.5617180000000004</v>
      </c>
      <c r="L464" s="27">
        <v>0.12618499999999999</v>
      </c>
      <c r="M464" s="27">
        <v>2.2602829999999998</v>
      </c>
      <c r="N464" s="27">
        <v>1.1752499999999999</v>
      </c>
      <c r="O464" s="27">
        <v>0</v>
      </c>
      <c r="P464" s="27">
        <v>3.5268761710000001</v>
      </c>
      <c r="Q464" s="27">
        <v>8.3239830000000001E-2</v>
      </c>
      <c r="R464" s="27">
        <v>3.3412695299999999</v>
      </c>
      <c r="S464" s="27">
        <v>0.10174742000000001</v>
      </c>
      <c r="T464" s="27">
        <v>0</v>
      </c>
      <c r="U464" s="27">
        <v>0.4960610027855154</v>
      </c>
      <c r="V464" s="27">
        <v>3.5617180000000004</v>
      </c>
      <c r="W464" s="27">
        <v>0</v>
      </c>
      <c r="X464" s="27">
        <f t="shared" si="41"/>
        <v>0</v>
      </c>
      <c r="Y464" s="27">
        <v>0</v>
      </c>
      <c r="Z464" s="27">
        <f t="shared" si="40"/>
        <v>0</v>
      </c>
      <c r="AA464" s="27">
        <v>0</v>
      </c>
      <c r="AB464" s="28">
        <v>0</v>
      </c>
      <c r="AC464" s="27">
        <f>4.20282724/1.18</f>
        <v>3.5617180000000004</v>
      </c>
      <c r="AD464" s="28">
        <f>0.0409728686/1.18</f>
        <v>3.472277E-2</v>
      </c>
      <c r="AE464" s="27">
        <v>0</v>
      </c>
      <c r="AF464" s="28">
        <v>3.4921534009999999</v>
      </c>
      <c r="AG464" s="27">
        <v>0</v>
      </c>
      <c r="AH464" s="28">
        <v>0</v>
      </c>
      <c r="AI464" s="27">
        <v>0</v>
      </c>
      <c r="AJ464" s="27">
        <v>0</v>
      </c>
      <c r="AK464" s="27">
        <v>0</v>
      </c>
      <c r="AL464" s="27">
        <v>0</v>
      </c>
      <c r="AM464" s="27">
        <f t="shared" si="39"/>
        <v>3.5268761710000001</v>
      </c>
      <c r="AN464" s="27">
        <f t="shared" si="38"/>
        <v>3.5268761710000001</v>
      </c>
      <c r="AO464" s="35" t="s">
        <v>1486</v>
      </c>
    </row>
    <row r="465" spans="1:41" ht="31.5" customHeight="1" x14ac:dyDescent="0.25">
      <c r="A465" s="8" t="s">
        <v>96</v>
      </c>
      <c r="B465" s="39" t="s">
        <v>864</v>
      </c>
      <c r="C465" s="29" t="s">
        <v>865</v>
      </c>
      <c r="D465" s="38" t="s">
        <v>1481</v>
      </c>
      <c r="E465" s="30">
        <v>2015</v>
      </c>
      <c r="F465" s="30">
        <v>2015</v>
      </c>
      <c r="G465" s="30" t="s">
        <v>1435</v>
      </c>
      <c r="H465" s="27">
        <v>0.82198091922005578</v>
      </c>
      <c r="I465" s="27">
        <v>0.76714585654596112</v>
      </c>
      <c r="J465" s="27">
        <v>0</v>
      </c>
      <c r="K465" s="27">
        <v>5.9018230000000003</v>
      </c>
      <c r="L465" s="27">
        <v>0.14039299999999999</v>
      </c>
      <c r="M465" s="27">
        <v>4.1936299999999997</v>
      </c>
      <c r="N465" s="27">
        <v>1.5677999999999999</v>
      </c>
      <c r="O465" s="27">
        <v>0</v>
      </c>
      <c r="P465" s="27">
        <v>5.508107250000001</v>
      </c>
      <c r="Q465" s="27">
        <v>0.16566</v>
      </c>
      <c r="R465" s="27">
        <v>3.8902040900000001</v>
      </c>
      <c r="S465" s="27">
        <v>1.4522431600000001</v>
      </c>
      <c r="T465" s="27">
        <v>0</v>
      </c>
      <c r="U465" s="27">
        <v>0.82198091922005578</v>
      </c>
      <c r="V465" s="27">
        <v>5.9018230000000003</v>
      </c>
      <c r="W465" s="27">
        <v>0</v>
      </c>
      <c r="X465" s="27">
        <f t="shared" si="41"/>
        <v>0</v>
      </c>
      <c r="Y465" s="27">
        <v>0</v>
      </c>
      <c r="Z465" s="27">
        <f t="shared" si="40"/>
        <v>0</v>
      </c>
      <c r="AA465" s="27">
        <v>0</v>
      </c>
      <c r="AB465" s="28">
        <v>0</v>
      </c>
      <c r="AC465" s="27">
        <f>6.96415114/1.18</f>
        <v>5.9018230000000003</v>
      </c>
      <c r="AD465" s="28">
        <f>6.499566555/1.18</f>
        <v>5.508107250000001</v>
      </c>
      <c r="AE465" s="27">
        <v>0</v>
      </c>
      <c r="AF465" s="28">
        <v>0</v>
      </c>
      <c r="AG465" s="27">
        <v>0</v>
      </c>
      <c r="AH465" s="28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f t="shared" si="39"/>
        <v>5.508107250000001</v>
      </c>
      <c r="AN465" s="27">
        <f t="shared" si="38"/>
        <v>5.508107250000001</v>
      </c>
      <c r="AO465" s="35" t="s">
        <v>1489</v>
      </c>
    </row>
    <row r="466" spans="1:41" ht="31.5" customHeight="1" x14ac:dyDescent="0.25">
      <c r="A466" s="8" t="s">
        <v>96</v>
      </c>
      <c r="B466" s="39" t="s">
        <v>870</v>
      </c>
      <c r="C466" s="29" t="s">
        <v>871</v>
      </c>
      <c r="D466" s="38" t="s">
        <v>1481</v>
      </c>
      <c r="E466" s="30">
        <v>2015</v>
      </c>
      <c r="F466" s="30">
        <v>2015</v>
      </c>
      <c r="G466" s="30" t="s">
        <v>1435</v>
      </c>
      <c r="H466" s="27">
        <v>9.648398328690809E-2</v>
      </c>
      <c r="I466" s="27">
        <v>9.6484764623955457E-2</v>
      </c>
      <c r="J466" s="27">
        <v>0</v>
      </c>
      <c r="K466" s="27">
        <v>0.69275500000000001</v>
      </c>
      <c r="L466" s="27">
        <v>2.2731999999999999E-2</v>
      </c>
      <c r="M466" s="27">
        <v>0.59783000000000008</v>
      </c>
      <c r="N466" s="27">
        <v>7.2192999999999993E-2</v>
      </c>
      <c r="O466" s="27">
        <v>0</v>
      </c>
      <c r="P466" s="27">
        <v>0.69276061000000011</v>
      </c>
      <c r="Q466" s="27">
        <v>8.6142100000000006E-3</v>
      </c>
      <c r="R466" s="27">
        <v>0.61195259999999996</v>
      </c>
      <c r="S466" s="27">
        <v>7.2193800000000002E-2</v>
      </c>
      <c r="T466" s="27">
        <v>0</v>
      </c>
      <c r="U466" s="27">
        <v>9.648398328690809E-2</v>
      </c>
      <c r="V466" s="27">
        <v>0.69275500000000001</v>
      </c>
      <c r="W466" s="27">
        <v>0</v>
      </c>
      <c r="X466" s="27">
        <f t="shared" si="41"/>
        <v>0</v>
      </c>
      <c r="Y466" s="27">
        <v>0</v>
      </c>
      <c r="Z466" s="27">
        <f t="shared" si="40"/>
        <v>0</v>
      </c>
      <c r="AA466" s="27">
        <v>0</v>
      </c>
      <c r="AB466" s="28">
        <v>0</v>
      </c>
      <c r="AC466" s="27">
        <f>0.8174509/1.18</f>
        <v>0.69275500000000001</v>
      </c>
      <c r="AD466" s="28">
        <f>0.8174575198/1.18</f>
        <v>0.69276061000000011</v>
      </c>
      <c r="AE466" s="27">
        <v>0</v>
      </c>
      <c r="AF466" s="28">
        <v>0</v>
      </c>
      <c r="AG466" s="27">
        <v>0</v>
      </c>
      <c r="AH466" s="28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f t="shared" si="39"/>
        <v>0.69276061000000011</v>
      </c>
      <c r="AN466" s="27">
        <f t="shared" si="38"/>
        <v>0.69276061000000011</v>
      </c>
      <c r="AO466" s="35" t="s">
        <v>1435</v>
      </c>
    </row>
    <row r="467" spans="1:41" ht="31.5" customHeight="1" x14ac:dyDescent="0.25">
      <c r="A467" s="8" t="s">
        <v>96</v>
      </c>
      <c r="B467" s="39" t="s">
        <v>872</v>
      </c>
      <c r="C467" s="29" t="s">
        <v>873</v>
      </c>
      <c r="D467" s="38" t="s">
        <v>1481</v>
      </c>
      <c r="E467" s="30">
        <v>2015</v>
      </c>
      <c r="F467" s="30">
        <v>2015</v>
      </c>
      <c r="G467" s="30" t="s">
        <v>1435</v>
      </c>
      <c r="H467" s="27">
        <v>5.9939415041782733E-2</v>
      </c>
      <c r="I467" s="27">
        <v>5.9938703342618388E-2</v>
      </c>
      <c r="J467" s="27">
        <v>0</v>
      </c>
      <c r="K467" s="27">
        <v>0.430365</v>
      </c>
      <c r="L467" s="27">
        <v>2.462E-2</v>
      </c>
      <c r="M467" s="27">
        <v>0.33715300000000004</v>
      </c>
      <c r="N467" s="27">
        <v>6.8592E-2</v>
      </c>
      <c r="O467" s="27">
        <v>0</v>
      </c>
      <c r="P467" s="27">
        <v>0.43035989000000002</v>
      </c>
      <c r="Q467" s="27">
        <v>1.050303E-2</v>
      </c>
      <c r="R467" s="27">
        <v>0.35126873999999997</v>
      </c>
      <c r="S467" s="27">
        <v>6.8588120000000002E-2</v>
      </c>
      <c r="T467" s="27">
        <v>0</v>
      </c>
      <c r="U467" s="27">
        <v>5.9939415041782733E-2</v>
      </c>
      <c r="V467" s="27">
        <v>0.430365</v>
      </c>
      <c r="W467" s="27">
        <v>0</v>
      </c>
      <c r="X467" s="27">
        <f t="shared" si="41"/>
        <v>0</v>
      </c>
      <c r="Y467" s="27">
        <v>0</v>
      </c>
      <c r="Z467" s="27">
        <f t="shared" si="40"/>
        <v>0</v>
      </c>
      <c r="AA467" s="27">
        <v>0</v>
      </c>
      <c r="AB467" s="28">
        <v>0</v>
      </c>
      <c r="AC467" s="27">
        <f>0.5078307/1.18</f>
        <v>0.430365</v>
      </c>
      <c r="AD467" s="28">
        <f>0.5078246702/1.18</f>
        <v>0.43035989000000002</v>
      </c>
      <c r="AE467" s="27">
        <v>0</v>
      </c>
      <c r="AF467" s="28">
        <v>0</v>
      </c>
      <c r="AG467" s="27">
        <v>0</v>
      </c>
      <c r="AH467" s="28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f t="shared" si="39"/>
        <v>0.43035989000000002</v>
      </c>
      <c r="AN467" s="27">
        <f t="shared" ref="AN467:AN530" si="43">AD467+AF467+AH467</f>
        <v>0.43035989000000002</v>
      </c>
      <c r="AO467" s="35" t="s">
        <v>1435</v>
      </c>
    </row>
    <row r="468" spans="1:41" ht="31.5" customHeight="1" x14ac:dyDescent="0.25">
      <c r="A468" s="8" t="s">
        <v>96</v>
      </c>
      <c r="B468" s="39" t="s">
        <v>874</v>
      </c>
      <c r="C468" s="29" t="s">
        <v>875</v>
      </c>
      <c r="D468" s="38" t="s">
        <v>1481</v>
      </c>
      <c r="E468" s="30">
        <v>2015</v>
      </c>
      <c r="F468" s="30">
        <v>2015</v>
      </c>
      <c r="G468" s="30" t="s">
        <v>1435</v>
      </c>
      <c r="H468" s="27">
        <v>4.206671309192201E-2</v>
      </c>
      <c r="I468" s="27">
        <v>4.2067327298050142E-2</v>
      </c>
      <c r="J468" s="27">
        <v>0</v>
      </c>
      <c r="K468" s="27">
        <v>0.302039</v>
      </c>
      <c r="L468" s="27">
        <v>6.8529999999999997E-3</v>
      </c>
      <c r="M468" s="27">
        <v>0.239953</v>
      </c>
      <c r="N468" s="27">
        <v>5.5232999999999997E-2</v>
      </c>
      <c r="O468" s="27">
        <v>0</v>
      </c>
      <c r="P468" s="27">
        <v>0.30204341000000001</v>
      </c>
      <c r="Q468" s="27">
        <v>6.8542899999999999E-3</v>
      </c>
      <c r="R468" s="27">
        <v>0.23995465999999999</v>
      </c>
      <c r="S468" s="27">
        <v>5.5234459999999999E-2</v>
      </c>
      <c r="T468" s="27">
        <v>0</v>
      </c>
      <c r="U468" s="27">
        <v>4.206671309192201E-2</v>
      </c>
      <c r="V468" s="27">
        <v>0.302039</v>
      </c>
      <c r="W468" s="27">
        <v>0</v>
      </c>
      <c r="X468" s="27">
        <f t="shared" si="41"/>
        <v>0</v>
      </c>
      <c r="Y468" s="27">
        <v>0</v>
      </c>
      <c r="Z468" s="27">
        <f t="shared" si="40"/>
        <v>0</v>
      </c>
      <c r="AA468" s="27">
        <v>0</v>
      </c>
      <c r="AB468" s="28">
        <v>0</v>
      </c>
      <c r="AC468" s="27">
        <f>0.35640602/1.18</f>
        <v>0.302039</v>
      </c>
      <c r="AD468" s="28">
        <f>0.3564112238/1.18</f>
        <v>0.30204341000000001</v>
      </c>
      <c r="AE468" s="27">
        <v>0</v>
      </c>
      <c r="AF468" s="28">
        <v>0</v>
      </c>
      <c r="AG468" s="27">
        <v>0</v>
      </c>
      <c r="AH468" s="28">
        <v>0</v>
      </c>
      <c r="AI468" s="27">
        <v>0</v>
      </c>
      <c r="AJ468" s="27">
        <v>0</v>
      </c>
      <c r="AK468" s="27">
        <v>0</v>
      </c>
      <c r="AL468" s="27">
        <v>0</v>
      </c>
      <c r="AM468" s="27">
        <f t="shared" si="39"/>
        <v>0.30204341000000001</v>
      </c>
      <c r="AN468" s="27">
        <f t="shared" si="43"/>
        <v>0.30204341000000001</v>
      </c>
      <c r="AO468" s="35" t="s">
        <v>1435</v>
      </c>
    </row>
    <row r="469" spans="1:41" ht="31.5" customHeight="1" x14ac:dyDescent="0.25">
      <c r="A469" s="8" t="s">
        <v>96</v>
      </c>
      <c r="B469" s="39" t="s">
        <v>876</v>
      </c>
      <c r="C469" s="29" t="s">
        <v>877</v>
      </c>
      <c r="D469" s="38" t="s">
        <v>1481</v>
      </c>
      <c r="E469" s="30">
        <v>2015</v>
      </c>
      <c r="F469" s="30">
        <v>2015</v>
      </c>
      <c r="G469" s="30" t="s">
        <v>1435</v>
      </c>
      <c r="H469" s="27">
        <v>5.0501810584958222E-2</v>
      </c>
      <c r="I469" s="27">
        <v>5.0501437325905299E-2</v>
      </c>
      <c r="J469" s="27">
        <v>0</v>
      </c>
      <c r="K469" s="27">
        <v>0.36260300000000001</v>
      </c>
      <c r="L469" s="27">
        <v>7.45E-3</v>
      </c>
      <c r="M469" s="27">
        <v>0.27243000000000001</v>
      </c>
      <c r="N469" s="27">
        <v>8.2723000000000005E-2</v>
      </c>
      <c r="O469" s="27">
        <v>0</v>
      </c>
      <c r="P469" s="27">
        <v>0.36260032000000003</v>
      </c>
      <c r="Q469" s="27">
        <v>7.4454999999999999E-3</v>
      </c>
      <c r="R469" s="27">
        <v>0.27243210000000001</v>
      </c>
      <c r="S469" s="27">
        <v>8.272272E-2</v>
      </c>
      <c r="T469" s="27">
        <v>0</v>
      </c>
      <c r="U469" s="27">
        <v>5.0501810584958222E-2</v>
      </c>
      <c r="V469" s="27">
        <v>0.36260300000000001</v>
      </c>
      <c r="W469" s="27">
        <v>0</v>
      </c>
      <c r="X469" s="27">
        <f t="shared" si="41"/>
        <v>0</v>
      </c>
      <c r="Y469" s="27">
        <v>0</v>
      </c>
      <c r="Z469" s="27">
        <f t="shared" si="40"/>
        <v>0</v>
      </c>
      <c r="AA469" s="27">
        <v>0</v>
      </c>
      <c r="AB469" s="28">
        <v>0</v>
      </c>
      <c r="AC469" s="27">
        <f>0.42787154/1.18</f>
        <v>0.36260300000000001</v>
      </c>
      <c r="AD469" s="28">
        <f>0.4278683776/1.18</f>
        <v>0.36260032000000003</v>
      </c>
      <c r="AE469" s="27">
        <v>0</v>
      </c>
      <c r="AF469" s="28">
        <v>0</v>
      </c>
      <c r="AG469" s="27">
        <v>0</v>
      </c>
      <c r="AH469" s="28">
        <v>0</v>
      </c>
      <c r="AI469" s="27">
        <v>0</v>
      </c>
      <c r="AJ469" s="27">
        <v>0</v>
      </c>
      <c r="AK469" s="27">
        <v>0</v>
      </c>
      <c r="AL469" s="27">
        <v>0</v>
      </c>
      <c r="AM469" s="27">
        <f t="shared" si="39"/>
        <v>0.36260032000000003</v>
      </c>
      <c r="AN469" s="27">
        <f t="shared" si="43"/>
        <v>0.36260032000000003</v>
      </c>
      <c r="AO469" s="35" t="s">
        <v>1435</v>
      </c>
    </row>
    <row r="470" spans="1:41" ht="31.5" customHeight="1" x14ac:dyDescent="0.25">
      <c r="A470" s="8" t="s">
        <v>96</v>
      </c>
      <c r="B470" s="39" t="s">
        <v>878</v>
      </c>
      <c r="C470" s="29" t="s">
        <v>879</v>
      </c>
      <c r="D470" s="38" t="s">
        <v>1481</v>
      </c>
      <c r="E470" s="30">
        <v>2015</v>
      </c>
      <c r="F470" s="30">
        <v>2015</v>
      </c>
      <c r="G470" s="30" t="s">
        <v>1435</v>
      </c>
      <c r="H470" s="27">
        <v>6.7213788300835658E-2</v>
      </c>
      <c r="I470" s="27">
        <v>6.7214526462395549E-2</v>
      </c>
      <c r="J470" s="27">
        <v>0</v>
      </c>
      <c r="K470" s="27">
        <v>0.482595</v>
      </c>
      <c r="L470" s="27">
        <v>2.7379999999999998E-2</v>
      </c>
      <c r="M470" s="27">
        <v>0.35464200000000001</v>
      </c>
      <c r="N470" s="27">
        <v>0.100573</v>
      </c>
      <c r="O470" s="27">
        <v>0</v>
      </c>
      <c r="P470" s="27">
        <v>0.48260029999999998</v>
      </c>
      <c r="Q470" s="27">
        <v>5.41568E-3</v>
      </c>
      <c r="R470" s="27">
        <v>0.37543729000000003</v>
      </c>
      <c r="S470" s="27">
        <v>0.10174733000000001</v>
      </c>
      <c r="T470" s="27">
        <v>0</v>
      </c>
      <c r="U470" s="27">
        <v>6.7213788300835658E-2</v>
      </c>
      <c r="V470" s="27">
        <v>0.482595</v>
      </c>
      <c r="W470" s="27">
        <v>0</v>
      </c>
      <c r="X470" s="27">
        <f t="shared" si="41"/>
        <v>0</v>
      </c>
      <c r="Y470" s="27">
        <v>0</v>
      </c>
      <c r="Z470" s="27">
        <f t="shared" si="40"/>
        <v>0</v>
      </c>
      <c r="AA470" s="27">
        <v>0</v>
      </c>
      <c r="AB470" s="28">
        <v>0</v>
      </c>
      <c r="AC470" s="27">
        <f>0.5694621/1.18</f>
        <v>0.482595</v>
      </c>
      <c r="AD470" s="28">
        <f>0.569468354/1.18</f>
        <v>0.48260029999999998</v>
      </c>
      <c r="AE470" s="27">
        <v>0</v>
      </c>
      <c r="AF470" s="28">
        <v>0</v>
      </c>
      <c r="AG470" s="27">
        <v>0</v>
      </c>
      <c r="AH470" s="28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f t="shared" si="39"/>
        <v>0.48260029999999998</v>
      </c>
      <c r="AN470" s="27">
        <f t="shared" si="43"/>
        <v>0.48260029999999998</v>
      </c>
      <c r="AO470" s="35" t="s">
        <v>1435</v>
      </c>
    </row>
    <row r="471" spans="1:41" ht="31.5" customHeight="1" x14ac:dyDescent="0.25">
      <c r="A471" s="8" t="s">
        <v>96</v>
      </c>
      <c r="B471" s="39" t="s">
        <v>880</v>
      </c>
      <c r="C471" s="29" t="s">
        <v>881</v>
      </c>
      <c r="D471" s="38" t="s">
        <v>1481</v>
      </c>
      <c r="E471" s="30">
        <v>2015</v>
      </c>
      <c r="F471" s="30">
        <v>2015</v>
      </c>
      <c r="G471" s="30" t="s">
        <v>1435</v>
      </c>
      <c r="H471" s="27">
        <v>2.713384401114206E-2</v>
      </c>
      <c r="I471" s="27">
        <v>2.7133292479108635E-2</v>
      </c>
      <c r="J471" s="27">
        <v>0</v>
      </c>
      <c r="K471" s="27">
        <v>0.19482099999999999</v>
      </c>
      <c r="L471" s="27">
        <v>2.6609999999999998E-2</v>
      </c>
      <c r="M471" s="27">
        <v>0.14896999999999999</v>
      </c>
      <c r="N471" s="27">
        <v>1.9241000000000001E-2</v>
      </c>
      <c r="O471" s="27">
        <v>0</v>
      </c>
      <c r="P471" s="27">
        <v>0.19481704</v>
      </c>
      <c r="Q471" s="27">
        <v>2.6608979999999997E-2</v>
      </c>
      <c r="R471" s="27">
        <v>0.14896646000000002</v>
      </c>
      <c r="S471" s="27">
        <v>1.9241599999999998E-2</v>
      </c>
      <c r="T471" s="27">
        <v>0</v>
      </c>
      <c r="U471" s="27">
        <v>2.713384401114206E-2</v>
      </c>
      <c r="V471" s="27">
        <v>0.19482099999999999</v>
      </c>
      <c r="W471" s="27">
        <v>0</v>
      </c>
      <c r="X471" s="27">
        <f t="shared" si="41"/>
        <v>0</v>
      </c>
      <c r="Y471" s="27">
        <v>0</v>
      </c>
      <c r="Z471" s="27">
        <f t="shared" si="40"/>
        <v>0</v>
      </c>
      <c r="AA471" s="27">
        <v>0</v>
      </c>
      <c r="AB471" s="28">
        <v>0</v>
      </c>
      <c r="AC471" s="27">
        <f>0.22988878/1.18</f>
        <v>0.19482099999999999</v>
      </c>
      <c r="AD471" s="28">
        <f>0.2298841072/1.18</f>
        <v>0.19481704</v>
      </c>
      <c r="AE471" s="27">
        <v>0</v>
      </c>
      <c r="AF471" s="28">
        <v>0</v>
      </c>
      <c r="AG471" s="27">
        <v>0</v>
      </c>
      <c r="AH471" s="28">
        <v>0</v>
      </c>
      <c r="AI471" s="27">
        <v>0</v>
      </c>
      <c r="AJ471" s="27">
        <v>0</v>
      </c>
      <c r="AK471" s="27">
        <v>0</v>
      </c>
      <c r="AL471" s="27">
        <v>0</v>
      </c>
      <c r="AM471" s="27">
        <f t="shared" si="39"/>
        <v>0.19481704</v>
      </c>
      <c r="AN471" s="27">
        <f t="shared" si="43"/>
        <v>0.19481704</v>
      </c>
      <c r="AO471" s="35" t="s">
        <v>1435</v>
      </c>
    </row>
    <row r="472" spans="1:41" ht="31.5" customHeight="1" x14ac:dyDescent="0.25">
      <c r="A472" s="8" t="s">
        <v>96</v>
      </c>
      <c r="B472" s="39" t="s">
        <v>882</v>
      </c>
      <c r="C472" s="29" t="s">
        <v>883</v>
      </c>
      <c r="D472" s="38" t="s">
        <v>1481</v>
      </c>
      <c r="E472" s="30">
        <v>2015</v>
      </c>
      <c r="F472" s="30">
        <v>2015</v>
      </c>
      <c r="G472" s="30" t="s">
        <v>1435</v>
      </c>
      <c r="H472" s="27">
        <v>9.5735933147632332E-2</v>
      </c>
      <c r="I472" s="27">
        <v>9.573592339832869E-2</v>
      </c>
      <c r="J472" s="27">
        <v>0</v>
      </c>
      <c r="K472" s="27">
        <v>0.68738400000000011</v>
      </c>
      <c r="L472" s="27">
        <v>2.7427E-2</v>
      </c>
      <c r="M472" s="27">
        <v>0.49094700000000002</v>
      </c>
      <c r="N472" s="27">
        <v>0.16900999999999999</v>
      </c>
      <c r="O472" s="27">
        <v>0</v>
      </c>
      <c r="P472" s="27">
        <v>0.68738392999999998</v>
      </c>
      <c r="Q472" s="27">
        <v>6.6313800000000001E-3</v>
      </c>
      <c r="R472" s="27">
        <v>0.51174176000000005</v>
      </c>
      <c r="S472" s="27">
        <v>0.16901078999999999</v>
      </c>
      <c r="T472" s="27">
        <v>0</v>
      </c>
      <c r="U472" s="27">
        <v>9.5735933147632332E-2</v>
      </c>
      <c r="V472" s="27">
        <v>0.68738400000000011</v>
      </c>
      <c r="W472" s="27">
        <v>0</v>
      </c>
      <c r="X472" s="27">
        <f t="shared" si="41"/>
        <v>0</v>
      </c>
      <c r="Y472" s="27">
        <v>0</v>
      </c>
      <c r="Z472" s="27">
        <f t="shared" si="40"/>
        <v>0</v>
      </c>
      <c r="AA472" s="27">
        <v>0</v>
      </c>
      <c r="AB472" s="28">
        <v>0</v>
      </c>
      <c r="AC472" s="27">
        <f>0.81111312/1.18</f>
        <v>0.68738400000000011</v>
      </c>
      <c r="AD472" s="28">
        <f>0.8111130374/1.18</f>
        <v>0.68738392999999998</v>
      </c>
      <c r="AE472" s="27">
        <v>0</v>
      </c>
      <c r="AF472" s="28">
        <v>0</v>
      </c>
      <c r="AG472" s="27">
        <v>0</v>
      </c>
      <c r="AH472" s="28">
        <v>0</v>
      </c>
      <c r="AI472" s="27">
        <v>0</v>
      </c>
      <c r="AJ472" s="27">
        <v>0</v>
      </c>
      <c r="AK472" s="27">
        <v>0</v>
      </c>
      <c r="AL472" s="27">
        <v>0</v>
      </c>
      <c r="AM472" s="27">
        <f t="shared" si="39"/>
        <v>0.68738392999999998</v>
      </c>
      <c r="AN472" s="27">
        <f t="shared" si="43"/>
        <v>0.68738392999999998</v>
      </c>
      <c r="AO472" s="35" t="s">
        <v>1435</v>
      </c>
    </row>
    <row r="473" spans="1:41" ht="31.5" customHeight="1" x14ac:dyDescent="0.25">
      <c r="A473" s="8" t="s">
        <v>96</v>
      </c>
      <c r="B473" s="39" t="s">
        <v>884</v>
      </c>
      <c r="C473" s="29" t="s">
        <v>885</v>
      </c>
      <c r="D473" s="38" t="s">
        <v>1481</v>
      </c>
      <c r="E473" s="30">
        <v>2015</v>
      </c>
      <c r="F473" s="30">
        <v>2015</v>
      </c>
      <c r="G473" s="30" t="s">
        <v>1435</v>
      </c>
      <c r="H473" s="27">
        <v>0.13336532033426188</v>
      </c>
      <c r="I473" s="27">
        <v>0.13336486629526462</v>
      </c>
      <c r="J473" s="27">
        <v>0</v>
      </c>
      <c r="K473" s="27">
        <v>0.95756300000000016</v>
      </c>
      <c r="L473" s="27">
        <v>2.7542000000000001E-2</v>
      </c>
      <c r="M473" s="27">
        <v>0.70375999999999994</v>
      </c>
      <c r="N473" s="27">
        <v>0.22626099999999999</v>
      </c>
      <c r="O473" s="27">
        <v>0</v>
      </c>
      <c r="P473" s="27">
        <v>0.95755973999999999</v>
      </c>
      <c r="Q473" s="27">
        <v>6.7416500000000001E-3</v>
      </c>
      <c r="R473" s="27">
        <v>0.72455637000000006</v>
      </c>
      <c r="S473" s="27">
        <v>0.22626172</v>
      </c>
      <c r="T473" s="27">
        <v>0</v>
      </c>
      <c r="U473" s="27">
        <v>0.13336532033426188</v>
      </c>
      <c r="V473" s="27">
        <v>0.95756300000000016</v>
      </c>
      <c r="W473" s="27">
        <v>0</v>
      </c>
      <c r="X473" s="27">
        <f t="shared" si="41"/>
        <v>0</v>
      </c>
      <c r="Y473" s="27">
        <v>0</v>
      </c>
      <c r="Z473" s="27">
        <f t="shared" si="40"/>
        <v>0</v>
      </c>
      <c r="AA473" s="27">
        <v>0</v>
      </c>
      <c r="AB473" s="28">
        <v>0</v>
      </c>
      <c r="AC473" s="27">
        <f>1.12992434/1.18</f>
        <v>0.95756300000000016</v>
      </c>
      <c r="AD473" s="28">
        <f>1.1299204932/1.18</f>
        <v>0.95755973999999999</v>
      </c>
      <c r="AE473" s="27">
        <v>0</v>
      </c>
      <c r="AF473" s="28">
        <v>0</v>
      </c>
      <c r="AG473" s="27">
        <v>0</v>
      </c>
      <c r="AH473" s="28">
        <v>0</v>
      </c>
      <c r="AI473" s="27">
        <v>0</v>
      </c>
      <c r="AJ473" s="27">
        <v>0</v>
      </c>
      <c r="AK473" s="27">
        <v>0</v>
      </c>
      <c r="AL473" s="27">
        <v>0</v>
      </c>
      <c r="AM473" s="27">
        <f t="shared" si="39"/>
        <v>0.95755973999999999</v>
      </c>
      <c r="AN473" s="27">
        <f t="shared" si="43"/>
        <v>0.95755973999999999</v>
      </c>
      <c r="AO473" s="35" t="s">
        <v>1435</v>
      </c>
    </row>
    <row r="474" spans="1:41" ht="31.5" customHeight="1" x14ac:dyDescent="0.25">
      <c r="A474" s="8" t="s">
        <v>96</v>
      </c>
      <c r="B474" s="39" t="s">
        <v>886</v>
      </c>
      <c r="C474" s="29" t="s">
        <v>887</v>
      </c>
      <c r="D474" s="38" t="s">
        <v>1481</v>
      </c>
      <c r="E474" s="30">
        <v>2015</v>
      </c>
      <c r="F474" s="30">
        <v>2015</v>
      </c>
      <c r="G474" s="30" t="s">
        <v>1435</v>
      </c>
      <c r="H474" s="27">
        <v>0.22936768802228416</v>
      </c>
      <c r="I474" s="27">
        <v>0.20332396796657382</v>
      </c>
      <c r="J474" s="27">
        <v>0</v>
      </c>
      <c r="K474" s="27">
        <v>1.6468600000000002</v>
      </c>
      <c r="L474" s="27">
        <v>6.8862999999999994E-2</v>
      </c>
      <c r="M474" s="27">
        <v>1.0451630000000001</v>
      </c>
      <c r="N474" s="27">
        <v>0.53283700000000001</v>
      </c>
      <c r="O474" s="27">
        <v>0</v>
      </c>
      <c r="P474" s="27">
        <v>1.45986609</v>
      </c>
      <c r="Q474" s="27">
        <v>7.6722180000000001E-2</v>
      </c>
      <c r="R474" s="27">
        <v>1.0451462100000002</v>
      </c>
      <c r="S474" s="27">
        <v>0.33799770000000001</v>
      </c>
      <c r="T474" s="27">
        <v>0</v>
      </c>
      <c r="U474" s="27">
        <v>0.22936768802228416</v>
      </c>
      <c r="V474" s="27">
        <v>1.6468600000000002</v>
      </c>
      <c r="W474" s="27">
        <v>0</v>
      </c>
      <c r="X474" s="27">
        <f t="shared" si="41"/>
        <v>0</v>
      </c>
      <c r="Y474" s="27">
        <v>0</v>
      </c>
      <c r="Z474" s="27">
        <f t="shared" si="40"/>
        <v>0</v>
      </c>
      <c r="AA474" s="27">
        <v>0</v>
      </c>
      <c r="AB474" s="28">
        <v>0</v>
      </c>
      <c r="AC474" s="27">
        <f>1.9432948/1.18</f>
        <v>1.6468600000000002</v>
      </c>
      <c r="AD474" s="28">
        <f>1.7226419862/1.18</f>
        <v>1.45986609</v>
      </c>
      <c r="AE474" s="27">
        <v>0</v>
      </c>
      <c r="AF474" s="28">
        <v>0</v>
      </c>
      <c r="AG474" s="27">
        <v>0</v>
      </c>
      <c r="AH474" s="28">
        <v>0</v>
      </c>
      <c r="AI474" s="27">
        <v>0</v>
      </c>
      <c r="AJ474" s="27">
        <v>0</v>
      </c>
      <c r="AK474" s="27">
        <v>0</v>
      </c>
      <c r="AL474" s="27">
        <v>0</v>
      </c>
      <c r="AM474" s="27">
        <f t="shared" si="39"/>
        <v>1.45986609</v>
      </c>
      <c r="AN474" s="27">
        <f t="shared" si="43"/>
        <v>1.45986609</v>
      </c>
      <c r="AO474" s="35" t="s">
        <v>1486</v>
      </c>
    </row>
    <row r="475" spans="1:41" ht="31.5" customHeight="1" x14ac:dyDescent="0.25">
      <c r="A475" s="8" t="s">
        <v>96</v>
      </c>
      <c r="B475" s="39" t="s">
        <v>888</v>
      </c>
      <c r="C475" s="29" t="s">
        <v>889</v>
      </c>
      <c r="D475" s="38" t="s">
        <v>1481</v>
      </c>
      <c r="E475" s="30">
        <v>2015</v>
      </c>
      <c r="F475" s="30">
        <v>2015</v>
      </c>
      <c r="G475" s="30" t="s">
        <v>1435</v>
      </c>
      <c r="H475" s="27">
        <v>0.58663732590529261</v>
      </c>
      <c r="I475" s="27">
        <v>0.43048696100278555</v>
      </c>
      <c r="J475" s="27">
        <v>0</v>
      </c>
      <c r="K475" s="27">
        <v>4.2120560000000005</v>
      </c>
      <c r="L475" s="27">
        <v>0.167853</v>
      </c>
      <c r="M475" s="27">
        <v>3.0363329999999999</v>
      </c>
      <c r="N475" s="27">
        <v>1.00787</v>
      </c>
      <c r="O475" s="27">
        <v>0</v>
      </c>
      <c r="P475" s="27">
        <v>3.0908963800000002</v>
      </c>
      <c r="Q475" s="27">
        <v>0.17060038999999999</v>
      </c>
      <c r="R475" s="27">
        <v>1.9770734299999999</v>
      </c>
      <c r="S475" s="27">
        <v>0.94322256000000004</v>
      </c>
      <c r="T475" s="27">
        <v>0</v>
      </c>
      <c r="U475" s="27">
        <v>0.58663732590529261</v>
      </c>
      <c r="V475" s="27">
        <v>4.2120560000000005</v>
      </c>
      <c r="W475" s="27">
        <v>0</v>
      </c>
      <c r="X475" s="27">
        <f t="shared" si="41"/>
        <v>0</v>
      </c>
      <c r="Y475" s="27">
        <v>0</v>
      </c>
      <c r="Z475" s="27">
        <f t="shared" si="40"/>
        <v>0</v>
      </c>
      <c r="AA475" s="27">
        <v>0</v>
      </c>
      <c r="AB475" s="28">
        <v>0</v>
      </c>
      <c r="AC475" s="27">
        <f>4.97022608/1.18</f>
        <v>4.2120560000000005</v>
      </c>
      <c r="AD475" s="28">
        <f>3.6472577284/1.18</f>
        <v>3.0908963800000002</v>
      </c>
      <c r="AE475" s="27">
        <v>0</v>
      </c>
      <c r="AF475" s="28">
        <v>0</v>
      </c>
      <c r="AG475" s="27">
        <v>0</v>
      </c>
      <c r="AH475" s="28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f t="shared" ref="AM475:AM538" si="44">AD475+AF475+AG475+AI475+AK475</f>
        <v>3.0908963800000002</v>
      </c>
      <c r="AN475" s="27">
        <f t="shared" si="43"/>
        <v>3.0908963800000002</v>
      </c>
      <c r="AO475" s="35" t="s">
        <v>1486</v>
      </c>
    </row>
    <row r="476" spans="1:41" ht="31.5" customHeight="1" x14ac:dyDescent="0.25">
      <c r="A476" s="8" t="s">
        <v>96</v>
      </c>
      <c r="B476" s="39" t="s">
        <v>890</v>
      </c>
      <c r="C476" s="29" t="s">
        <v>891</v>
      </c>
      <c r="D476" s="38" t="s">
        <v>1481</v>
      </c>
      <c r="E476" s="30">
        <v>2015</v>
      </c>
      <c r="F476" s="30">
        <v>2015</v>
      </c>
      <c r="G476" s="30" t="s">
        <v>1435</v>
      </c>
      <c r="H476" s="27">
        <v>0.33260125348189423</v>
      </c>
      <c r="I476" s="27">
        <v>0.31510591504178276</v>
      </c>
      <c r="J476" s="27">
        <v>0</v>
      </c>
      <c r="K476" s="27">
        <v>2.3880770000000004</v>
      </c>
      <c r="L476" s="27">
        <v>8.6726999999999999E-2</v>
      </c>
      <c r="M476" s="27">
        <v>1.8119400000000001</v>
      </c>
      <c r="N476" s="27">
        <v>0.48941000000000001</v>
      </c>
      <c r="O476" s="27">
        <v>0</v>
      </c>
      <c r="P476" s="27">
        <v>2.2624604700000002</v>
      </c>
      <c r="Q476" s="27">
        <v>9.5826830000000002E-2</v>
      </c>
      <c r="R476" s="27">
        <v>1.72476316</v>
      </c>
      <c r="S476" s="27">
        <v>0.44187048000000001</v>
      </c>
      <c r="T476" s="27">
        <v>0</v>
      </c>
      <c r="U476" s="27">
        <v>0.33260125348189423</v>
      </c>
      <c r="V476" s="27">
        <v>2.3880770000000004</v>
      </c>
      <c r="W476" s="27">
        <v>0</v>
      </c>
      <c r="X476" s="27">
        <f t="shared" si="41"/>
        <v>0</v>
      </c>
      <c r="Y476" s="27">
        <v>0</v>
      </c>
      <c r="Z476" s="27">
        <f t="shared" si="40"/>
        <v>0</v>
      </c>
      <c r="AA476" s="27">
        <v>0</v>
      </c>
      <c r="AB476" s="28">
        <v>0</v>
      </c>
      <c r="AC476" s="27">
        <f>2.81793086/1.18</f>
        <v>2.3880770000000004</v>
      </c>
      <c r="AD476" s="28">
        <f>2.6697033546/1.18</f>
        <v>2.2624604700000002</v>
      </c>
      <c r="AE476" s="27">
        <v>0</v>
      </c>
      <c r="AF476" s="28">
        <v>0</v>
      </c>
      <c r="AG476" s="27">
        <v>0</v>
      </c>
      <c r="AH476" s="28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f t="shared" si="44"/>
        <v>2.2624604700000002</v>
      </c>
      <c r="AN476" s="27">
        <f t="shared" si="43"/>
        <v>2.2624604700000002</v>
      </c>
      <c r="AO476" s="35" t="s">
        <v>1486</v>
      </c>
    </row>
    <row r="477" spans="1:41" ht="31.5" customHeight="1" x14ac:dyDescent="0.25">
      <c r="A477" s="8" t="s">
        <v>96</v>
      </c>
      <c r="B477" s="39" t="s">
        <v>892</v>
      </c>
      <c r="C477" s="29" t="s">
        <v>893</v>
      </c>
      <c r="D477" s="38" t="s">
        <v>1481</v>
      </c>
      <c r="E477" s="30">
        <v>2015</v>
      </c>
      <c r="F477" s="30">
        <v>2015</v>
      </c>
      <c r="G477" s="30" t="s">
        <v>1435</v>
      </c>
      <c r="H477" s="27">
        <v>0.10364582172701951</v>
      </c>
      <c r="I477" s="27">
        <v>9.7726072423398327E-2</v>
      </c>
      <c r="J477" s="27">
        <v>0</v>
      </c>
      <c r="K477" s="27">
        <v>0.74417700000000009</v>
      </c>
      <c r="L477" s="27">
        <v>3.8843000000000003E-2</v>
      </c>
      <c r="M477" s="27">
        <v>0.489284</v>
      </c>
      <c r="N477" s="27">
        <v>0.21605000000000002</v>
      </c>
      <c r="O477" s="27">
        <v>0</v>
      </c>
      <c r="P477" s="27">
        <v>0.7016732</v>
      </c>
      <c r="Q477" s="27">
        <v>4.5672409999999997E-2</v>
      </c>
      <c r="R477" s="27">
        <v>0.48925234000000001</v>
      </c>
      <c r="S477" s="27">
        <v>0.16674844999999999</v>
      </c>
      <c r="T477" s="27">
        <v>0</v>
      </c>
      <c r="U477" s="27">
        <v>0.10364582172701951</v>
      </c>
      <c r="V477" s="27">
        <v>0.74417700000000009</v>
      </c>
      <c r="W477" s="27">
        <v>0</v>
      </c>
      <c r="X477" s="27">
        <f t="shared" si="41"/>
        <v>0</v>
      </c>
      <c r="Y477" s="27">
        <v>0</v>
      </c>
      <c r="Z477" s="27">
        <f t="shared" si="40"/>
        <v>0</v>
      </c>
      <c r="AA477" s="27">
        <v>0</v>
      </c>
      <c r="AB477" s="28">
        <v>0</v>
      </c>
      <c r="AC477" s="27">
        <f>0.87812886/1.18</f>
        <v>0.74417700000000009</v>
      </c>
      <c r="AD477" s="28">
        <f>0.827974376/1.18</f>
        <v>0.7016732</v>
      </c>
      <c r="AE477" s="27">
        <v>0</v>
      </c>
      <c r="AF477" s="28">
        <v>0</v>
      </c>
      <c r="AG477" s="27">
        <v>0</v>
      </c>
      <c r="AH477" s="28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f t="shared" si="44"/>
        <v>0.7016732</v>
      </c>
      <c r="AN477" s="27">
        <f t="shared" si="43"/>
        <v>0.7016732</v>
      </c>
      <c r="AO477" s="35" t="s">
        <v>1486</v>
      </c>
    </row>
    <row r="478" spans="1:41" ht="31.5" customHeight="1" x14ac:dyDescent="0.25">
      <c r="A478" s="8" t="s">
        <v>96</v>
      </c>
      <c r="B478" s="39" t="s">
        <v>894</v>
      </c>
      <c r="C478" s="29" t="s">
        <v>895</v>
      </c>
      <c r="D478" s="38" t="s">
        <v>1481</v>
      </c>
      <c r="E478" s="30">
        <v>2015</v>
      </c>
      <c r="F478" s="30">
        <v>2015</v>
      </c>
      <c r="G478" s="30" t="s">
        <v>1435</v>
      </c>
      <c r="H478" s="27">
        <v>0.14495849582172701</v>
      </c>
      <c r="I478" s="27">
        <v>0.14495776880222841</v>
      </c>
      <c r="J478" s="27">
        <v>0</v>
      </c>
      <c r="K478" s="27">
        <v>1.040802</v>
      </c>
      <c r="L478" s="27">
        <v>6.9751999999999995E-2</v>
      </c>
      <c r="M478" s="27">
        <v>0.69320999999999999</v>
      </c>
      <c r="N478" s="27">
        <v>0.27783999999999998</v>
      </c>
      <c r="O478" s="27">
        <v>0</v>
      </c>
      <c r="P478" s="27">
        <v>1.04079678</v>
      </c>
      <c r="Q478" s="27">
        <v>6.9745720000000011E-2</v>
      </c>
      <c r="R478" s="27">
        <v>0.69321223999999992</v>
      </c>
      <c r="S478" s="27">
        <v>0.27783881999999999</v>
      </c>
      <c r="T478" s="27">
        <v>0</v>
      </c>
      <c r="U478" s="27">
        <v>0.14495849582172701</v>
      </c>
      <c r="V478" s="27">
        <v>1.040802</v>
      </c>
      <c r="W478" s="27">
        <v>0</v>
      </c>
      <c r="X478" s="27">
        <f t="shared" si="41"/>
        <v>0</v>
      </c>
      <c r="Y478" s="27">
        <v>0</v>
      </c>
      <c r="Z478" s="27">
        <f t="shared" si="40"/>
        <v>0</v>
      </c>
      <c r="AA478" s="27">
        <v>0</v>
      </c>
      <c r="AB478" s="28">
        <v>0</v>
      </c>
      <c r="AC478" s="27">
        <f>1.22814636/1.18</f>
        <v>1.040802</v>
      </c>
      <c r="AD478" s="28">
        <f>1.2281402004/1.18</f>
        <v>1.04079678</v>
      </c>
      <c r="AE478" s="27">
        <v>0</v>
      </c>
      <c r="AF478" s="28">
        <v>0</v>
      </c>
      <c r="AG478" s="27">
        <v>0</v>
      </c>
      <c r="AH478" s="28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f t="shared" si="44"/>
        <v>1.04079678</v>
      </c>
      <c r="AN478" s="27">
        <f t="shared" si="43"/>
        <v>1.04079678</v>
      </c>
      <c r="AO478" s="35" t="s">
        <v>1486</v>
      </c>
    </row>
    <row r="479" spans="1:41" ht="31.5" customHeight="1" x14ac:dyDescent="0.25">
      <c r="A479" s="8" t="s">
        <v>96</v>
      </c>
      <c r="B479" s="39" t="s">
        <v>896</v>
      </c>
      <c r="C479" s="29" t="s">
        <v>897</v>
      </c>
      <c r="D479" s="38" t="s">
        <v>1481</v>
      </c>
      <c r="E479" s="30">
        <v>2015</v>
      </c>
      <c r="F479" s="30">
        <v>2015</v>
      </c>
      <c r="G479" s="30" t="s">
        <v>1435</v>
      </c>
      <c r="H479" s="27">
        <v>0.18687186629526462</v>
      </c>
      <c r="I479" s="27">
        <v>0.18687198189415041</v>
      </c>
      <c r="J479" s="27">
        <v>0</v>
      </c>
      <c r="K479" s="27">
        <v>1.3417399999999999</v>
      </c>
      <c r="L479" s="27">
        <v>0.11001999999999999</v>
      </c>
      <c r="M479" s="27">
        <v>0.93082000000000009</v>
      </c>
      <c r="N479" s="27">
        <v>0.3009</v>
      </c>
      <c r="O479" s="27">
        <v>0</v>
      </c>
      <c r="P479" s="27">
        <v>1.34174083</v>
      </c>
      <c r="Q479" s="27">
        <v>9.590130999999999E-2</v>
      </c>
      <c r="R479" s="27">
        <v>0.94493521000000003</v>
      </c>
      <c r="S479" s="27">
        <v>0.30090431000000001</v>
      </c>
      <c r="T479" s="27">
        <v>0</v>
      </c>
      <c r="U479" s="27">
        <v>0.18687186629526462</v>
      </c>
      <c r="V479" s="27">
        <v>1.3417399999999999</v>
      </c>
      <c r="W479" s="27">
        <v>0</v>
      </c>
      <c r="X479" s="27">
        <f t="shared" si="41"/>
        <v>0</v>
      </c>
      <c r="Y479" s="27">
        <v>0</v>
      </c>
      <c r="Z479" s="27">
        <f t="shared" si="40"/>
        <v>0</v>
      </c>
      <c r="AA479" s="27">
        <v>0</v>
      </c>
      <c r="AB479" s="28">
        <v>0</v>
      </c>
      <c r="AC479" s="27">
        <f>1.5832532/1.18</f>
        <v>1.3417399999999999</v>
      </c>
      <c r="AD479" s="28">
        <f>1.5832541794/1.18</f>
        <v>1.34174083</v>
      </c>
      <c r="AE479" s="27">
        <v>0</v>
      </c>
      <c r="AF479" s="28">
        <v>0</v>
      </c>
      <c r="AG479" s="27">
        <v>0</v>
      </c>
      <c r="AH479" s="28">
        <v>0</v>
      </c>
      <c r="AI479" s="27">
        <v>0</v>
      </c>
      <c r="AJ479" s="27">
        <v>0</v>
      </c>
      <c r="AK479" s="27">
        <v>0</v>
      </c>
      <c r="AL479" s="27">
        <v>0</v>
      </c>
      <c r="AM479" s="27">
        <f t="shared" si="44"/>
        <v>1.34174083</v>
      </c>
      <c r="AN479" s="27">
        <f t="shared" si="43"/>
        <v>1.34174083</v>
      </c>
      <c r="AO479" s="35" t="s">
        <v>1486</v>
      </c>
    </row>
    <row r="480" spans="1:41" ht="31.5" customHeight="1" x14ac:dyDescent="0.25">
      <c r="A480" s="8" t="s">
        <v>96</v>
      </c>
      <c r="B480" s="39" t="s">
        <v>898</v>
      </c>
      <c r="C480" s="29" t="s">
        <v>899</v>
      </c>
      <c r="D480" s="38" t="s">
        <v>1481</v>
      </c>
      <c r="E480" s="30">
        <v>2015</v>
      </c>
      <c r="F480" s="30">
        <v>2015</v>
      </c>
      <c r="G480" s="30" t="s">
        <v>1435</v>
      </c>
      <c r="H480" s="27">
        <v>0.1380714484679666</v>
      </c>
      <c r="I480" s="27">
        <v>0.12693866434540391</v>
      </c>
      <c r="J480" s="27">
        <v>0</v>
      </c>
      <c r="K480" s="27">
        <v>0.99135300000000015</v>
      </c>
      <c r="L480" s="27">
        <v>5.4833E-2</v>
      </c>
      <c r="M480" s="27">
        <v>0.73684000000000005</v>
      </c>
      <c r="N480" s="27">
        <v>0.19968</v>
      </c>
      <c r="O480" s="27">
        <v>0</v>
      </c>
      <c r="P480" s="27">
        <v>0.91141961000000005</v>
      </c>
      <c r="Q480" s="27">
        <v>4.40013E-2</v>
      </c>
      <c r="R480" s="27">
        <v>0.86741831000000003</v>
      </c>
      <c r="S480" s="27">
        <v>0</v>
      </c>
      <c r="T480" s="27">
        <v>0</v>
      </c>
      <c r="U480" s="27">
        <v>0.1380714484679666</v>
      </c>
      <c r="V480" s="27">
        <v>0.99135300000000015</v>
      </c>
      <c r="W480" s="27">
        <v>0</v>
      </c>
      <c r="X480" s="27">
        <f t="shared" si="41"/>
        <v>0</v>
      </c>
      <c r="Y480" s="27">
        <v>0</v>
      </c>
      <c r="Z480" s="27">
        <f t="shared" si="40"/>
        <v>0</v>
      </c>
      <c r="AA480" s="27">
        <v>0</v>
      </c>
      <c r="AB480" s="28">
        <v>0</v>
      </c>
      <c r="AC480" s="27">
        <f>1.16979654/1.18</f>
        <v>0.99135300000000015</v>
      </c>
      <c r="AD480" s="28">
        <v>0</v>
      </c>
      <c r="AE480" s="27">
        <v>0</v>
      </c>
      <c r="AF480" s="28">
        <f>1.0754751398/1.18</f>
        <v>0.91141961000000005</v>
      </c>
      <c r="AG480" s="27">
        <v>0</v>
      </c>
      <c r="AH480" s="28">
        <v>0</v>
      </c>
      <c r="AI480" s="27">
        <v>0</v>
      </c>
      <c r="AJ480" s="27">
        <v>0</v>
      </c>
      <c r="AK480" s="27">
        <v>0</v>
      </c>
      <c r="AL480" s="27">
        <v>0</v>
      </c>
      <c r="AM480" s="27">
        <f t="shared" si="44"/>
        <v>0.91141961000000005</v>
      </c>
      <c r="AN480" s="27">
        <f t="shared" si="43"/>
        <v>0.91141961000000005</v>
      </c>
      <c r="AO480" s="35" t="s">
        <v>1489</v>
      </c>
    </row>
    <row r="481" spans="1:41" ht="31.5" customHeight="1" x14ac:dyDescent="0.25">
      <c r="A481" s="8" t="s">
        <v>96</v>
      </c>
      <c r="B481" s="39" t="s">
        <v>900</v>
      </c>
      <c r="C481" s="29" t="s">
        <v>901</v>
      </c>
      <c r="D481" s="38" t="s">
        <v>1481</v>
      </c>
      <c r="E481" s="30">
        <v>2015</v>
      </c>
      <c r="F481" s="30">
        <v>2015</v>
      </c>
      <c r="G481" s="30" t="s">
        <v>1435</v>
      </c>
      <c r="H481" s="27">
        <v>9.1461420612813385E-2</v>
      </c>
      <c r="I481" s="27">
        <v>9.1461466573816166E-2</v>
      </c>
      <c r="J481" s="27">
        <v>0</v>
      </c>
      <c r="K481" s="27">
        <v>0.65669300000000008</v>
      </c>
      <c r="L481" s="27">
        <v>4.1739999999999999E-2</v>
      </c>
      <c r="M481" s="27">
        <v>0.50386500000000001</v>
      </c>
      <c r="N481" s="27">
        <v>0.11108799999999999</v>
      </c>
      <c r="O481" s="27">
        <v>0</v>
      </c>
      <c r="P481" s="27">
        <v>0.65669333000000008</v>
      </c>
      <c r="Q481" s="27">
        <v>4.1738750000000005E-2</v>
      </c>
      <c r="R481" s="27">
        <v>0.50386776</v>
      </c>
      <c r="S481" s="27">
        <v>0.11108682</v>
      </c>
      <c r="T481" s="27">
        <v>0</v>
      </c>
      <c r="U481" s="27">
        <v>9.1461420612813385E-2</v>
      </c>
      <c r="V481" s="27">
        <v>0.65669300000000008</v>
      </c>
      <c r="W481" s="27">
        <v>0</v>
      </c>
      <c r="X481" s="27">
        <f t="shared" si="41"/>
        <v>0</v>
      </c>
      <c r="Y481" s="27">
        <v>0</v>
      </c>
      <c r="Z481" s="27">
        <f t="shared" si="40"/>
        <v>0</v>
      </c>
      <c r="AA481" s="27">
        <v>0</v>
      </c>
      <c r="AB481" s="28">
        <v>0</v>
      </c>
      <c r="AC481" s="27">
        <f>0.77489774/1.18</f>
        <v>0.65669300000000008</v>
      </c>
      <c r="AD481" s="28">
        <f>0.7748981294/1.18</f>
        <v>0.65669333000000008</v>
      </c>
      <c r="AE481" s="27">
        <v>0</v>
      </c>
      <c r="AF481" s="28">
        <v>0</v>
      </c>
      <c r="AG481" s="27">
        <v>0</v>
      </c>
      <c r="AH481" s="28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f t="shared" si="44"/>
        <v>0.65669333000000008</v>
      </c>
      <c r="AN481" s="27">
        <f t="shared" si="43"/>
        <v>0.65669333000000008</v>
      </c>
      <c r="AO481" s="35" t="s">
        <v>1435</v>
      </c>
    </row>
    <row r="482" spans="1:41" ht="31.5" customHeight="1" x14ac:dyDescent="0.25">
      <c r="A482" s="8" t="s">
        <v>96</v>
      </c>
      <c r="B482" s="39" t="s">
        <v>902</v>
      </c>
      <c r="C482" s="29" t="s">
        <v>903</v>
      </c>
      <c r="D482" s="38" t="s">
        <v>1481</v>
      </c>
      <c r="E482" s="30">
        <v>2015</v>
      </c>
      <c r="F482" s="30">
        <v>2015</v>
      </c>
      <c r="G482" s="30" t="s">
        <v>1435</v>
      </c>
      <c r="H482" s="27">
        <v>1.240807799442897E-2</v>
      </c>
      <c r="I482" s="27">
        <v>6.9430612813370478E-3</v>
      </c>
      <c r="J482" s="27">
        <v>0</v>
      </c>
      <c r="K482" s="27">
        <v>8.9090000000000003E-2</v>
      </c>
      <c r="L482" s="27">
        <v>2.537E-2</v>
      </c>
      <c r="M482" s="27">
        <v>3.6200000000000003E-2</v>
      </c>
      <c r="N482" s="27">
        <v>2.7519999999999999E-2</v>
      </c>
      <c r="O482" s="27">
        <v>0</v>
      </c>
      <c r="P482" s="27">
        <v>4.9851180000000002E-2</v>
      </c>
      <c r="Q482" s="27">
        <v>2.5372540000000002E-2</v>
      </c>
      <c r="R482" s="27">
        <v>8.1543399999999995E-3</v>
      </c>
      <c r="S482" s="27">
        <v>1.63243E-2</v>
      </c>
      <c r="T482" s="27">
        <v>0</v>
      </c>
      <c r="U482" s="27">
        <v>1.240807799442897E-2</v>
      </c>
      <c r="V482" s="27">
        <v>8.9090000000000003E-2</v>
      </c>
      <c r="W482" s="27">
        <v>0</v>
      </c>
      <c r="X482" s="27">
        <f t="shared" si="41"/>
        <v>0</v>
      </c>
      <c r="Y482" s="27">
        <v>0</v>
      </c>
      <c r="Z482" s="27">
        <f t="shared" si="40"/>
        <v>0</v>
      </c>
      <c r="AA482" s="27">
        <v>0</v>
      </c>
      <c r="AB482" s="28">
        <v>0</v>
      </c>
      <c r="AC482" s="27">
        <f>0.1051262/1.18</f>
        <v>8.9090000000000003E-2</v>
      </c>
      <c r="AD482" s="28">
        <f>0.0588243924/1.18</f>
        <v>4.9851180000000002E-2</v>
      </c>
      <c r="AE482" s="27">
        <v>0</v>
      </c>
      <c r="AF482" s="28">
        <v>0</v>
      </c>
      <c r="AG482" s="27">
        <v>0</v>
      </c>
      <c r="AH482" s="28">
        <v>0</v>
      </c>
      <c r="AI482" s="27">
        <v>0</v>
      </c>
      <c r="AJ482" s="27">
        <v>0</v>
      </c>
      <c r="AK482" s="27">
        <v>0</v>
      </c>
      <c r="AL482" s="27">
        <v>0</v>
      </c>
      <c r="AM482" s="27">
        <f t="shared" si="44"/>
        <v>4.9851180000000002E-2</v>
      </c>
      <c r="AN482" s="27">
        <f t="shared" si="43"/>
        <v>4.9851180000000002E-2</v>
      </c>
      <c r="AO482" s="35" t="s">
        <v>1486</v>
      </c>
    </row>
    <row r="483" spans="1:41" ht="31.5" customHeight="1" x14ac:dyDescent="0.25">
      <c r="A483" s="8" t="s">
        <v>96</v>
      </c>
      <c r="B483" s="39" t="s">
        <v>904</v>
      </c>
      <c r="C483" s="29" t="s">
        <v>905</v>
      </c>
      <c r="D483" s="38" t="s">
        <v>1481</v>
      </c>
      <c r="E483" s="30">
        <v>2015</v>
      </c>
      <c r="F483" s="30">
        <v>2015</v>
      </c>
      <c r="G483" s="30" t="s">
        <v>1435</v>
      </c>
      <c r="H483" s="27">
        <v>5.8149025069637886E-2</v>
      </c>
      <c r="I483" s="27">
        <v>5.5383233983286914E-2</v>
      </c>
      <c r="J483" s="27">
        <v>0</v>
      </c>
      <c r="K483" s="27">
        <v>0.41750999999999999</v>
      </c>
      <c r="L483" s="27">
        <v>2.5541000000000001E-2</v>
      </c>
      <c r="M483" s="27">
        <v>0.32858499999999996</v>
      </c>
      <c r="N483" s="27">
        <v>6.3386999999999999E-2</v>
      </c>
      <c r="O483" s="27">
        <v>0</v>
      </c>
      <c r="P483" s="27">
        <v>0.39765162000000004</v>
      </c>
      <c r="Q483" s="27">
        <v>2.4140999999999999E-2</v>
      </c>
      <c r="R483" s="27">
        <v>0.32850827999999999</v>
      </c>
      <c r="S483" s="27">
        <v>4.5002339999999995E-2</v>
      </c>
      <c r="T483" s="27">
        <v>0</v>
      </c>
      <c r="U483" s="27">
        <v>5.8149025069637886E-2</v>
      </c>
      <c r="V483" s="27">
        <v>0.41750999999999999</v>
      </c>
      <c r="W483" s="27">
        <v>0</v>
      </c>
      <c r="X483" s="27">
        <f t="shared" si="41"/>
        <v>0</v>
      </c>
      <c r="Y483" s="27">
        <v>0</v>
      </c>
      <c r="Z483" s="27">
        <f t="shared" si="40"/>
        <v>0</v>
      </c>
      <c r="AA483" s="27">
        <v>0</v>
      </c>
      <c r="AB483" s="28">
        <v>0</v>
      </c>
      <c r="AC483" s="27">
        <f>0.4926618/1.18</f>
        <v>0.41750999999999999</v>
      </c>
      <c r="AD483" s="28">
        <f>0.4692289116/1.18</f>
        <v>0.39765162000000004</v>
      </c>
      <c r="AE483" s="27">
        <v>0</v>
      </c>
      <c r="AF483" s="28">
        <v>0</v>
      </c>
      <c r="AG483" s="27">
        <v>0</v>
      </c>
      <c r="AH483" s="28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f t="shared" si="44"/>
        <v>0.39765162000000004</v>
      </c>
      <c r="AN483" s="27">
        <f t="shared" si="43"/>
        <v>0.39765162000000004</v>
      </c>
      <c r="AO483" s="35" t="s">
        <v>1486</v>
      </c>
    </row>
    <row r="484" spans="1:41" ht="31.5" customHeight="1" x14ac:dyDescent="0.25">
      <c r="A484" s="8" t="s">
        <v>96</v>
      </c>
      <c r="B484" s="39" t="s">
        <v>906</v>
      </c>
      <c r="C484" s="29" t="s">
        <v>907</v>
      </c>
      <c r="D484" s="38" t="s">
        <v>1481</v>
      </c>
      <c r="E484" s="30">
        <v>2015</v>
      </c>
      <c r="F484" s="30">
        <v>2015</v>
      </c>
      <c r="G484" s="30" t="s">
        <v>1435</v>
      </c>
      <c r="H484" s="27">
        <v>0.24468105849582172</v>
      </c>
      <c r="I484" s="27">
        <v>0.2323808718662953</v>
      </c>
      <c r="J484" s="27">
        <v>0</v>
      </c>
      <c r="K484" s="27">
        <v>1.75681</v>
      </c>
      <c r="L484" s="27">
        <v>4.3290000000000002E-2</v>
      </c>
      <c r="M484" s="27">
        <v>1.5014400000000001</v>
      </c>
      <c r="N484" s="27">
        <v>0.21208000000000002</v>
      </c>
      <c r="O484" s="27">
        <v>0</v>
      </c>
      <c r="P484" s="27">
        <v>1.6684946600000001</v>
      </c>
      <c r="Q484" s="27">
        <v>4.3254550000000003E-2</v>
      </c>
      <c r="R484" s="27">
        <v>1.4293157400000001</v>
      </c>
      <c r="S484" s="27">
        <v>0.19592437000000001</v>
      </c>
      <c r="T484" s="27">
        <v>0</v>
      </c>
      <c r="U484" s="27">
        <v>0.24468105849582172</v>
      </c>
      <c r="V484" s="27">
        <v>1.75681</v>
      </c>
      <c r="W484" s="27">
        <v>0</v>
      </c>
      <c r="X484" s="27">
        <f t="shared" si="41"/>
        <v>0</v>
      </c>
      <c r="Y484" s="27">
        <v>0</v>
      </c>
      <c r="Z484" s="27">
        <f t="shared" si="40"/>
        <v>0</v>
      </c>
      <c r="AA484" s="27">
        <v>0</v>
      </c>
      <c r="AB484" s="28">
        <v>0</v>
      </c>
      <c r="AC484" s="27">
        <f>2.0730358/1.18</f>
        <v>1.75681</v>
      </c>
      <c r="AD484" s="28">
        <f>1.9688236988/1.18</f>
        <v>1.6684946600000001</v>
      </c>
      <c r="AE484" s="27">
        <v>0</v>
      </c>
      <c r="AF484" s="28">
        <v>0</v>
      </c>
      <c r="AG484" s="27">
        <v>0</v>
      </c>
      <c r="AH484" s="28">
        <v>0</v>
      </c>
      <c r="AI484" s="27">
        <v>0</v>
      </c>
      <c r="AJ484" s="27">
        <v>0</v>
      </c>
      <c r="AK484" s="27">
        <v>0</v>
      </c>
      <c r="AL484" s="27">
        <v>0</v>
      </c>
      <c r="AM484" s="27">
        <f t="shared" si="44"/>
        <v>1.6684946600000001</v>
      </c>
      <c r="AN484" s="27">
        <f t="shared" si="43"/>
        <v>1.6684946600000001</v>
      </c>
      <c r="AO484" s="35" t="s">
        <v>1486</v>
      </c>
    </row>
    <row r="485" spans="1:41" ht="31.5" customHeight="1" x14ac:dyDescent="0.25">
      <c r="A485" s="8" t="s">
        <v>96</v>
      </c>
      <c r="B485" s="39" t="s">
        <v>908</v>
      </c>
      <c r="C485" s="29" t="s">
        <v>909</v>
      </c>
      <c r="D485" s="38" t="s">
        <v>1481</v>
      </c>
      <c r="E485" s="30">
        <v>2015</v>
      </c>
      <c r="F485" s="30">
        <v>2015</v>
      </c>
      <c r="G485" s="30" t="s">
        <v>1435</v>
      </c>
      <c r="H485" s="27">
        <v>0.24531155988857942</v>
      </c>
      <c r="I485" s="27">
        <v>0.19407996518105849</v>
      </c>
      <c r="J485" s="27">
        <v>0</v>
      </c>
      <c r="K485" s="27">
        <v>1.7613370000000002</v>
      </c>
      <c r="L485" s="27">
        <v>4.8627000000000004E-2</v>
      </c>
      <c r="M485" s="27">
        <v>1.3603399999999999</v>
      </c>
      <c r="N485" s="27">
        <v>0.35237000000000002</v>
      </c>
      <c r="O485" s="27">
        <v>0</v>
      </c>
      <c r="P485" s="27">
        <v>1.39349415</v>
      </c>
      <c r="Q485" s="27">
        <v>4.8631000000000001E-2</v>
      </c>
      <c r="R485" s="27">
        <v>1.3448631499999999</v>
      </c>
      <c r="S485" s="27">
        <v>0</v>
      </c>
      <c r="T485" s="27">
        <v>0</v>
      </c>
      <c r="U485" s="27">
        <v>0.24531155988857942</v>
      </c>
      <c r="V485" s="27">
        <v>1.7613370000000002</v>
      </c>
      <c r="W485" s="27">
        <v>0</v>
      </c>
      <c r="X485" s="27">
        <f t="shared" si="41"/>
        <v>0</v>
      </c>
      <c r="Y485" s="27">
        <v>0</v>
      </c>
      <c r="Z485" s="27">
        <f t="shared" si="40"/>
        <v>0</v>
      </c>
      <c r="AA485" s="27">
        <v>0</v>
      </c>
      <c r="AB485" s="28">
        <v>0</v>
      </c>
      <c r="AC485" s="27">
        <f>2.07837766/1.18</f>
        <v>1.7613370000000002</v>
      </c>
      <c r="AD485" s="28">
        <v>0</v>
      </c>
      <c r="AE485" s="27">
        <v>0</v>
      </c>
      <c r="AF485" s="28">
        <f>1.644323097/1.18</f>
        <v>1.39349415</v>
      </c>
      <c r="AG485" s="27">
        <v>0</v>
      </c>
      <c r="AH485" s="28">
        <v>0</v>
      </c>
      <c r="AI485" s="27">
        <v>0</v>
      </c>
      <c r="AJ485" s="27">
        <v>0</v>
      </c>
      <c r="AK485" s="27">
        <v>0</v>
      </c>
      <c r="AL485" s="27">
        <v>0</v>
      </c>
      <c r="AM485" s="27">
        <f t="shared" si="44"/>
        <v>1.39349415</v>
      </c>
      <c r="AN485" s="27">
        <f t="shared" si="43"/>
        <v>1.39349415</v>
      </c>
      <c r="AO485" s="35" t="s">
        <v>1486</v>
      </c>
    </row>
    <row r="486" spans="1:41" ht="31.5" customHeight="1" x14ac:dyDescent="0.25">
      <c r="A486" s="8" t="s">
        <v>96</v>
      </c>
      <c r="B486" s="39" t="s">
        <v>910</v>
      </c>
      <c r="C486" s="29" t="s">
        <v>911</v>
      </c>
      <c r="D486" s="38" t="s">
        <v>1481</v>
      </c>
      <c r="E486" s="30">
        <v>2015</v>
      </c>
      <c r="F486" s="30">
        <v>2015</v>
      </c>
      <c r="G486" s="30" t="s">
        <v>1435</v>
      </c>
      <c r="H486" s="27">
        <v>0.19876601671309194</v>
      </c>
      <c r="I486" s="27">
        <v>0.13911001392757663</v>
      </c>
      <c r="J486" s="27">
        <v>0</v>
      </c>
      <c r="K486" s="27">
        <v>1.4271400000000001</v>
      </c>
      <c r="L486" s="27">
        <v>5.2690000000000001E-2</v>
      </c>
      <c r="M486" s="27">
        <v>1.091712</v>
      </c>
      <c r="N486" s="27">
        <v>0.28273999999999999</v>
      </c>
      <c r="O486" s="27">
        <v>0</v>
      </c>
      <c r="P486" s="27">
        <v>0.99880990000000014</v>
      </c>
      <c r="Q486" s="27">
        <v>5.269186E-2</v>
      </c>
      <c r="R486" s="27">
        <v>0.76351756999999998</v>
      </c>
      <c r="S486" s="27">
        <v>0.18260047000000001</v>
      </c>
      <c r="T486" s="27">
        <v>0</v>
      </c>
      <c r="U486" s="27">
        <v>0.19876601671309194</v>
      </c>
      <c r="V486" s="27">
        <v>1.4271400000000001</v>
      </c>
      <c r="W486" s="27">
        <v>0</v>
      </c>
      <c r="X486" s="27">
        <f t="shared" si="41"/>
        <v>0</v>
      </c>
      <c r="Y486" s="27">
        <v>0</v>
      </c>
      <c r="Z486" s="27">
        <f t="shared" si="40"/>
        <v>0</v>
      </c>
      <c r="AA486" s="27">
        <v>0</v>
      </c>
      <c r="AB486" s="28">
        <v>0</v>
      </c>
      <c r="AC486" s="27">
        <f>1.6840252/1.18</f>
        <v>1.4271400000000001</v>
      </c>
      <c r="AD486" s="28">
        <f>1.178595682/1.18</f>
        <v>0.99880990000000014</v>
      </c>
      <c r="AE486" s="27">
        <v>0</v>
      </c>
      <c r="AF486" s="28">
        <v>0</v>
      </c>
      <c r="AG486" s="27">
        <v>0</v>
      </c>
      <c r="AH486" s="28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f t="shared" si="44"/>
        <v>0.99880990000000014</v>
      </c>
      <c r="AN486" s="27">
        <f t="shared" si="43"/>
        <v>0.99880990000000014</v>
      </c>
      <c r="AO486" s="35" t="s">
        <v>1486</v>
      </c>
    </row>
    <row r="487" spans="1:41" ht="31.5" customHeight="1" x14ac:dyDescent="0.25">
      <c r="A487" s="8" t="s">
        <v>96</v>
      </c>
      <c r="B487" s="39" t="s">
        <v>912</v>
      </c>
      <c r="C487" s="29" t="s">
        <v>913</v>
      </c>
      <c r="D487" s="38" t="s">
        <v>1481</v>
      </c>
      <c r="E487" s="30">
        <v>2015</v>
      </c>
      <c r="F487" s="30">
        <v>2015</v>
      </c>
      <c r="G487" s="30" t="s">
        <v>1435</v>
      </c>
      <c r="H487" s="27">
        <v>0.11027896935933149</v>
      </c>
      <c r="I487" s="27">
        <v>0.10377692757660167</v>
      </c>
      <c r="J487" s="27">
        <v>0</v>
      </c>
      <c r="K487" s="27">
        <v>0.79180300000000003</v>
      </c>
      <c r="L487" s="27">
        <v>3.3972999999999996E-2</v>
      </c>
      <c r="M487" s="27">
        <v>0.63124000000000002</v>
      </c>
      <c r="N487" s="27">
        <v>0.12659000000000001</v>
      </c>
      <c r="O487" s="27">
        <v>0</v>
      </c>
      <c r="P487" s="27">
        <v>0.74511833999999999</v>
      </c>
      <c r="Q487" s="27">
        <v>3.3968749999999999E-2</v>
      </c>
      <c r="R487" s="27">
        <v>0.71114959</v>
      </c>
      <c r="S487" s="27">
        <v>0</v>
      </c>
      <c r="T487" s="27">
        <v>0</v>
      </c>
      <c r="U487" s="27">
        <v>0.11027896935933149</v>
      </c>
      <c r="V487" s="27">
        <v>0.79180300000000003</v>
      </c>
      <c r="W487" s="27">
        <v>0</v>
      </c>
      <c r="X487" s="27">
        <f t="shared" si="41"/>
        <v>0</v>
      </c>
      <c r="Y487" s="27">
        <v>0</v>
      </c>
      <c r="Z487" s="27">
        <f t="shared" si="40"/>
        <v>0</v>
      </c>
      <c r="AA487" s="27">
        <v>0</v>
      </c>
      <c r="AB487" s="28">
        <v>0</v>
      </c>
      <c r="AC487" s="27">
        <f>0.93432754/1.18</f>
        <v>0.79180300000000003</v>
      </c>
      <c r="AD487" s="28">
        <f>0.8792396412/1.18</f>
        <v>0.74511833999999999</v>
      </c>
      <c r="AE487" s="27">
        <v>0</v>
      </c>
      <c r="AF487" s="28">
        <v>0</v>
      </c>
      <c r="AG487" s="27">
        <v>0</v>
      </c>
      <c r="AH487" s="28">
        <v>0</v>
      </c>
      <c r="AI487" s="27">
        <v>0</v>
      </c>
      <c r="AJ487" s="27">
        <v>0</v>
      </c>
      <c r="AK487" s="27">
        <v>0</v>
      </c>
      <c r="AL487" s="27">
        <v>0</v>
      </c>
      <c r="AM487" s="27">
        <f t="shared" si="44"/>
        <v>0.74511833999999999</v>
      </c>
      <c r="AN487" s="27">
        <f t="shared" si="43"/>
        <v>0.74511833999999999</v>
      </c>
      <c r="AO487" s="35" t="s">
        <v>1486</v>
      </c>
    </row>
    <row r="488" spans="1:41" ht="31.5" customHeight="1" x14ac:dyDescent="0.25">
      <c r="A488" s="8" t="s">
        <v>96</v>
      </c>
      <c r="B488" s="39" t="s">
        <v>914</v>
      </c>
      <c r="C488" s="29" t="s">
        <v>915</v>
      </c>
      <c r="D488" s="38" t="s">
        <v>1481</v>
      </c>
      <c r="E488" s="30">
        <v>2015</v>
      </c>
      <c r="F488" s="30">
        <v>2015</v>
      </c>
      <c r="G488" s="30" t="s">
        <v>1435</v>
      </c>
      <c r="H488" s="27">
        <v>0.21887325905292482</v>
      </c>
      <c r="I488" s="27">
        <v>0.21326177019498607</v>
      </c>
      <c r="J488" s="27">
        <v>0</v>
      </c>
      <c r="K488" s="27">
        <v>1.5715100000000002</v>
      </c>
      <c r="L488" s="27">
        <v>5.2690000000000001E-2</v>
      </c>
      <c r="M488" s="27">
        <v>1.26433</v>
      </c>
      <c r="N488" s="27">
        <v>0.25448999999999999</v>
      </c>
      <c r="O488" s="27">
        <v>0</v>
      </c>
      <c r="P488" s="27">
        <v>1.5312195099999999</v>
      </c>
      <c r="Q488" s="27">
        <v>5.269186E-2</v>
      </c>
      <c r="R488" s="27">
        <v>1.23559744</v>
      </c>
      <c r="S488" s="27">
        <v>0.24293020999999998</v>
      </c>
      <c r="T488" s="27">
        <v>0</v>
      </c>
      <c r="U488" s="27">
        <v>0.21887325905292482</v>
      </c>
      <c r="V488" s="27">
        <v>1.5715100000000002</v>
      </c>
      <c r="W488" s="27">
        <v>0</v>
      </c>
      <c r="X488" s="27">
        <f t="shared" si="41"/>
        <v>0</v>
      </c>
      <c r="Y488" s="27">
        <v>0</v>
      </c>
      <c r="Z488" s="27">
        <f t="shared" si="40"/>
        <v>0</v>
      </c>
      <c r="AA488" s="27">
        <v>0</v>
      </c>
      <c r="AB488" s="28">
        <v>0</v>
      </c>
      <c r="AC488" s="27">
        <f>1.8543818/1.18</f>
        <v>1.5715100000000002</v>
      </c>
      <c r="AD488" s="28">
        <f>1.8068390218/1.18</f>
        <v>1.5312195099999999</v>
      </c>
      <c r="AE488" s="27">
        <v>0</v>
      </c>
      <c r="AF488" s="28">
        <v>0</v>
      </c>
      <c r="AG488" s="27">
        <v>0</v>
      </c>
      <c r="AH488" s="28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f t="shared" si="44"/>
        <v>1.5312195099999999</v>
      </c>
      <c r="AN488" s="27">
        <f t="shared" si="43"/>
        <v>1.5312195099999999</v>
      </c>
      <c r="AO488" s="35" t="s">
        <v>1489</v>
      </c>
    </row>
    <row r="489" spans="1:41" ht="31.5" customHeight="1" x14ac:dyDescent="0.25">
      <c r="A489" s="8" t="s">
        <v>96</v>
      </c>
      <c r="B489" s="39" t="s">
        <v>916</v>
      </c>
      <c r="C489" s="29" t="s">
        <v>917</v>
      </c>
      <c r="D489" s="38" t="s">
        <v>1481</v>
      </c>
      <c r="E489" s="30">
        <v>2015</v>
      </c>
      <c r="F489" s="30">
        <v>2015</v>
      </c>
      <c r="G489" s="30" t="s">
        <v>1435</v>
      </c>
      <c r="H489" s="27">
        <v>0.30715320334261842</v>
      </c>
      <c r="I489" s="27">
        <v>0.28172723955431761</v>
      </c>
      <c r="J489" s="27">
        <v>0</v>
      </c>
      <c r="K489" s="27">
        <v>2.2053600000000002</v>
      </c>
      <c r="L489" s="27">
        <v>8.3580000000000002E-2</v>
      </c>
      <c r="M489" s="27">
        <v>1.65568</v>
      </c>
      <c r="N489" s="27">
        <v>0.46610000000000001</v>
      </c>
      <c r="O489" s="27">
        <v>0</v>
      </c>
      <c r="P489" s="27">
        <v>2.0228015800000003</v>
      </c>
      <c r="Q489" s="27">
        <v>8.3581500000000003E-2</v>
      </c>
      <c r="R489" s="27">
        <v>1.65561884</v>
      </c>
      <c r="S489" s="27">
        <v>0.28360124000000003</v>
      </c>
      <c r="T489" s="27">
        <v>0</v>
      </c>
      <c r="U489" s="27">
        <v>0.30715320334261842</v>
      </c>
      <c r="V489" s="27">
        <v>2.2053600000000002</v>
      </c>
      <c r="W489" s="27">
        <v>0</v>
      </c>
      <c r="X489" s="27">
        <f t="shared" si="41"/>
        <v>0</v>
      </c>
      <c r="Y489" s="27">
        <v>0</v>
      </c>
      <c r="Z489" s="27">
        <f t="shared" si="40"/>
        <v>0</v>
      </c>
      <c r="AA489" s="27">
        <v>0</v>
      </c>
      <c r="AB489" s="28">
        <v>0</v>
      </c>
      <c r="AC489" s="27">
        <f>2.6023248/1.18</f>
        <v>2.2053600000000002</v>
      </c>
      <c r="AD489" s="28">
        <f>2.3869058644/1.18</f>
        <v>2.0228015800000003</v>
      </c>
      <c r="AE489" s="27">
        <v>0</v>
      </c>
      <c r="AF489" s="28">
        <v>0</v>
      </c>
      <c r="AG489" s="27">
        <v>0</v>
      </c>
      <c r="AH489" s="28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f t="shared" si="44"/>
        <v>2.0228015800000003</v>
      </c>
      <c r="AN489" s="27">
        <f t="shared" si="43"/>
        <v>2.0228015800000003</v>
      </c>
      <c r="AO489" s="35" t="s">
        <v>1435</v>
      </c>
    </row>
    <row r="490" spans="1:41" ht="31.5" customHeight="1" x14ac:dyDescent="0.25">
      <c r="A490" s="8" t="s">
        <v>96</v>
      </c>
      <c r="B490" s="39" t="s">
        <v>918</v>
      </c>
      <c r="C490" s="29" t="s">
        <v>919</v>
      </c>
      <c r="D490" s="38" t="s">
        <v>1481</v>
      </c>
      <c r="E490" s="30">
        <v>2015</v>
      </c>
      <c r="F490" s="30">
        <v>2015</v>
      </c>
      <c r="G490" s="30" t="s">
        <v>1435</v>
      </c>
      <c r="H490" s="27">
        <v>7.1545961002785527E-2</v>
      </c>
      <c r="I490" s="27">
        <v>5.1892034818941501E-2</v>
      </c>
      <c r="J490" s="27">
        <v>0</v>
      </c>
      <c r="K490" s="27">
        <v>0.51370000000000005</v>
      </c>
      <c r="L490" s="27">
        <v>2.554E-2</v>
      </c>
      <c r="M490" s="27">
        <v>0.28808</v>
      </c>
      <c r="N490" s="27">
        <v>0.20008000000000001</v>
      </c>
      <c r="O490" s="27">
        <v>0</v>
      </c>
      <c r="P490" s="27">
        <v>0.37258480999999999</v>
      </c>
      <c r="Q490" s="27">
        <v>2.5539599999999999E-2</v>
      </c>
      <c r="R490" s="27">
        <v>0.28790566000000001</v>
      </c>
      <c r="S490" s="27">
        <v>5.9139549999999999E-2</v>
      </c>
      <c r="T490" s="27">
        <v>0</v>
      </c>
      <c r="U490" s="27">
        <v>7.1545961002785527E-2</v>
      </c>
      <c r="V490" s="27">
        <v>0.51370000000000005</v>
      </c>
      <c r="W490" s="27">
        <v>0</v>
      </c>
      <c r="X490" s="27">
        <f t="shared" si="41"/>
        <v>0</v>
      </c>
      <c r="Y490" s="27">
        <v>0</v>
      </c>
      <c r="Z490" s="27">
        <f t="shared" si="40"/>
        <v>0</v>
      </c>
      <c r="AA490" s="27">
        <v>0</v>
      </c>
      <c r="AB490" s="28">
        <v>0</v>
      </c>
      <c r="AC490" s="27">
        <f>0.606166/1.18</f>
        <v>0.51370000000000005</v>
      </c>
      <c r="AD490" s="28">
        <f>0.4396500758/1.18</f>
        <v>0.37258480999999999</v>
      </c>
      <c r="AE490" s="27">
        <v>0</v>
      </c>
      <c r="AF490" s="28">
        <v>0</v>
      </c>
      <c r="AG490" s="27">
        <v>0</v>
      </c>
      <c r="AH490" s="28">
        <v>0</v>
      </c>
      <c r="AI490" s="27">
        <v>0</v>
      </c>
      <c r="AJ490" s="27">
        <v>0</v>
      </c>
      <c r="AK490" s="27">
        <v>0</v>
      </c>
      <c r="AL490" s="27">
        <v>0</v>
      </c>
      <c r="AM490" s="27">
        <f t="shared" si="44"/>
        <v>0.37258480999999999</v>
      </c>
      <c r="AN490" s="27">
        <f t="shared" si="43"/>
        <v>0.37258480999999999</v>
      </c>
      <c r="AO490" s="35" t="s">
        <v>1486</v>
      </c>
    </row>
    <row r="491" spans="1:41" ht="31.5" customHeight="1" x14ac:dyDescent="0.25">
      <c r="A491" s="8" t="s">
        <v>96</v>
      </c>
      <c r="B491" s="39" t="s">
        <v>920</v>
      </c>
      <c r="C491" s="29" t="s">
        <v>921</v>
      </c>
      <c r="D491" s="38" t="s">
        <v>1481</v>
      </c>
      <c r="E491" s="30">
        <v>2015</v>
      </c>
      <c r="F491" s="30">
        <v>2015</v>
      </c>
      <c r="G491" s="30" t="s">
        <v>1435</v>
      </c>
      <c r="H491" s="27">
        <v>0.23330125348189415</v>
      </c>
      <c r="I491" s="27">
        <v>0.21610702089136494</v>
      </c>
      <c r="J491" s="27">
        <v>0</v>
      </c>
      <c r="K491" s="27">
        <v>1.675103</v>
      </c>
      <c r="L491" s="27">
        <v>3.2532999999999999E-2</v>
      </c>
      <c r="M491" s="27">
        <v>1.2781600000000002</v>
      </c>
      <c r="N491" s="27">
        <v>0.36441000000000001</v>
      </c>
      <c r="O491" s="27">
        <v>0</v>
      </c>
      <c r="P491" s="27">
        <v>1.5516484100000001</v>
      </c>
      <c r="Q491" s="27">
        <v>3.2532600000000002E-2</v>
      </c>
      <c r="R491" s="27">
        <v>1.27798268</v>
      </c>
      <c r="S491" s="27">
        <v>0.24113313</v>
      </c>
      <c r="T491" s="27">
        <v>0</v>
      </c>
      <c r="U491" s="27">
        <v>0.23330125348189415</v>
      </c>
      <c r="V491" s="27">
        <v>1.675103</v>
      </c>
      <c r="W491" s="27">
        <v>0</v>
      </c>
      <c r="X491" s="27">
        <f t="shared" si="41"/>
        <v>0</v>
      </c>
      <c r="Y491" s="27">
        <v>0</v>
      </c>
      <c r="Z491" s="27">
        <f t="shared" si="40"/>
        <v>0</v>
      </c>
      <c r="AA491" s="27">
        <v>0</v>
      </c>
      <c r="AB491" s="28">
        <v>0</v>
      </c>
      <c r="AC491" s="27">
        <f>1.97662154/1.18</f>
        <v>1.675103</v>
      </c>
      <c r="AD491" s="28">
        <f>1.8309451238/1.18</f>
        <v>1.5516484100000001</v>
      </c>
      <c r="AE491" s="27">
        <v>0</v>
      </c>
      <c r="AF491" s="28">
        <v>0</v>
      </c>
      <c r="AG491" s="27">
        <v>0</v>
      </c>
      <c r="AH491" s="28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f t="shared" si="44"/>
        <v>1.5516484100000001</v>
      </c>
      <c r="AN491" s="27">
        <f t="shared" si="43"/>
        <v>1.5516484100000001</v>
      </c>
      <c r="AO491" s="35" t="s">
        <v>1489</v>
      </c>
    </row>
    <row r="492" spans="1:41" ht="31.5" customHeight="1" x14ac:dyDescent="0.25">
      <c r="A492" s="8" t="s">
        <v>96</v>
      </c>
      <c r="B492" s="39" t="s">
        <v>922</v>
      </c>
      <c r="C492" s="29" t="s">
        <v>923</v>
      </c>
      <c r="D492" s="38" t="s">
        <v>1481</v>
      </c>
      <c r="E492" s="30">
        <v>2015</v>
      </c>
      <c r="F492" s="30">
        <v>2015</v>
      </c>
      <c r="G492" s="30" t="s">
        <v>1435</v>
      </c>
      <c r="H492" s="27">
        <v>0.18334651810584962</v>
      </c>
      <c r="I492" s="27">
        <v>0.15866998885793873</v>
      </c>
      <c r="J492" s="27">
        <v>0</v>
      </c>
      <c r="K492" s="27">
        <v>1.3164280000000002</v>
      </c>
      <c r="L492" s="27">
        <v>6.2018000000000004E-2</v>
      </c>
      <c r="M492" s="27">
        <v>0.70440999999999998</v>
      </c>
      <c r="N492" s="27">
        <v>0.55000000000000004</v>
      </c>
      <c r="O492" s="27">
        <v>0</v>
      </c>
      <c r="P492" s="27">
        <v>1.13925052</v>
      </c>
      <c r="Q492" s="27">
        <v>6.2015860000000006E-2</v>
      </c>
      <c r="R492" s="27">
        <v>0.56296709</v>
      </c>
      <c r="S492" s="27">
        <v>0.51426757000000001</v>
      </c>
      <c r="T492" s="27">
        <v>0</v>
      </c>
      <c r="U492" s="27">
        <v>0.18334651810584962</v>
      </c>
      <c r="V492" s="27">
        <v>1.3164280000000002</v>
      </c>
      <c r="W492" s="27">
        <v>0</v>
      </c>
      <c r="X492" s="27">
        <f t="shared" si="41"/>
        <v>0</v>
      </c>
      <c r="Y492" s="27">
        <v>0</v>
      </c>
      <c r="Z492" s="27">
        <f t="shared" si="40"/>
        <v>0</v>
      </c>
      <c r="AA492" s="27">
        <v>0</v>
      </c>
      <c r="AB492" s="28">
        <v>0</v>
      </c>
      <c r="AC492" s="27">
        <f>1.55338504/1.18</f>
        <v>1.3164280000000002</v>
      </c>
      <c r="AD492" s="28">
        <f>1.3443156136/1.18</f>
        <v>1.13925052</v>
      </c>
      <c r="AE492" s="27">
        <v>0</v>
      </c>
      <c r="AF492" s="28">
        <v>0</v>
      </c>
      <c r="AG492" s="27">
        <v>0</v>
      </c>
      <c r="AH492" s="28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f t="shared" si="44"/>
        <v>1.13925052</v>
      </c>
      <c r="AN492" s="27">
        <f t="shared" si="43"/>
        <v>1.13925052</v>
      </c>
      <c r="AO492" s="35" t="s">
        <v>1486</v>
      </c>
    </row>
    <row r="493" spans="1:41" ht="31.5" customHeight="1" x14ac:dyDescent="0.25">
      <c r="A493" s="8" t="s">
        <v>96</v>
      </c>
      <c r="B493" s="39" t="s">
        <v>924</v>
      </c>
      <c r="C493" s="29" t="s">
        <v>925</v>
      </c>
      <c r="D493" s="38" t="s">
        <v>1481</v>
      </c>
      <c r="E493" s="30">
        <v>2015</v>
      </c>
      <c r="F493" s="30">
        <v>2015</v>
      </c>
      <c r="G493" s="30" t="s">
        <v>1435</v>
      </c>
      <c r="H493" s="27">
        <v>0.40676253481894153</v>
      </c>
      <c r="I493" s="27">
        <v>0.35570995125348193</v>
      </c>
      <c r="J493" s="27">
        <v>0</v>
      </c>
      <c r="K493" s="27">
        <v>2.9205550000000002</v>
      </c>
      <c r="L493" s="27">
        <v>0.13180500000000001</v>
      </c>
      <c r="M493" s="27">
        <v>1.9578199999999999</v>
      </c>
      <c r="N493" s="27">
        <v>0.83092999999999995</v>
      </c>
      <c r="O493" s="27">
        <v>0</v>
      </c>
      <c r="P493" s="27">
        <v>2.5539974500000002</v>
      </c>
      <c r="Q493" s="27">
        <v>0.11547489</v>
      </c>
      <c r="R493" s="27">
        <v>1.61334428</v>
      </c>
      <c r="S493" s="27">
        <v>0.82517827999999993</v>
      </c>
      <c r="T493" s="27">
        <v>0</v>
      </c>
      <c r="U493" s="27">
        <v>0.40676253481894153</v>
      </c>
      <c r="V493" s="27">
        <v>2.9205550000000002</v>
      </c>
      <c r="W493" s="27">
        <v>0</v>
      </c>
      <c r="X493" s="27">
        <f t="shared" si="41"/>
        <v>0</v>
      </c>
      <c r="Y493" s="27">
        <v>0</v>
      </c>
      <c r="Z493" s="27">
        <f t="shared" si="40"/>
        <v>0</v>
      </c>
      <c r="AA493" s="27">
        <v>0</v>
      </c>
      <c r="AB493" s="28">
        <v>0</v>
      </c>
      <c r="AC493" s="27">
        <f>3.4462549/1.18</f>
        <v>2.9205550000000002</v>
      </c>
      <c r="AD493" s="28">
        <f>3.013716991/1.18</f>
        <v>2.5539974500000002</v>
      </c>
      <c r="AE493" s="27">
        <v>0</v>
      </c>
      <c r="AF493" s="28">
        <v>0</v>
      </c>
      <c r="AG493" s="27">
        <v>0</v>
      </c>
      <c r="AH493" s="28">
        <v>0</v>
      </c>
      <c r="AI493" s="27">
        <v>0</v>
      </c>
      <c r="AJ493" s="27">
        <v>0</v>
      </c>
      <c r="AK493" s="27">
        <v>0</v>
      </c>
      <c r="AL493" s="27">
        <v>0</v>
      </c>
      <c r="AM493" s="27">
        <f t="shared" si="44"/>
        <v>2.5539974500000002</v>
      </c>
      <c r="AN493" s="27">
        <f t="shared" si="43"/>
        <v>2.5539974500000002</v>
      </c>
      <c r="AO493" s="35" t="s">
        <v>1486</v>
      </c>
    </row>
    <row r="494" spans="1:41" ht="31.5" customHeight="1" x14ac:dyDescent="0.25">
      <c r="A494" s="8" t="s">
        <v>96</v>
      </c>
      <c r="B494" s="39" t="s">
        <v>926</v>
      </c>
      <c r="C494" s="29" t="s">
        <v>927</v>
      </c>
      <c r="D494" s="38" t="s">
        <v>1481</v>
      </c>
      <c r="E494" s="30">
        <v>2015</v>
      </c>
      <c r="F494" s="30">
        <v>2015</v>
      </c>
      <c r="G494" s="30" t="s">
        <v>1435</v>
      </c>
      <c r="H494" s="27">
        <v>0.85924721448467967</v>
      </c>
      <c r="I494" s="27">
        <v>0.86787269220055718</v>
      </c>
      <c r="J494" s="27">
        <v>0</v>
      </c>
      <c r="K494" s="27">
        <v>6.1693949999999997</v>
      </c>
      <c r="L494" s="27">
        <v>0.13375200000000001</v>
      </c>
      <c r="M494" s="27">
        <v>4.425478</v>
      </c>
      <c r="N494" s="27">
        <v>1.6101650000000001</v>
      </c>
      <c r="O494" s="27">
        <v>0</v>
      </c>
      <c r="P494" s="27">
        <v>6.2313259300000006</v>
      </c>
      <c r="Q494" s="27">
        <v>0.13374505</v>
      </c>
      <c r="R494" s="27">
        <v>4.4838116299999999</v>
      </c>
      <c r="S494" s="27">
        <v>1.61376925</v>
      </c>
      <c r="T494" s="27">
        <v>0</v>
      </c>
      <c r="U494" s="27">
        <v>0.85924721448467967</v>
      </c>
      <c r="V494" s="27">
        <v>6.1693949999999997</v>
      </c>
      <c r="W494" s="27">
        <v>0</v>
      </c>
      <c r="X494" s="27">
        <f t="shared" si="41"/>
        <v>0</v>
      </c>
      <c r="Y494" s="27">
        <v>0</v>
      </c>
      <c r="Z494" s="27">
        <f t="shared" si="40"/>
        <v>0</v>
      </c>
      <c r="AA494" s="27">
        <v>0</v>
      </c>
      <c r="AB494" s="28">
        <v>0</v>
      </c>
      <c r="AC494" s="27">
        <f>7.2798861/1.18</f>
        <v>6.1693949999999997</v>
      </c>
      <c r="AD494" s="28">
        <f>7.2812923178/1.18</f>
        <v>6.1705867100000003</v>
      </c>
      <c r="AE494" s="27">
        <v>0</v>
      </c>
      <c r="AF494" s="28">
        <v>6.0739220000000003E-2</v>
      </c>
      <c r="AG494" s="27">
        <v>0</v>
      </c>
      <c r="AH494" s="28">
        <v>0</v>
      </c>
      <c r="AI494" s="27">
        <v>0</v>
      </c>
      <c r="AJ494" s="27">
        <v>0</v>
      </c>
      <c r="AK494" s="27">
        <v>0</v>
      </c>
      <c r="AL494" s="27">
        <v>0</v>
      </c>
      <c r="AM494" s="27">
        <f t="shared" si="44"/>
        <v>6.2313259300000006</v>
      </c>
      <c r="AN494" s="27">
        <f t="shared" si="43"/>
        <v>6.2313259300000006</v>
      </c>
      <c r="AO494" s="35" t="s">
        <v>1435</v>
      </c>
    </row>
    <row r="495" spans="1:41" ht="67.5" customHeight="1" x14ac:dyDescent="0.25">
      <c r="A495" s="8" t="s">
        <v>96</v>
      </c>
      <c r="B495" s="39" t="s">
        <v>1403</v>
      </c>
      <c r="C495" s="29" t="s">
        <v>1404</v>
      </c>
      <c r="D495" s="38" t="s">
        <v>1481</v>
      </c>
      <c r="E495" s="30">
        <v>2015</v>
      </c>
      <c r="F495" s="30">
        <v>2015</v>
      </c>
      <c r="G495" s="30" t="s">
        <v>1435</v>
      </c>
      <c r="H495" s="27">
        <v>0</v>
      </c>
      <c r="I495" s="27">
        <v>0.156831647632312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1.1260512300000001</v>
      </c>
      <c r="Q495" s="27">
        <v>4.7489420000000004E-2</v>
      </c>
      <c r="R495" s="27">
        <v>1.0785618099999998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f t="shared" si="41"/>
        <v>0</v>
      </c>
      <c r="Y495" s="27">
        <v>0</v>
      </c>
      <c r="Z495" s="27">
        <f t="shared" si="40"/>
        <v>0</v>
      </c>
      <c r="AA495" s="27">
        <v>0</v>
      </c>
      <c r="AB495" s="28">
        <v>0</v>
      </c>
      <c r="AC495" s="27">
        <v>0</v>
      </c>
      <c r="AD495" s="28">
        <v>1.1260512300000001</v>
      </c>
      <c r="AE495" s="27">
        <v>0</v>
      </c>
      <c r="AF495" s="28">
        <v>0</v>
      </c>
      <c r="AG495" s="27">
        <v>0</v>
      </c>
      <c r="AH495" s="28">
        <v>0</v>
      </c>
      <c r="AI495" s="27">
        <v>0</v>
      </c>
      <c r="AJ495" s="27">
        <v>0</v>
      </c>
      <c r="AK495" s="27">
        <v>0</v>
      </c>
      <c r="AL495" s="27">
        <v>0</v>
      </c>
      <c r="AM495" s="27">
        <f t="shared" si="44"/>
        <v>1.1260512300000001</v>
      </c>
      <c r="AN495" s="27">
        <f t="shared" si="43"/>
        <v>1.1260512300000001</v>
      </c>
      <c r="AO495" s="35" t="s">
        <v>1485</v>
      </c>
    </row>
    <row r="496" spans="1:41" ht="60.75" customHeight="1" x14ac:dyDescent="0.25">
      <c r="A496" s="8" t="s">
        <v>96</v>
      </c>
      <c r="B496" s="39" t="s">
        <v>1405</v>
      </c>
      <c r="C496" s="29" t="s">
        <v>1406</v>
      </c>
      <c r="D496" s="38" t="s">
        <v>1481</v>
      </c>
      <c r="E496" s="30">
        <v>2015</v>
      </c>
      <c r="F496" s="30">
        <v>2015</v>
      </c>
      <c r="G496" s="30" t="s">
        <v>1435</v>
      </c>
      <c r="H496" s="27">
        <v>0</v>
      </c>
      <c r="I496" s="27">
        <v>6.6232384401114203E-2</v>
      </c>
      <c r="J496" s="27"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0.47554851999999997</v>
      </c>
      <c r="Q496" s="27">
        <v>5.1524430000000003E-2</v>
      </c>
      <c r="R496" s="27">
        <v>0.42402409000000002</v>
      </c>
      <c r="S496" s="27">
        <v>0</v>
      </c>
      <c r="T496" s="27">
        <v>0</v>
      </c>
      <c r="U496" s="27">
        <v>0</v>
      </c>
      <c r="V496" s="27">
        <v>0</v>
      </c>
      <c r="W496" s="27">
        <v>0</v>
      </c>
      <c r="X496" s="27">
        <f t="shared" si="41"/>
        <v>0</v>
      </c>
      <c r="Y496" s="27">
        <v>0</v>
      </c>
      <c r="Z496" s="27">
        <f t="shared" si="40"/>
        <v>0</v>
      </c>
      <c r="AA496" s="27">
        <v>0</v>
      </c>
      <c r="AB496" s="28">
        <v>0</v>
      </c>
      <c r="AC496" s="27">
        <v>0</v>
      </c>
      <c r="AD496" s="28">
        <v>0.47554851999999997</v>
      </c>
      <c r="AE496" s="27">
        <v>0</v>
      </c>
      <c r="AF496" s="28">
        <v>0</v>
      </c>
      <c r="AG496" s="27">
        <v>0</v>
      </c>
      <c r="AH496" s="28">
        <v>0</v>
      </c>
      <c r="AI496" s="27">
        <v>0</v>
      </c>
      <c r="AJ496" s="27">
        <v>0</v>
      </c>
      <c r="AK496" s="27">
        <v>0</v>
      </c>
      <c r="AL496" s="27">
        <v>0</v>
      </c>
      <c r="AM496" s="27">
        <f t="shared" si="44"/>
        <v>0.47554851999999997</v>
      </c>
      <c r="AN496" s="27">
        <f t="shared" si="43"/>
        <v>0.47554851999999997</v>
      </c>
      <c r="AO496" s="35" t="s">
        <v>1485</v>
      </c>
    </row>
    <row r="497" spans="1:41" ht="52.5" customHeight="1" x14ac:dyDescent="0.25">
      <c r="A497" s="8" t="s">
        <v>96</v>
      </c>
      <c r="B497" s="39" t="s">
        <v>1407</v>
      </c>
      <c r="C497" s="29" t="s">
        <v>1408</v>
      </c>
      <c r="D497" s="38" t="s">
        <v>1481</v>
      </c>
      <c r="E497" s="30">
        <v>2015</v>
      </c>
      <c r="F497" s="30">
        <v>2015</v>
      </c>
      <c r="G497" s="30" t="s">
        <v>1435</v>
      </c>
      <c r="H497" s="27">
        <v>0</v>
      </c>
      <c r="I497" s="27">
        <v>1.4724605849582174E-2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0.10572267</v>
      </c>
      <c r="Q497" s="27">
        <v>0</v>
      </c>
      <c r="R497" s="27">
        <v>0.10572266999999999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f t="shared" si="41"/>
        <v>0</v>
      </c>
      <c r="Y497" s="27">
        <v>0</v>
      </c>
      <c r="Z497" s="27">
        <f t="shared" si="40"/>
        <v>0</v>
      </c>
      <c r="AA497" s="27">
        <v>0</v>
      </c>
      <c r="AB497" s="28">
        <v>0</v>
      </c>
      <c r="AC497" s="27">
        <v>0</v>
      </c>
      <c r="AD497" s="28">
        <v>0.10572267</v>
      </c>
      <c r="AE497" s="27">
        <v>0</v>
      </c>
      <c r="AF497" s="28">
        <v>0</v>
      </c>
      <c r="AG497" s="27">
        <v>0</v>
      </c>
      <c r="AH497" s="28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f t="shared" si="44"/>
        <v>0.10572267</v>
      </c>
      <c r="AN497" s="27">
        <f t="shared" si="43"/>
        <v>0.10572267</v>
      </c>
      <c r="AO497" s="35" t="s">
        <v>1485</v>
      </c>
    </row>
    <row r="498" spans="1:41" ht="40.5" customHeight="1" x14ac:dyDescent="0.25">
      <c r="A498" s="8" t="s">
        <v>96</v>
      </c>
      <c r="B498" s="39" t="s">
        <v>1409</v>
      </c>
      <c r="C498" s="29" t="s">
        <v>1410</v>
      </c>
      <c r="D498" s="38" t="s">
        <v>1481</v>
      </c>
      <c r="E498" s="30">
        <v>2015</v>
      </c>
      <c r="F498" s="30">
        <v>2015</v>
      </c>
      <c r="G498" s="30" t="s">
        <v>1435</v>
      </c>
      <c r="H498" s="27">
        <v>0</v>
      </c>
      <c r="I498" s="27">
        <v>0.11802224094707522</v>
      </c>
      <c r="J498" s="27">
        <v>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0.84739969000000004</v>
      </c>
      <c r="Q498" s="27">
        <v>0</v>
      </c>
      <c r="R498" s="27">
        <v>0.84739968999999993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f t="shared" si="41"/>
        <v>0</v>
      </c>
      <c r="Y498" s="27">
        <v>0</v>
      </c>
      <c r="Z498" s="27">
        <f t="shared" si="40"/>
        <v>0</v>
      </c>
      <c r="AA498" s="27">
        <v>0</v>
      </c>
      <c r="AB498" s="28">
        <v>0</v>
      </c>
      <c r="AC498" s="27">
        <v>0</v>
      </c>
      <c r="AD498" s="28">
        <v>0.84739969000000004</v>
      </c>
      <c r="AE498" s="27">
        <v>0</v>
      </c>
      <c r="AF498" s="28">
        <v>0</v>
      </c>
      <c r="AG498" s="27">
        <v>0</v>
      </c>
      <c r="AH498" s="28">
        <v>0</v>
      </c>
      <c r="AI498" s="27">
        <v>0</v>
      </c>
      <c r="AJ498" s="27">
        <v>0</v>
      </c>
      <c r="AK498" s="27">
        <v>0</v>
      </c>
      <c r="AL498" s="27">
        <v>0</v>
      </c>
      <c r="AM498" s="27">
        <f t="shared" si="44"/>
        <v>0.84739969000000004</v>
      </c>
      <c r="AN498" s="27">
        <f t="shared" si="43"/>
        <v>0.84739969000000004</v>
      </c>
      <c r="AO498" s="35" t="s">
        <v>1489</v>
      </c>
    </row>
    <row r="499" spans="1:41" ht="31.5" customHeight="1" x14ac:dyDescent="0.25">
      <c r="A499" s="8" t="s">
        <v>96</v>
      </c>
      <c r="B499" s="39" t="s">
        <v>1411</v>
      </c>
      <c r="C499" s="29" t="s">
        <v>1412</v>
      </c>
      <c r="D499" s="38" t="s">
        <v>1481</v>
      </c>
      <c r="E499" s="30">
        <v>2015</v>
      </c>
      <c r="F499" s="30">
        <v>2015</v>
      </c>
      <c r="G499" s="30" t="s">
        <v>1435</v>
      </c>
      <c r="H499" s="27">
        <v>0</v>
      </c>
      <c r="I499" s="27">
        <v>6.6978495821727029E-3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4.8090560000000004E-2</v>
      </c>
      <c r="Q499" s="27">
        <v>0</v>
      </c>
      <c r="R499" s="27">
        <v>4.8090560000000004E-2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f t="shared" si="41"/>
        <v>0</v>
      </c>
      <c r="Y499" s="27">
        <v>0</v>
      </c>
      <c r="Z499" s="27">
        <f t="shared" si="40"/>
        <v>0</v>
      </c>
      <c r="AA499" s="27">
        <v>0</v>
      </c>
      <c r="AB499" s="28">
        <v>0</v>
      </c>
      <c r="AC499" s="27">
        <v>0</v>
      </c>
      <c r="AD499" s="28">
        <v>4.8090560000000004E-2</v>
      </c>
      <c r="AE499" s="27">
        <v>0</v>
      </c>
      <c r="AF499" s="28">
        <v>0</v>
      </c>
      <c r="AG499" s="27">
        <v>0</v>
      </c>
      <c r="AH499" s="28">
        <v>0</v>
      </c>
      <c r="AI499" s="27">
        <v>0</v>
      </c>
      <c r="AJ499" s="27">
        <v>0</v>
      </c>
      <c r="AK499" s="27">
        <v>0</v>
      </c>
      <c r="AL499" s="27">
        <v>0</v>
      </c>
      <c r="AM499" s="27">
        <f t="shared" si="44"/>
        <v>4.8090560000000004E-2</v>
      </c>
      <c r="AN499" s="27">
        <f t="shared" si="43"/>
        <v>4.8090560000000004E-2</v>
      </c>
      <c r="AO499" s="35" t="s">
        <v>1489</v>
      </c>
    </row>
    <row r="500" spans="1:41" ht="31.5" customHeight="1" x14ac:dyDescent="0.25">
      <c r="A500" s="8" t="s">
        <v>96</v>
      </c>
      <c r="B500" s="39" t="s">
        <v>1413</v>
      </c>
      <c r="C500" s="29" t="s">
        <v>1414</v>
      </c>
      <c r="D500" s="38" t="s">
        <v>1481</v>
      </c>
      <c r="E500" s="30">
        <v>2015</v>
      </c>
      <c r="F500" s="30">
        <v>2015</v>
      </c>
      <c r="G500" s="30" t="s">
        <v>1435</v>
      </c>
      <c r="H500" s="27">
        <v>0</v>
      </c>
      <c r="I500" s="27">
        <v>1.0299527855153204E-2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7.395061E-2</v>
      </c>
      <c r="Q500" s="27">
        <v>0</v>
      </c>
      <c r="R500" s="27">
        <v>7.395061E-2</v>
      </c>
      <c r="S500" s="27">
        <v>0</v>
      </c>
      <c r="T500" s="27">
        <v>0</v>
      </c>
      <c r="U500" s="27">
        <v>0</v>
      </c>
      <c r="V500" s="27">
        <v>0</v>
      </c>
      <c r="W500" s="27">
        <v>0</v>
      </c>
      <c r="X500" s="27">
        <f t="shared" si="41"/>
        <v>0</v>
      </c>
      <c r="Y500" s="27">
        <v>0</v>
      </c>
      <c r="Z500" s="27">
        <f t="shared" si="40"/>
        <v>0</v>
      </c>
      <c r="AA500" s="27">
        <v>0</v>
      </c>
      <c r="AB500" s="28">
        <v>0</v>
      </c>
      <c r="AC500" s="27">
        <v>0</v>
      </c>
      <c r="AD500" s="28">
        <v>7.395061E-2</v>
      </c>
      <c r="AE500" s="27">
        <v>0</v>
      </c>
      <c r="AF500" s="28">
        <v>0</v>
      </c>
      <c r="AG500" s="27">
        <v>0</v>
      </c>
      <c r="AH500" s="28">
        <v>0</v>
      </c>
      <c r="AI500" s="27">
        <v>0</v>
      </c>
      <c r="AJ500" s="27">
        <v>0</v>
      </c>
      <c r="AK500" s="27">
        <v>0</v>
      </c>
      <c r="AL500" s="27">
        <v>0</v>
      </c>
      <c r="AM500" s="27">
        <f t="shared" si="44"/>
        <v>7.395061E-2</v>
      </c>
      <c r="AN500" s="27">
        <f t="shared" si="43"/>
        <v>7.395061E-2</v>
      </c>
      <c r="AO500" s="35" t="s">
        <v>1489</v>
      </c>
    </row>
    <row r="501" spans="1:41" ht="31.5" customHeight="1" x14ac:dyDescent="0.25">
      <c r="A501" s="8" t="s">
        <v>96</v>
      </c>
      <c r="B501" s="39" t="s">
        <v>1415</v>
      </c>
      <c r="C501" s="29" t="s">
        <v>1416</v>
      </c>
      <c r="D501" s="38" t="s">
        <v>1481</v>
      </c>
      <c r="E501" s="30">
        <v>2015</v>
      </c>
      <c r="F501" s="30">
        <v>2015</v>
      </c>
      <c r="G501" s="30" t="s">
        <v>1435</v>
      </c>
      <c r="H501" s="27">
        <v>0</v>
      </c>
      <c r="I501" s="27">
        <v>3.4626922005571033E-3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2.486213E-2</v>
      </c>
      <c r="Q501" s="27">
        <v>0</v>
      </c>
      <c r="R501" s="27">
        <v>2.486213E-2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f t="shared" si="41"/>
        <v>0</v>
      </c>
      <c r="Y501" s="27">
        <v>0</v>
      </c>
      <c r="Z501" s="27">
        <f t="shared" si="40"/>
        <v>0</v>
      </c>
      <c r="AA501" s="27">
        <v>0</v>
      </c>
      <c r="AB501" s="28">
        <v>0</v>
      </c>
      <c r="AC501" s="27">
        <v>0</v>
      </c>
      <c r="AD501" s="28">
        <v>2.486213E-2</v>
      </c>
      <c r="AE501" s="27">
        <v>0</v>
      </c>
      <c r="AF501" s="28">
        <v>0</v>
      </c>
      <c r="AG501" s="27">
        <v>0</v>
      </c>
      <c r="AH501" s="28">
        <v>0</v>
      </c>
      <c r="AI501" s="27">
        <v>0</v>
      </c>
      <c r="AJ501" s="27">
        <v>0</v>
      </c>
      <c r="AK501" s="27">
        <v>0</v>
      </c>
      <c r="AL501" s="27">
        <v>0</v>
      </c>
      <c r="AM501" s="27">
        <f t="shared" si="44"/>
        <v>2.486213E-2</v>
      </c>
      <c r="AN501" s="27">
        <f t="shared" si="43"/>
        <v>2.486213E-2</v>
      </c>
      <c r="AO501" s="35" t="s">
        <v>1489</v>
      </c>
    </row>
    <row r="502" spans="1:41" ht="31.5" customHeight="1" x14ac:dyDescent="0.25">
      <c r="A502" s="8" t="s">
        <v>96</v>
      </c>
      <c r="B502" s="39" t="s">
        <v>1417</v>
      </c>
      <c r="C502" s="29" t="s">
        <v>1418</v>
      </c>
      <c r="D502" s="38" t="s">
        <v>1481</v>
      </c>
      <c r="E502" s="30">
        <v>2015</v>
      </c>
      <c r="F502" s="30">
        <v>2015</v>
      </c>
      <c r="G502" s="30" t="s">
        <v>1435</v>
      </c>
      <c r="H502" s="27">
        <v>0</v>
      </c>
      <c r="I502" s="27">
        <v>2.323984679665738E-3</v>
      </c>
      <c r="J502" s="27">
        <v>0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27">
        <v>1.668621E-2</v>
      </c>
      <c r="Q502" s="27">
        <v>0</v>
      </c>
      <c r="R502" s="27">
        <v>1.668621E-2</v>
      </c>
      <c r="S502" s="27">
        <v>0</v>
      </c>
      <c r="T502" s="27">
        <v>0</v>
      </c>
      <c r="U502" s="27">
        <v>0</v>
      </c>
      <c r="V502" s="27">
        <v>0</v>
      </c>
      <c r="W502" s="27">
        <v>0</v>
      </c>
      <c r="X502" s="27">
        <f t="shared" si="41"/>
        <v>0</v>
      </c>
      <c r="Y502" s="27">
        <v>0</v>
      </c>
      <c r="Z502" s="27">
        <f t="shared" si="40"/>
        <v>0</v>
      </c>
      <c r="AA502" s="27">
        <v>0</v>
      </c>
      <c r="AB502" s="28">
        <v>0</v>
      </c>
      <c r="AC502" s="27">
        <v>0</v>
      </c>
      <c r="AD502" s="28">
        <v>1.668621E-2</v>
      </c>
      <c r="AE502" s="27">
        <v>0</v>
      </c>
      <c r="AF502" s="28">
        <v>0</v>
      </c>
      <c r="AG502" s="27">
        <v>0</v>
      </c>
      <c r="AH502" s="28">
        <v>0</v>
      </c>
      <c r="AI502" s="27">
        <v>0</v>
      </c>
      <c r="AJ502" s="27">
        <v>0</v>
      </c>
      <c r="AK502" s="27">
        <v>0</v>
      </c>
      <c r="AL502" s="27">
        <v>0</v>
      </c>
      <c r="AM502" s="27">
        <f t="shared" si="44"/>
        <v>1.668621E-2</v>
      </c>
      <c r="AN502" s="27">
        <f t="shared" si="43"/>
        <v>1.668621E-2</v>
      </c>
      <c r="AO502" s="35" t="s">
        <v>1489</v>
      </c>
    </row>
    <row r="503" spans="1:41" ht="31.5" customHeight="1" x14ac:dyDescent="0.25">
      <c r="A503" s="8" t="s">
        <v>96</v>
      </c>
      <c r="B503" s="37" t="s">
        <v>928</v>
      </c>
      <c r="C503" s="29" t="s">
        <v>929</v>
      </c>
      <c r="D503" s="38" t="s">
        <v>1481</v>
      </c>
      <c r="E503" s="30">
        <v>2016</v>
      </c>
      <c r="F503" s="30">
        <v>2016</v>
      </c>
      <c r="G503" s="30" t="s">
        <v>1435</v>
      </c>
      <c r="H503" s="27">
        <v>0.40666155988857944</v>
      </c>
      <c r="I503" s="27">
        <v>0.45873531894150421</v>
      </c>
      <c r="J503" s="27">
        <v>0</v>
      </c>
      <c r="K503" s="27">
        <v>2.9198300000000001</v>
      </c>
      <c r="L503" s="27">
        <v>0</v>
      </c>
      <c r="M503" s="27">
        <v>1.6409800000000001</v>
      </c>
      <c r="N503" s="27">
        <v>1.2788499999999998</v>
      </c>
      <c r="O503" s="27">
        <v>0</v>
      </c>
      <c r="P503" s="27">
        <v>3.2937195900000003</v>
      </c>
      <c r="Q503" s="27">
        <v>0.11423729000000001</v>
      </c>
      <c r="R503" s="27">
        <v>2.0000032499999998</v>
      </c>
      <c r="S503" s="27">
        <v>1.1794790499999999</v>
      </c>
      <c r="T503" s="27">
        <v>0</v>
      </c>
      <c r="U503" s="27">
        <v>0.40666155988857944</v>
      </c>
      <c r="V503" s="27">
        <v>2.9198300000000001</v>
      </c>
      <c r="W503" s="27">
        <v>0</v>
      </c>
      <c r="X503" s="27">
        <f t="shared" si="41"/>
        <v>0</v>
      </c>
      <c r="Y503" s="27">
        <v>0</v>
      </c>
      <c r="Z503" s="27">
        <f t="shared" si="40"/>
        <v>0</v>
      </c>
      <c r="AA503" s="27">
        <v>0</v>
      </c>
      <c r="AB503" s="28">
        <v>0</v>
      </c>
      <c r="AC503" s="27">
        <v>0</v>
      </c>
      <c r="AD503" s="28">
        <v>0</v>
      </c>
      <c r="AE503" s="27">
        <f>3.4453994/1.18</f>
        <v>2.9198300000000001</v>
      </c>
      <c r="AF503" s="28">
        <f>3.8865891162/1.18</f>
        <v>3.2937195900000003</v>
      </c>
      <c r="AG503" s="27">
        <v>0</v>
      </c>
      <c r="AH503" s="28">
        <v>0</v>
      </c>
      <c r="AI503" s="27">
        <v>0</v>
      </c>
      <c r="AJ503" s="27">
        <v>0</v>
      </c>
      <c r="AK503" s="27">
        <v>0</v>
      </c>
      <c r="AL503" s="27">
        <v>0</v>
      </c>
      <c r="AM503" s="27">
        <f t="shared" si="44"/>
        <v>3.2937195900000003</v>
      </c>
      <c r="AN503" s="27">
        <f t="shared" si="43"/>
        <v>3.2937195900000003</v>
      </c>
      <c r="AO503" s="35" t="s">
        <v>1486</v>
      </c>
    </row>
    <row r="504" spans="1:41" ht="31.5" customHeight="1" x14ac:dyDescent="0.25">
      <c r="A504" s="8" t="s">
        <v>96</v>
      </c>
      <c r="B504" s="37" t="s">
        <v>930</v>
      </c>
      <c r="C504" s="29" t="s">
        <v>931</v>
      </c>
      <c r="D504" s="38" t="s">
        <v>1481</v>
      </c>
      <c r="E504" s="30">
        <v>2016</v>
      </c>
      <c r="F504" s="30">
        <v>2016</v>
      </c>
      <c r="G504" s="30" t="s">
        <v>1435</v>
      </c>
      <c r="H504" s="27">
        <v>0.22140139275766019</v>
      </c>
      <c r="I504" s="27">
        <v>0.26569089136490254</v>
      </c>
      <c r="J504" s="27">
        <v>0</v>
      </c>
      <c r="K504" s="27">
        <v>1.5896620000000001</v>
      </c>
      <c r="L504" s="27">
        <v>1.34E-2</v>
      </c>
      <c r="M504" s="27">
        <v>0.90183199999999997</v>
      </c>
      <c r="N504" s="27">
        <v>0.67442999999999997</v>
      </c>
      <c r="O504" s="27">
        <v>0</v>
      </c>
      <c r="P504" s="27">
        <v>1.9076606</v>
      </c>
      <c r="Q504" s="27">
        <v>1.5997809999999998E-2</v>
      </c>
      <c r="R504" s="27">
        <v>1.1453767000000001</v>
      </c>
      <c r="S504" s="27">
        <v>0.7462860899999999</v>
      </c>
      <c r="T504" s="27">
        <v>0</v>
      </c>
      <c r="U504" s="27">
        <v>0.22140139275766019</v>
      </c>
      <c r="V504" s="27">
        <v>1.5896620000000001</v>
      </c>
      <c r="W504" s="27">
        <v>0</v>
      </c>
      <c r="X504" s="27">
        <f t="shared" si="41"/>
        <v>0</v>
      </c>
      <c r="Y504" s="27">
        <v>0</v>
      </c>
      <c r="Z504" s="27">
        <f t="shared" si="40"/>
        <v>0</v>
      </c>
      <c r="AA504" s="27">
        <v>0</v>
      </c>
      <c r="AB504" s="28">
        <v>0</v>
      </c>
      <c r="AC504" s="27">
        <v>0</v>
      </c>
      <c r="AD504" s="28">
        <v>0</v>
      </c>
      <c r="AE504" s="27">
        <f>1.87580116/1.18</f>
        <v>1.5896620000000001</v>
      </c>
      <c r="AF504" s="28">
        <f>2.251039508/1.18</f>
        <v>1.9076606</v>
      </c>
      <c r="AG504" s="27">
        <v>0</v>
      </c>
      <c r="AH504" s="28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f t="shared" si="44"/>
        <v>1.9076606</v>
      </c>
      <c r="AN504" s="27">
        <f t="shared" si="43"/>
        <v>1.9076606</v>
      </c>
      <c r="AO504" s="35" t="s">
        <v>1486</v>
      </c>
    </row>
    <row r="505" spans="1:41" ht="31.5" customHeight="1" x14ac:dyDescent="0.25">
      <c r="A505" s="8" t="s">
        <v>96</v>
      </c>
      <c r="B505" s="37" t="s">
        <v>932</v>
      </c>
      <c r="C505" s="29" t="s">
        <v>933</v>
      </c>
      <c r="D505" s="38" t="s">
        <v>1481</v>
      </c>
      <c r="E505" s="30">
        <v>2016</v>
      </c>
      <c r="F505" s="30">
        <v>2016</v>
      </c>
      <c r="G505" s="30" t="s">
        <v>1435</v>
      </c>
      <c r="H505" s="27">
        <v>4.0561420612813377E-2</v>
      </c>
      <c r="I505" s="27">
        <v>4.0368011142061282E-2</v>
      </c>
      <c r="J505" s="27">
        <v>0</v>
      </c>
      <c r="K505" s="27">
        <v>0.29123100000000002</v>
      </c>
      <c r="L505" s="27">
        <v>1.1737000000000001E-2</v>
      </c>
      <c r="M505" s="27">
        <v>0.149727</v>
      </c>
      <c r="N505" s="27">
        <v>0.12976699999999999</v>
      </c>
      <c r="O505" s="27">
        <v>0</v>
      </c>
      <c r="P505" s="27">
        <v>0.28984231999999999</v>
      </c>
      <c r="Q505" s="27">
        <v>1.1737880000000001E-2</v>
      </c>
      <c r="R505" s="27">
        <v>8.7902839999999996E-2</v>
      </c>
      <c r="S505" s="27">
        <v>0.19020160000000003</v>
      </c>
      <c r="T505" s="27">
        <v>0</v>
      </c>
      <c r="U505" s="27">
        <v>4.0561420612813377E-2</v>
      </c>
      <c r="V505" s="27">
        <v>0.29123100000000002</v>
      </c>
      <c r="W505" s="27">
        <v>0</v>
      </c>
      <c r="X505" s="27">
        <f t="shared" si="41"/>
        <v>0</v>
      </c>
      <c r="Y505" s="27">
        <v>0</v>
      </c>
      <c r="Z505" s="27">
        <f t="shared" si="40"/>
        <v>0</v>
      </c>
      <c r="AA505" s="27">
        <v>0</v>
      </c>
      <c r="AB505" s="28">
        <v>0</v>
      </c>
      <c r="AC505" s="27">
        <v>0</v>
      </c>
      <c r="AD505" s="28">
        <v>0</v>
      </c>
      <c r="AE505" s="27">
        <f>0.34365258/1.18</f>
        <v>0.29123100000000002</v>
      </c>
      <c r="AF505" s="28">
        <f>0.3420139376/1.18</f>
        <v>0.28984231999999999</v>
      </c>
      <c r="AG505" s="27">
        <v>0</v>
      </c>
      <c r="AH505" s="28">
        <v>0</v>
      </c>
      <c r="AI505" s="27">
        <v>0</v>
      </c>
      <c r="AJ505" s="27">
        <v>0</v>
      </c>
      <c r="AK505" s="27">
        <v>0</v>
      </c>
      <c r="AL505" s="27">
        <v>0</v>
      </c>
      <c r="AM505" s="27">
        <f t="shared" si="44"/>
        <v>0.28984231999999999</v>
      </c>
      <c r="AN505" s="27">
        <f t="shared" si="43"/>
        <v>0.28984231999999999</v>
      </c>
      <c r="AO505" s="53"/>
    </row>
    <row r="506" spans="1:41" ht="31.5" customHeight="1" x14ac:dyDescent="0.25">
      <c r="A506" s="8" t="s">
        <v>96</v>
      </c>
      <c r="B506" s="37" t="s">
        <v>934</v>
      </c>
      <c r="C506" s="29" t="s">
        <v>935</v>
      </c>
      <c r="D506" s="38" t="s">
        <v>1481</v>
      </c>
      <c r="E506" s="30">
        <v>2016</v>
      </c>
      <c r="F506" s="30">
        <v>2016</v>
      </c>
      <c r="G506" s="30" t="s">
        <v>1435</v>
      </c>
      <c r="H506" s="27">
        <v>0.15856016713091925</v>
      </c>
      <c r="I506" s="27">
        <v>0.15808100278551535</v>
      </c>
      <c r="J506" s="27">
        <v>0</v>
      </c>
      <c r="K506" s="27">
        <v>1.1384620000000001</v>
      </c>
      <c r="L506" s="27">
        <v>4.7932000000000002E-2</v>
      </c>
      <c r="M506" s="27">
        <v>0.58052999999999999</v>
      </c>
      <c r="N506" s="27">
        <v>0.51</v>
      </c>
      <c r="O506" s="27">
        <v>0</v>
      </c>
      <c r="P506" s="27">
        <v>1.1350216000000002</v>
      </c>
      <c r="Q506" s="27">
        <v>1.468146E-2</v>
      </c>
      <c r="R506" s="27">
        <v>0.61199707000000003</v>
      </c>
      <c r="S506" s="27">
        <v>0.50834307000000001</v>
      </c>
      <c r="T506" s="27">
        <v>0</v>
      </c>
      <c r="U506" s="27">
        <v>0.15856016713091925</v>
      </c>
      <c r="V506" s="27">
        <v>1.1384620000000001</v>
      </c>
      <c r="W506" s="27">
        <v>0</v>
      </c>
      <c r="X506" s="27">
        <f t="shared" si="41"/>
        <v>0</v>
      </c>
      <c r="Y506" s="27">
        <v>0</v>
      </c>
      <c r="Z506" s="27">
        <f t="shared" si="40"/>
        <v>0</v>
      </c>
      <c r="AA506" s="27">
        <v>0</v>
      </c>
      <c r="AB506" s="28">
        <v>0</v>
      </c>
      <c r="AC506" s="27">
        <v>0</v>
      </c>
      <c r="AD506" s="28">
        <v>0</v>
      </c>
      <c r="AE506" s="27">
        <f>1.34338516/1.18</f>
        <v>1.1384620000000001</v>
      </c>
      <c r="AF506" s="28">
        <f>1.339325488/1.18</f>
        <v>1.1350216000000002</v>
      </c>
      <c r="AG506" s="27">
        <v>0</v>
      </c>
      <c r="AH506" s="28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f t="shared" si="44"/>
        <v>1.1350216000000002</v>
      </c>
      <c r="AN506" s="27">
        <f t="shared" si="43"/>
        <v>1.1350216000000002</v>
      </c>
      <c r="AO506" s="53"/>
    </row>
    <row r="507" spans="1:41" ht="31.5" customHeight="1" x14ac:dyDescent="0.25">
      <c r="A507" s="8" t="s">
        <v>96</v>
      </c>
      <c r="B507" s="37" t="s">
        <v>1396</v>
      </c>
      <c r="C507" s="29" t="s">
        <v>936</v>
      </c>
      <c r="D507" s="38" t="s">
        <v>1481</v>
      </c>
      <c r="E507" s="30">
        <v>2016</v>
      </c>
      <c r="F507" s="30">
        <v>2016</v>
      </c>
      <c r="G507" s="30" t="s">
        <v>1435</v>
      </c>
      <c r="H507" s="27">
        <v>0.42650348189415038</v>
      </c>
      <c r="I507" s="27">
        <v>0.11236588997214486</v>
      </c>
      <c r="J507" s="27">
        <v>0</v>
      </c>
      <c r="K507" s="27">
        <v>3.0622949999999998</v>
      </c>
      <c r="L507" s="27">
        <v>0.17236199999999999</v>
      </c>
      <c r="M507" s="27">
        <v>1.5627819999999999</v>
      </c>
      <c r="N507" s="27">
        <v>1.327151</v>
      </c>
      <c r="O507" s="27">
        <v>0</v>
      </c>
      <c r="P507" s="27">
        <v>0.80678709000000004</v>
      </c>
      <c r="Q507" s="27">
        <v>0</v>
      </c>
      <c r="R507" s="27">
        <v>0.36943283000000005</v>
      </c>
      <c r="S507" s="27">
        <v>0.43735425999999999</v>
      </c>
      <c r="T507" s="27">
        <v>0</v>
      </c>
      <c r="U507" s="27">
        <v>0.42650348189415038</v>
      </c>
      <c r="V507" s="27">
        <v>3.0622949999999998</v>
      </c>
      <c r="W507" s="27">
        <v>0</v>
      </c>
      <c r="X507" s="27">
        <f t="shared" si="41"/>
        <v>0</v>
      </c>
      <c r="Y507" s="27">
        <v>0</v>
      </c>
      <c r="Z507" s="27">
        <f t="shared" si="40"/>
        <v>0</v>
      </c>
      <c r="AA507" s="27">
        <v>0</v>
      </c>
      <c r="AB507" s="28">
        <v>0</v>
      </c>
      <c r="AC507" s="27">
        <v>0</v>
      </c>
      <c r="AD507" s="28">
        <v>0</v>
      </c>
      <c r="AE507" s="27">
        <f>3.6135081/1.18</f>
        <v>3.0622949999999998</v>
      </c>
      <c r="AF507" s="28">
        <f>0.9520087662/1.18</f>
        <v>0.80678709000000004</v>
      </c>
      <c r="AG507" s="27">
        <v>0</v>
      </c>
      <c r="AH507" s="28">
        <v>0</v>
      </c>
      <c r="AI507" s="27">
        <v>0</v>
      </c>
      <c r="AJ507" s="27">
        <v>0</v>
      </c>
      <c r="AK507" s="27">
        <v>0</v>
      </c>
      <c r="AL507" s="27">
        <v>0</v>
      </c>
      <c r="AM507" s="27">
        <f t="shared" si="44"/>
        <v>0.80678709000000004</v>
      </c>
      <c r="AN507" s="27">
        <f t="shared" si="43"/>
        <v>0.80678709000000004</v>
      </c>
      <c r="AO507" s="35" t="s">
        <v>1486</v>
      </c>
    </row>
    <row r="508" spans="1:41" ht="31.5" customHeight="1" x14ac:dyDescent="0.25">
      <c r="A508" s="8" t="s">
        <v>96</v>
      </c>
      <c r="B508" s="37" t="s">
        <v>937</v>
      </c>
      <c r="C508" s="29" t="s">
        <v>938</v>
      </c>
      <c r="D508" s="38" t="s">
        <v>1481</v>
      </c>
      <c r="E508" s="30">
        <v>2016</v>
      </c>
      <c r="F508" s="30">
        <v>2016</v>
      </c>
      <c r="G508" s="30" t="s">
        <v>1435</v>
      </c>
      <c r="H508" s="27">
        <v>0.16681935933147635</v>
      </c>
      <c r="I508" s="27">
        <v>0.20429934818941506</v>
      </c>
      <c r="J508" s="27">
        <v>0</v>
      </c>
      <c r="K508" s="27">
        <v>1.1977630000000001</v>
      </c>
      <c r="L508" s="27">
        <v>4.9369999999999997E-2</v>
      </c>
      <c r="M508" s="27">
        <v>0.45548300000000003</v>
      </c>
      <c r="N508" s="27">
        <v>0.69290999999999991</v>
      </c>
      <c r="O508" s="27">
        <v>0</v>
      </c>
      <c r="P508" s="27">
        <v>1.46686932</v>
      </c>
      <c r="Q508" s="27">
        <v>2.3353800000000001E-2</v>
      </c>
      <c r="R508" s="27">
        <v>0.58949459000000004</v>
      </c>
      <c r="S508" s="27">
        <v>0.85402093000000001</v>
      </c>
      <c r="T508" s="27">
        <v>0</v>
      </c>
      <c r="U508" s="27">
        <v>0.16681935933147635</v>
      </c>
      <c r="V508" s="27">
        <v>1.1977630000000001</v>
      </c>
      <c r="W508" s="27">
        <v>0</v>
      </c>
      <c r="X508" s="27">
        <f t="shared" si="41"/>
        <v>0</v>
      </c>
      <c r="Y508" s="27">
        <v>0</v>
      </c>
      <c r="Z508" s="27">
        <f t="shared" si="40"/>
        <v>0</v>
      </c>
      <c r="AA508" s="27">
        <v>0</v>
      </c>
      <c r="AB508" s="28">
        <v>0</v>
      </c>
      <c r="AC508" s="27">
        <v>0</v>
      </c>
      <c r="AD508" s="28">
        <v>0</v>
      </c>
      <c r="AE508" s="27">
        <f>1.41336034/1.18</f>
        <v>1.1977630000000001</v>
      </c>
      <c r="AF508" s="28">
        <f>1.7309057976/1.18</f>
        <v>1.46686932</v>
      </c>
      <c r="AG508" s="27">
        <v>0</v>
      </c>
      <c r="AH508" s="28">
        <v>0</v>
      </c>
      <c r="AI508" s="27">
        <v>0</v>
      </c>
      <c r="AJ508" s="27">
        <v>0</v>
      </c>
      <c r="AK508" s="27">
        <v>0</v>
      </c>
      <c r="AL508" s="27">
        <v>0</v>
      </c>
      <c r="AM508" s="27">
        <f t="shared" si="44"/>
        <v>1.46686932</v>
      </c>
      <c r="AN508" s="27">
        <f t="shared" si="43"/>
        <v>1.46686932</v>
      </c>
      <c r="AO508" s="35" t="s">
        <v>1486</v>
      </c>
    </row>
    <row r="509" spans="1:41" ht="31.5" customHeight="1" x14ac:dyDescent="0.25">
      <c r="A509" s="8" t="s">
        <v>96</v>
      </c>
      <c r="B509" s="37" t="s">
        <v>939</v>
      </c>
      <c r="C509" s="29" t="s">
        <v>940</v>
      </c>
      <c r="D509" s="38" t="s">
        <v>1482</v>
      </c>
      <c r="E509" s="30">
        <v>2016</v>
      </c>
      <c r="F509" s="30">
        <v>2016</v>
      </c>
      <c r="G509" s="30" t="s">
        <v>1435</v>
      </c>
      <c r="H509" s="27">
        <v>0.37925403899721455</v>
      </c>
      <c r="I509" s="27">
        <v>0</v>
      </c>
      <c r="J509" s="27">
        <v>0</v>
      </c>
      <c r="K509" s="27">
        <v>2.7230440000000002</v>
      </c>
      <c r="L509" s="27">
        <v>0.19527799999999998</v>
      </c>
      <c r="M509" s="27">
        <v>1.3227660000000001</v>
      </c>
      <c r="N509" s="27">
        <v>1.2050000000000001</v>
      </c>
      <c r="O509" s="27">
        <v>0</v>
      </c>
      <c r="P509" s="27">
        <v>0</v>
      </c>
      <c r="Q509" s="27">
        <v>0</v>
      </c>
      <c r="R509" s="27">
        <v>0</v>
      </c>
      <c r="S509" s="27">
        <v>0</v>
      </c>
      <c r="T509" s="27">
        <v>0</v>
      </c>
      <c r="U509" s="27">
        <v>0.37925403899721455</v>
      </c>
      <c r="V509" s="27">
        <v>2.7230440000000002</v>
      </c>
      <c r="W509" s="27">
        <v>0</v>
      </c>
      <c r="X509" s="27">
        <f t="shared" si="41"/>
        <v>0</v>
      </c>
      <c r="Y509" s="27">
        <v>0</v>
      </c>
      <c r="Z509" s="27">
        <f t="shared" si="40"/>
        <v>0</v>
      </c>
      <c r="AA509" s="27">
        <v>0</v>
      </c>
      <c r="AB509" s="28">
        <v>0</v>
      </c>
      <c r="AC509" s="27">
        <v>0</v>
      </c>
      <c r="AD509" s="28">
        <v>0</v>
      </c>
      <c r="AE509" s="27">
        <f>3.21319192/1.18</f>
        <v>2.7230440000000002</v>
      </c>
      <c r="AF509" s="28">
        <v>0</v>
      </c>
      <c r="AG509" s="27">
        <v>0</v>
      </c>
      <c r="AH509" s="28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f t="shared" si="44"/>
        <v>0</v>
      </c>
      <c r="AN509" s="27">
        <f t="shared" si="43"/>
        <v>0</v>
      </c>
      <c r="AO509" s="35" t="s">
        <v>1435</v>
      </c>
    </row>
    <row r="510" spans="1:41" ht="31.5" customHeight="1" x14ac:dyDescent="0.25">
      <c r="A510" s="8" t="s">
        <v>96</v>
      </c>
      <c r="B510" s="37" t="s">
        <v>941</v>
      </c>
      <c r="C510" s="29" t="s">
        <v>942</v>
      </c>
      <c r="D510" s="38" t="s">
        <v>1481</v>
      </c>
      <c r="E510" s="30">
        <v>2016</v>
      </c>
      <c r="F510" s="30">
        <v>2016</v>
      </c>
      <c r="G510" s="30" t="s">
        <v>1435</v>
      </c>
      <c r="H510" s="27">
        <v>5.6091922005571037E-3</v>
      </c>
      <c r="I510" s="27">
        <v>5.6084749303621177E-3</v>
      </c>
      <c r="J510" s="27">
        <v>0</v>
      </c>
      <c r="K510" s="27">
        <v>4.0274000000000004E-2</v>
      </c>
      <c r="L510" s="27">
        <v>0</v>
      </c>
      <c r="M510" s="27">
        <v>5.4539999999999996E-3</v>
      </c>
      <c r="N510" s="27">
        <v>3.4820000000000004E-2</v>
      </c>
      <c r="O510" s="27">
        <v>0</v>
      </c>
      <c r="P510" s="27">
        <v>4.0268850000000002E-2</v>
      </c>
      <c r="Q510" s="27">
        <v>0</v>
      </c>
      <c r="R510" s="27">
        <v>5.4526499999999999E-3</v>
      </c>
      <c r="S510" s="27">
        <v>3.4816200000000005E-2</v>
      </c>
      <c r="T510" s="27">
        <v>0</v>
      </c>
      <c r="U510" s="27">
        <v>5.6091922005571037E-3</v>
      </c>
      <c r="V510" s="27">
        <v>4.0274000000000004E-2</v>
      </c>
      <c r="W510" s="27">
        <v>0</v>
      </c>
      <c r="X510" s="27">
        <f t="shared" si="41"/>
        <v>0</v>
      </c>
      <c r="Y510" s="27">
        <v>0</v>
      </c>
      <c r="Z510" s="27">
        <f t="shared" si="40"/>
        <v>0</v>
      </c>
      <c r="AA510" s="27">
        <v>0</v>
      </c>
      <c r="AB510" s="28">
        <v>0</v>
      </c>
      <c r="AC510" s="27">
        <v>0</v>
      </c>
      <c r="AD510" s="28">
        <v>0</v>
      </c>
      <c r="AE510" s="27">
        <f>0.04752332/1.18</f>
        <v>4.0274000000000004E-2</v>
      </c>
      <c r="AF510" s="28">
        <f>0.047517243/1.18</f>
        <v>4.0268850000000002E-2</v>
      </c>
      <c r="AG510" s="27">
        <v>0</v>
      </c>
      <c r="AH510" s="28">
        <v>0</v>
      </c>
      <c r="AI510" s="27">
        <v>0</v>
      </c>
      <c r="AJ510" s="27">
        <v>0</v>
      </c>
      <c r="AK510" s="27">
        <v>0</v>
      </c>
      <c r="AL510" s="27">
        <v>0</v>
      </c>
      <c r="AM510" s="27">
        <f t="shared" si="44"/>
        <v>4.0268850000000002E-2</v>
      </c>
      <c r="AN510" s="27">
        <f t="shared" si="43"/>
        <v>4.0268850000000002E-2</v>
      </c>
      <c r="AO510" s="35" t="s">
        <v>1435</v>
      </c>
    </row>
    <row r="511" spans="1:41" ht="31.5" customHeight="1" x14ac:dyDescent="0.25">
      <c r="A511" s="8" t="s">
        <v>96</v>
      </c>
      <c r="B511" s="37" t="s">
        <v>943</v>
      </c>
      <c r="C511" s="29" t="s">
        <v>944</v>
      </c>
      <c r="D511" s="38" t="s">
        <v>1481</v>
      </c>
      <c r="E511" s="30">
        <v>2016</v>
      </c>
      <c r="F511" s="30">
        <v>2016</v>
      </c>
      <c r="G511" s="30" t="s">
        <v>1435</v>
      </c>
      <c r="H511" s="27">
        <v>7.6019777158774379E-2</v>
      </c>
      <c r="I511" s="27">
        <v>6.8986344011142078E-2</v>
      </c>
      <c r="J511" s="27">
        <v>0</v>
      </c>
      <c r="K511" s="27">
        <v>0.54582200000000003</v>
      </c>
      <c r="L511" s="27">
        <v>1.738E-2</v>
      </c>
      <c r="M511" s="27">
        <v>0.42631200000000002</v>
      </c>
      <c r="N511" s="27">
        <v>0.10213</v>
      </c>
      <c r="O511" s="27">
        <v>0</v>
      </c>
      <c r="P511" s="27">
        <v>0.49532195000000007</v>
      </c>
      <c r="Q511" s="27">
        <v>7.51792E-3</v>
      </c>
      <c r="R511" s="27">
        <v>0.38799912000000003</v>
      </c>
      <c r="S511" s="27">
        <v>9.9804910000000011E-2</v>
      </c>
      <c r="T511" s="27">
        <v>0</v>
      </c>
      <c r="U511" s="27">
        <v>7.6019777158774379E-2</v>
      </c>
      <c r="V511" s="27">
        <v>0.54582200000000003</v>
      </c>
      <c r="W511" s="27">
        <v>0</v>
      </c>
      <c r="X511" s="27">
        <f t="shared" si="41"/>
        <v>0</v>
      </c>
      <c r="Y511" s="27">
        <v>0</v>
      </c>
      <c r="Z511" s="27">
        <f t="shared" si="40"/>
        <v>0</v>
      </c>
      <c r="AA511" s="27">
        <v>0</v>
      </c>
      <c r="AB511" s="28">
        <v>0</v>
      </c>
      <c r="AC511" s="27">
        <v>0</v>
      </c>
      <c r="AD511" s="28">
        <v>0</v>
      </c>
      <c r="AE511" s="27">
        <f>0.64406996/1.18</f>
        <v>0.54582200000000003</v>
      </c>
      <c r="AF511" s="28">
        <f>0.584479901/1.18</f>
        <v>0.49532195000000007</v>
      </c>
      <c r="AG511" s="27">
        <v>0</v>
      </c>
      <c r="AH511" s="28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f t="shared" si="44"/>
        <v>0.49532195000000007</v>
      </c>
      <c r="AN511" s="27">
        <f t="shared" si="43"/>
        <v>0.49532195000000007</v>
      </c>
      <c r="AO511" s="35" t="s">
        <v>1489</v>
      </c>
    </row>
    <row r="512" spans="1:41" ht="31.5" customHeight="1" x14ac:dyDescent="0.25">
      <c r="A512" s="8" t="s">
        <v>96</v>
      </c>
      <c r="B512" s="37" t="s">
        <v>1459</v>
      </c>
      <c r="C512" s="29" t="s">
        <v>1460</v>
      </c>
      <c r="D512" s="38" t="s">
        <v>1481</v>
      </c>
      <c r="E512" s="30">
        <v>2016</v>
      </c>
      <c r="F512" s="30">
        <v>2016</v>
      </c>
      <c r="G512" s="30" t="s">
        <v>1435</v>
      </c>
      <c r="H512" s="27">
        <v>0</v>
      </c>
      <c r="I512" s="27">
        <v>3.3848118384401119E-2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0.24302949000000001</v>
      </c>
      <c r="Q512" s="27">
        <v>0</v>
      </c>
      <c r="R512" s="27">
        <v>0.22755990000000001</v>
      </c>
      <c r="S512" s="27">
        <v>1.546959E-2</v>
      </c>
      <c r="T512" s="27">
        <v>0</v>
      </c>
      <c r="U512" s="27">
        <v>0</v>
      </c>
      <c r="V512" s="27">
        <v>0</v>
      </c>
      <c r="W512" s="27">
        <v>0</v>
      </c>
      <c r="X512" s="27">
        <f t="shared" si="41"/>
        <v>0</v>
      </c>
      <c r="Y512" s="27">
        <v>0</v>
      </c>
      <c r="Z512" s="27">
        <f t="shared" si="40"/>
        <v>0</v>
      </c>
      <c r="AA512" s="27">
        <v>0</v>
      </c>
      <c r="AB512" s="28">
        <v>0</v>
      </c>
      <c r="AC512" s="27">
        <v>0</v>
      </c>
      <c r="AD512" s="28">
        <v>0</v>
      </c>
      <c r="AE512" s="27">
        <v>0</v>
      </c>
      <c r="AF512" s="28">
        <f>0.2867747982/1.18</f>
        <v>0.24302949000000001</v>
      </c>
      <c r="AG512" s="27">
        <v>0</v>
      </c>
      <c r="AH512" s="28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f t="shared" si="44"/>
        <v>0.24302949000000001</v>
      </c>
      <c r="AN512" s="27">
        <f t="shared" si="43"/>
        <v>0.24302949000000001</v>
      </c>
      <c r="AO512" s="35" t="s">
        <v>1489</v>
      </c>
    </row>
    <row r="513" spans="1:41" ht="31.5" customHeight="1" x14ac:dyDescent="0.25">
      <c r="A513" s="8" t="s">
        <v>96</v>
      </c>
      <c r="B513" s="37" t="s">
        <v>945</v>
      </c>
      <c r="C513" s="29" t="s">
        <v>946</v>
      </c>
      <c r="D513" s="38" t="s">
        <v>1481</v>
      </c>
      <c r="E513" s="30">
        <v>2016</v>
      </c>
      <c r="F513" s="30">
        <v>2016</v>
      </c>
      <c r="G513" s="30" t="s">
        <v>1435</v>
      </c>
      <c r="H513" s="27">
        <v>5.3840807799442898E-2</v>
      </c>
      <c r="I513" s="27">
        <v>5.3841339832869081E-2</v>
      </c>
      <c r="J513" s="27">
        <v>0</v>
      </c>
      <c r="K513" s="27">
        <v>0.386577</v>
      </c>
      <c r="L513" s="27">
        <v>1.1257E-2</v>
      </c>
      <c r="M513" s="27">
        <v>0.18953999999999999</v>
      </c>
      <c r="N513" s="27">
        <v>0.18578</v>
      </c>
      <c r="O513" s="27">
        <v>0</v>
      </c>
      <c r="P513" s="27">
        <v>0.38658081999999999</v>
      </c>
      <c r="Q513" s="27">
        <v>1.12567E-2</v>
      </c>
      <c r="R513" s="27">
        <v>0.37443912999999995</v>
      </c>
      <c r="S513" s="27">
        <v>8.849900000000001E-4</v>
      </c>
      <c r="T513" s="27">
        <v>0</v>
      </c>
      <c r="U513" s="27">
        <v>5.3840807799442898E-2</v>
      </c>
      <c r="V513" s="27">
        <v>0.386577</v>
      </c>
      <c r="W513" s="27">
        <v>0</v>
      </c>
      <c r="X513" s="27">
        <f t="shared" si="41"/>
        <v>0</v>
      </c>
      <c r="Y513" s="27">
        <v>0</v>
      </c>
      <c r="Z513" s="27">
        <f t="shared" si="40"/>
        <v>0</v>
      </c>
      <c r="AA513" s="27">
        <v>0</v>
      </c>
      <c r="AB513" s="28">
        <v>0</v>
      </c>
      <c r="AC513" s="27">
        <v>0</v>
      </c>
      <c r="AD513" s="28">
        <v>0</v>
      </c>
      <c r="AE513" s="27">
        <f>0.45616086/1.18</f>
        <v>0.386577</v>
      </c>
      <c r="AF513" s="28">
        <f>0.4561653676/1.18</f>
        <v>0.38658081999999999</v>
      </c>
      <c r="AG513" s="27">
        <v>0</v>
      </c>
      <c r="AH513" s="28">
        <v>0</v>
      </c>
      <c r="AI513" s="27">
        <v>0</v>
      </c>
      <c r="AJ513" s="27">
        <v>0</v>
      </c>
      <c r="AK513" s="27">
        <v>0</v>
      </c>
      <c r="AL513" s="27">
        <v>0</v>
      </c>
      <c r="AM513" s="27">
        <f t="shared" si="44"/>
        <v>0.38658081999999999</v>
      </c>
      <c r="AN513" s="27">
        <f t="shared" si="43"/>
        <v>0.38658081999999999</v>
      </c>
      <c r="AO513" s="35" t="s">
        <v>1435</v>
      </c>
    </row>
    <row r="514" spans="1:41" ht="31.5" customHeight="1" x14ac:dyDescent="0.25">
      <c r="A514" s="8" t="s">
        <v>96</v>
      </c>
      <c r="B514" s="37" t="s">
        <v>947</v>
      </c>
      <c r="C514" s="29" t="s">
        <v>948</v>
      </c>
      <c r="D514" s="38" t="s">
        <v>1481</v>
      </c>
      <c r="E514" s="30">
        <v>2016</v>
      </c>
      <c r="F514" s="30">
        <v>2016</v>
      </c>
      <c r="G514" s="30" t="s">
        <v>1435</v>
      </c>
      <c r="H514" s="27">
        <v>6.6673119777158785E-2</v>
      </c>
      <c r="I514" s="27">
        <v>6.6213339832869089E-2</v>
      </c>
      <c r="J514" s="27">
        <v>0</v>
      </c>
      <c r="K514" s="27">
        <v>0.47871300000000006</v>
      </c>
      <c r="L514" s="27">
        <v>1.4800000000000001E-2</v>
      </c>
      <c r="M514" s="27">
        <v>0.39138299999999998</v>
      </c>
      <c r="N514" s="27">
        <v>7.2529999999999997E-2</v>
      </c>
      <c r="O514" s="27">
        <v>0</v>
      </c>
      <c r="P514" s="27">
        <v>0.47541178000000001</v>
      </c>
      <c r="Q514" s="27">
        <v>1.4804930000000001E-2</v>
      </c>
      <c r="R514" s="27">
        <v>0.38804953999999997</v>
      </c>
      <c r="S514" s="27">
        <v>7.255731E-2</v>
      </c>
      <c r="T514" s="27">
        <v>0</v>
      </c>
      <c r="U514" s="27">
        <v>6.6673119777158785E-2</v>
      </c>
      <c r="V514" s="27">
        <v>0.47871300000000006</v>
      </c>
      <c r="W514" s="27">
        <v>0</v>
      </c>
      <c r="X514" s="27">
        <f t="shared" si="41"/>
        <v>0</v>
      </c>
      <c r="Y514" s="27">
        <v>0</v>
      </c>
      <c r="Z514" s="27">
        <f t="shared" si="40"/>
        <v>0</v>
      </c>
      <c r="AA514" s="27">
        <v>0</v>
      </c>
      <c r="AB514" s="28">
        <v>0</v>
      </c>
      <c r="AC514" s="27">
        <v>0</v>
      </c>
      <c r="AD514" s="28">
        <v>0</v>
      </c>
      <c r="AE514" s="27">
        <f>0.56488134/1.18</f>
        <v>0.47871300000000006</v>
      </c>
      <c r="AF514" s="28">
        <f>0.5609859004/1.18</f>
        <v>0.47541178000000001</v>
      </c>
      <c r="AG514" s="27">
        <v>0</v>
      </c>
      <c r="AH514" s="28">
        <v>0</v>
      </c>
      <c r="AI514" s="27">
        <v>0</v>
      </c>
      <c r="AJ514" s="27">
        <v>0</v>
      </c>
      <c r="AK514" s="27">
        <v>0</v>
      </c>
      <c r="AL514" s="27">
        <v>0</v>
      </c>
      <c r="AM514" s="27">
        <f t="shared" si="44"/>
        <v>0.47541178000000001</v>
      </c>
      <c r="AN514" s="27">
        <f t="shared" si="43"/>
        <v>0.47541178000000001</v>
      </c>
      <c r="AO514" s="35" t="s">
        <v>1435</v>
      </c>
    </row>
    <row r="515" spans="1:41" ht="31.5" customHeight="1" x14ac:dyDescent="0.25">
      <c r="A515" s="8" t="s">
        <v>96</v>
      </c>
      <c r="B515" s="37" t="s">
        <v>949</v>
      </c>
      <c r="C515" s="29" t="s">
        <v>950</v>
      </c>
      <c r="D515" s="38" t="s">
        <v>1481</v>
      </c>
      <c r="E515" s="30">
        <v>2016</v>
      </c>
      <c r="F515" s="30">
        <v>2016</v>
      </c>
      <c r="G515" s="30" t="s">
        <v>1435</v>
      </c>
      <c r="H515" s="27">
        <v>3.6280640668523684E-2</v>
      </c>
      <c r="I515" s="27">
        <v>3.6280291086350981E-2</v>
      </c>
      <c r="J515" s="27">
        <v>0</v>
      </c>
      <c r="K515" s="27">
        <v>0.26049500000000003</v>
      </c>
      <c r="L515" s="27">
        <v>8.3000000000000001E-3</v>
      </c>
      <c r="M515" s="27">
        <v>0.14984700000000001</v>
      </c>
      <c r="N515" s="27">
        <v>0.10234799999999999</v>
      </c>
      <c r="O515" s="27">
        <v>0</v>
      </c>
      <c r="P515" s="27">
        <v>0.26049249000000002</v>
      </c>
      <c r="Q515" s="27">
        <v>8.2952600000000005E-3</v>
      </c>
      <c r="R515" s="27">
        <v>0.25152833999999996</v>
      </c>
      <c r="S515" s="27">
        <v>6.6889E-4</v>
      </c>
      <c r="T515" s="27">
        <v>0</v>
      </c>
      <c r="U515" s="27">
        <v>3.6280640668523684E-2</v>
      </c>
      <c r="V515" s="27">
        <v>0.26049500000000003</v>
      </c>
      <c r="W515" s="27">
        <v>0</v>
      </c>
      <c r="X515" s="27">
        <f t="shared" si="41"/>
        <v>0</v>
      </c>
      <c r="Y515" s="27">
        <v>0</v>
      </c>
      <c r="Z515" s="27">
        <f t="shared" si="40"/>
        <v>0</v>
      </c>
      <c r="AA515" s="27">
        <v>0</v>
      </c>
      <c r="AB515" s="28">
        <v>0</v>
      </c>
      <c r="AC515" s="27">
        <v>0</v>
      </c>
      <c r="AD515" s="28">
        <v>0</v>
      </c>
      <c r="AE515" s="27">
        <f>0.3073841/1.18</f>
        <v>0.26049500000000003</v>
      </c>
      <c r="AF515" s="28">
        <f>0.3073811382/1.18</f>
        <v>0.26049249000000002</v>
      </c>
      <c r="AG515" s="27">
        <v>0</v>
      </c>
      <c r="AH515" s="28">
        <v>0</v>
      </c>
      <c r="AI515" s="27">
        <v>0</v>
      </c>
      <c r="AJ515" s="27">
        <v>0</v>
      </c>
      <c r="AK515" s="27">
        <v>0</v>
      </c>
      <c r="AL515" s="27">
        <v>0</v>
      </c>
      <c r="AM515" s="27">
        <f t="shared" si="44"/>
        <v>0.26049249000000002</v>
      </c>
      <c r="AN515" s="27">
        <f t="shared" si="43"/>
        <v>0.26049249000000002</v>
      </c>
      <c r="AO515" s="35" t="s">
        <v>1435</v>
      </c>
    </row>
    <row r="516" spans="1:41" ht="31.5" customHeight="1" x14ac:dyDescent="0.25">
      <c r="A516" s="8" t="s">
        <v>96</v>
      </c>
      <c r="B516" s="37" t="s">
        <v>951</v>
      </c>
      <c r="C516" s="29" t="s">
        <v>952</v>
      </c>
      <c r="D516" s="38" t="s">
        <v>1481</v>
      </c>
      <c r="E516" s="30">
        <v>2016</v>
      </c>
      <c r="F516" s="30">
        <v>2016</v>
      </c>
      <c r="G516" s="30" t="s">
        <v>1435</v>
      </c>
      <c r="H516" s="27">
        <v>2.2094846796657384E-2</v>
      </c>
      <c r="I516" s="27">
        <v>2.2095218662952647E-2</v>
      </c>
      <c r="J516" s="27">
        <v>0</v>
      </c>
      <c r="K516" s="27">
        <v>0.158641</v>
      </c>
      <c r="L516" s="27">
        <v>1.4166999999999999E-2</v>
      </c>
      <c r="M516" s="27">
        <v>9.2966999999999994E-2</v>
      </c>
      <c r="N516" s="27">
        <v>5.1506999999999997E-2</v>
      </c>
      <c r="O516" s="27">
        <v>0</v>
      </c>
      <c r="P516" s="27">
        <v>0.15864367000000001</v>
      </c>
      <c r="Q516" s="27">
        <v>1.4167059999999999E-2</v>
      </c>
      <c r="R516" s="27">
        <v>0.14423992999999999</v>
      </c>
      <c r="S516" s="27">
        <v>2.3667999999999999E-4</v>
      </c>
      <c r="T516" s="27">
        <v>0</v>
      </c>
      <c r="U516" s="27">
        <v>2.2094846796657384E-2</v>
      </c>
      <c r="V516" s="27">
        <v>0.158641</v>
      </c>
      <c r="W516" s="27">
        <v>0</v>
      </c>
      <c r="X516" s="27">
        <f t="shared" si="41"/>
        <v>0</v>
      </c>
      <c r="Y516" s="27">
        <v>0</v>
      </c>
      <c r="Z516" s="27">
        <f t="shared" ref="Z516:Z579" si="45">AH516</f>
        <v>0</v>
      </c>
      <c r="AA516" s="27">
        <v>0</v>
      </c>
      <c r="AB516" s="28">
        <v>0</v>
      </c>
      <c r="AC516" s="27">
        <v>0</v>
      </c>
      <c r="AD516" s="28">
        <v>0</v>
      </c>
      <c r="AE516" s="27">
        <f>0.18719638/1.18</f>
        <v>0.158641</v>
      </c>
      <c r="AF516" s="28">
        <f>0.1871995306/1.18</f>
        <v>0.15864367000000001</v>
      </c>
      <c r="AG516" s="27">
        <v>0</v>
      </c>
      <c r="AH516" s="28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f t="shared" si="44"/>
        <v>0.15864367000000001</v>
      </c>
      <c r="AN516" s="27">
        <f t="shared" si="43"/>
        <v>0.15864367000000001</v>
      </c>
      <c r="AO516" s="35" t="s">
        <v>1435</v>
      </c>
    </row>
    <row r="517" spans="1:41" ht="31.5" customHeight="1" x14ac:dyDescent="0.25">
      <c r="A517" s="8" t="s">
        <v>96</v>
      </c>
      <c r="B517" s="37" t="s">
        <v>953</v>
      </c>
      <c r="C517" s="29" t="s">
        <v>954</v>
      </c>
      <c r="D517" s="38" t="s">
        <v>1481</v>
      </c>
      <c r="E517" s="30">
        <v>2016</v>
      </c>
      <c r="F517" s="30">
        <v>2016</v>
      </c>
      <c r="G517" s="30" t="s">
        <v>1435</v>
      </c>
      <c r="H517" s="27">
        <v>6.5611699164345408E-2</v>
      </c>
      <c r="I517" s="27">
        <v>6.5611020891364905E-2</v>
      </c>
      <c r="J517" s="27">
        <v>0</v>
      </c>
      <c r="K517" s="27">
        <v>0.47109200000000001</v>
      </c>
      <c r="L517" s="27">
        <v>1.0789999999999999E-2</v>
      </c>
      <c r="M517" s="27">
        <v>0.20632</v>
      </c>
      <c r="N517" s="27">
        <v>0.25398199999999999</v>
      </c>
      <c r="O517" s="27">
        <v>0</v>
      </c>
      <c r="P517" s="27">
        <v>0.47108713000000002</v>
      </c>
      <c r="Q517" s="27">
        <v>1.0786530000000001E-2</v>
      </c>
      <c r="R517" s="27">
        <v>0.45901454999999997</v>
      </c>
      <c r="S517" s="27">
        <v>1.28605E-3</v>
      </c>
      <c r="T517" s="27">
        <v>0</v>
      </c>
      <c r="U517" s="27">
        <v>6.5611699164345408E-2</v>
      </c>
      <c r="V517" s="27">
        <v>0.47109200000000001</v>
      </c>
      <c r="W517" s="27">
        <v>0</v>
      </c>
      <c r="X517" s="27">
        <f t="shared" si="41"/>
        <v>0</v>
      </c>
      <c r="Y517" s="27">
        <v>0</v>
      </c>
      <c r="Z517" s="27">
        <f t="shared" si="45"/>
        <v>0</v>
      </c>
      <c r="AA517" s="27">
        <v>0</v>
      </c>
      <c r="AB517" s="28">
        <v>0</v>
      </c>
      <c r="AC517" s="27">
        <v>0</v>
      </c>
      <c r="AD517" s="28">
        <v>0</v>
      </c>
      <c r="AE517" s="27">
        <f>0.55588856/1.18</f>
        <v>0.47109200000000001</v>
      </c>
      <c r="AF517" s="28">
        <f>0.5558828134/1.18</f>
        <v>0.47108713000000002</v>
      </c>
      <c r="AG517" s="27">
        <v>0</v>
      </c>
      <c r="AH517" s="28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f t="shared" si="44"/>
        <v>0.47108713000000002</v>
      </c>
      <c r="AN517" s="27">
        <f t="shared" si="43"/>
        <v>0.47108713000000002</v>
      </c>
      <c r="AO517" s="35" t="s">
        <v>1435</v>
      </c>
    </row>
    <row r="518" spans="1:41" ht="31.5" customHeight="1" x14ac:dyDescent="0.25">
      <c r="A518" s="8" t="s">
        <v>96</v>
      </c>
      <c r="B518" s="37" t="s">
        <v>955</v>
      </c>
      <c r="C518" s="29" t="s">
        <v>956</v>
      </c>
      <c r="D518" s="38" t="s">
        <v>1481</v>
      </c>
      <c r="E518" s="30">
        <v>2016</v>
      </c>
      <c r="F518" s="30">
        <v>2016</v>
      </c>
      <c r="G518" s="30" t="s">
        <v>1435</v>
      </c>
      <c r="H518" s="27">
        <v>3.6919220055710307E-2</v>
      </c>
      <c r="I518" s="27">
        <v>3.6919660167130927E-2</v>
      </c>
      <c r="J518" s="27">
        <v>0</v>
      </c>
      <c r="K518" s="27">
        <v>0.26507999999999998</v>
      </c>
      <c r="L518" s="27">
        <v>8.0280000000000004E-3</v>
      </c>
      <c r="M518" s="27">
        <v>0.15570200000000001</v>
      </c>
      <c r="N518" s="27">
        <v>0.10135</v>
      </c>
      <c r="O518" s="27">
        <v>0</v>
      </c>
      <c r="P518" s="27">
        <v>0.26508316000000004</v>
      </c>
      <c r="Q518" s="27">
        <v>8.0307499999999997E-3</v>
      </c>
      <c r="R518" s="27">
        <v>0.25650583999999998</v>
      </c>
      <c r="S518" s="27">
        <v>5.4657000000000002E-4</v>
      </c>
      <c r="T518" s="27">
        <v>0</v>
      </c>
      <c r="U518" s="27">
        <v>3.6919220055710307E-2</v>
      </c>
      <c r="V518" s="27">
        <v>0.26507999999999998</v>
      </c>
      <c r="W518" s="27">
        <v>0</v>
      </c>
      <c r="X518" s="27">
        <f t="shared" si="41"/>
        <v>0</v>
      </c>
      <c r="Y518" s="27">
        <v>0</v>
      </c>
      <c r="Z518" s="27">
        <f t="shared" si="45"/>
        <v>0</v>
      </c>
      <c r="AA518" s="27">
        <v>0</v>
      </c>
      <c r="AB518" s="28">
        <v>0</v>
      </c>
      <c r="AC518" s="27">
        <v>0</v>
      </c>
      <c r="AD518" s="28">
        <v>0</v>
      </c>
      <c r="AE518" s="27">
        <f>0.3127944/1.18</f>
        <v>0.26507999999999998</v>
      </c>
      <c r="AF518" s="28">
        <f>0.3127981288/1.18</f>
        <v>0.26508316000000004</v>
      </c>
      <c r="AG518" s="27">
        <v>0</v>
      </c>
      <c r="AH518" s="28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f t="shared" si="44"/>
        <v>0.26508316000000004</v>
      </c>
      <c r="AN518" s="27">
        <f t="shared" si="43"/>
        <v>0.26508316000000004</v>
      </c>
      <c r="AO518" s="35" t="s">
        <v>1435</v>
      </c>
    </row>
    <row r="519" spans="1:41" ht="31.5" customHeight="1" x14ac:dyDescent="0.25">
      <c r="A519" s="8" t="s">
        <v>96</v>
      </c>
      <c r="B519" s="37" t="s">
        <v>957</v>
      </c>
      <c r="C519" s="29" t="s">
        <v>958</v>
      </c>
      <c r="D519" s="38" t="s">
        <v>1481</v>
      </c>
      <c r="E519" s="30">
        <v>2016</v>
      </c>
      <c r="F519" s="30">
        <v>2016</v>
      </c>
      <c r="G519" s="30" t="s">
        <v>1435</v>
      </c>
      <c r="H519" s="27">
        <v>3.3273119777158779E-2</v>
      </c>
      <c r="I519" s="27">
        <v>3.3273611420612817E-2</v>
      </c>
      <c r="J519" s="27">
        <v>0</v>
      </c>
      <c r="K519" s="27">
        <v>0.238901</v>
      </c>
      <c r="L519" s="27">
        <v>1.0717000000000001E-2</v>
      </c>
      <c r="M519" s="27">
        <v>0.12598699999999999</v>
      </c>
      <c r="N519" s="27">
        <v>0.102197</v>
      </c>
      <c r="O519" s="27">
        <v>0</v>
      </c>
      <c r="P519" s="27">
        <v>0.23890453000000003</v>
      </c>
      <c r="Q519" s="27">
        <v>1.0717079999999999E-2</v>
      </c>
      <c r="R519" s="27">
        <v>0.22818745000000001</v>
      </c>
      <c r="S519" s="27">
        <v>0</v>
      </c>
      <c r="T519" s="27">
        <v>0</v>
      </c>
      <c r="U519" s="27">
        <v>3.3273119777158779E-2</v>
      </c>
      <c r="V519" s="27">
        <v>0.238901</v>
      </c>
      <c r="W519" s="27">
        <v>0</v>
      </c>
      <c r="X519" s="27">
        <f t="shared" si="41"/>
        <v>0</v>
      </c>
      <c r="Y519" s="27">
        <v>0</v>
      </c>
      <c r="Z519" s="27">
        <f t="shared" si="45"/>
        <v>0</v>
      </c>
      <c r="AA519" s="27">
        <v>0</v>
      </c>
      <c r="AB519" s="28">
        <v>0</v>
      </c>
      <c r="AC519" s="27">
        <v>0</v>
      </c>
      <c r="AD519" s="28">
        <v>0</v>
      </c>
      <c r="AE519" s="27">
        <f>0.28190318/1.18</f>
        <v>0.238901</v>
      </c>
      <c r="AF519" s="28">
        <f>0.2819073454/1.18</f>
        <v>0.23890453000000003</v>
      </c>
      <c r="AG519" s="27">
        <v>0</v>
      </c>
      <c r="AH519" s="28">
        <v>0</v>
      </c>
      <c r="AI519" s="27">
        <v>0</v>
      </c>
      <c r="AJ519" s="27">
        <v>0</v>
      </c>
      <c r="AK519" s="27">
        <v>0</v>
      </c>
      <c r="AL519" s="27">
        <v>0</v>
      </c>
      <c r="AM519" s="27">
        <f t="shared" si="44"/>
        <v>0.23890453000000003</v>
      </c>
      <c r="AN519" s="27">
        <f t="shared" si="43"/>
        <v>0.23890453000000003</v>
      </c>
      <c r="AO519" s="35" t="s">
        <v>1435</v>
      </c>
    </row>
    <row r="520" spans="1:41" ht="31.5" customHeight="1" x14ac:dyDescent="0.25">
      <c r="A520" s="8" t="s">
        <v>96</v>
      </c>
      <c r="B520" s="37" t="s">
        <v>959</v>
      </c>
      <c r="C520" s="29" t="s">
        <v>960</v>
      </c>
      <c r="D520" s="38" t="s">
        <v>1481</v>
      </c>
      <c r="E520" s="30">
        <v>2016</v>
      </c>
      <c r="F520" s="30">
        <v>2016</v>
      </c>
      <c r="G520" s="30" t="s">
        <v>1435</v>
      </c>
      <c r="H520" s="27">
        <v>4.4321727019498609E-3</v>
      </c>
      <c r="I520" s="27">
        <v>4.431768802228413E-3</v>
      </c>
      <c r="J520" s="27">
        <v>0</v>
      </c>
      <c r="K520" s="27">
        <v>3.1822999999999997E-2</v>
      </c>
      <c r="L520" s="27">
        <v>0</v>
      </c>
      <c r="M520" s="27">
        <v>1.7309999999999999E-2</v>
      </c>
      <c r="N520" s="27">
        <v>1.4513E-2</v>
      </c>
      <c r="O520" s="27">
        <v>0</v>
      </c>
      <c r="P520" s="27">
        <v>3.1820100000000004E-2</v>
      </c>
      <c r="Q520" s="27">
        <v>0</v>
      </c>
      <c r="R520" s="27">
        <v>1.730864E-2</v>
      </c>
      <c r="S520" s="27">
        <v>1.451146E-2</v>
      </c>
      <c r="T520" s="27">
        <v>0</v>
      </c>
      <c r="U520" s="27">
        <v>4.4321727019498609E-3</v>
      </c>
      <c r="V520" s="27">
        <v>3.1822999999999997E-2</v>
      </c>
      <c r="W520" s="27">
        <v>0</v>
      </c>
      <c r="X520" s="27">
        <f t="shared" si="41"/>
        <v>0</v>
      </c>
      <c r="Y520" s="27">
        <v>0</v>
      </c>
      <c r="Z520" s="27">
        <f t="shared" si="45"/>
        <v>0</v>
      </c>
      <c r="AA520" s="27">
        <v>0</v>
      </c>
      <c r="AB520" s="28">
        <v>0</v>
      </c>
      <c r="AC520" s="27">
        <v>0</v>
      </c>
      <c r="AD520" s="28">
        <v>0</v>
      </c>
      <c r="AE520" s="27">
        <f>0.03755114/1.18</f>
        <v>3.1822999999999997E-2</v>
      </c>
      <c r="AF520" s="28">
        <f>0.037547718/1.18</f>
        <v>3.1820100000000004E-2</v>
      </c>
      <c r="AG520" s="27">
        <v>0</v>
      </c>
      <c r="AH520" s="28">
        <v>0</v>
      </c>
      <c r="AI520" s="27">
        <v>0</v>
      </c>
      <c r="AJ520" s="27">
        <v>0</v>
      </c>
      <c r="AK520" s="27">
        <v>0</v>
      </c>
      <c r="AL520" s="27">
        <v>0</v>
      </c>
      <c r="AM520" s="27">
        <f t="shared" si="44"/>
        <v>3.1820100000000004E-2</v>
      </c>
      <c r="AN520" s="27">
        <f t="shared" si="43"/>
        <v>3.1820100000000004E-2</v>
      </c>
      <c r="AO520" s="35" t="s">
        <v>1435</v>
      </c>
    </row>
    <row r="521" spans="1:41" ht="31.5" customHeight="1" x14ac:dyDescent="0.25">
      <c r="A521" s="8" t="s">
        <v>96</v>
      </c>
      <c r="B521" s="37" t="s">
        <v>961</v>
      </c>
      <c r="C521" s="29" t="s">
        <v>962</v>
      </c>
      <c r="D521" s="38" t="s">
        <v>1481</v>
      </c>
      <c r="E521" s="30">
        <v>2016</v>
      </c>
      <c r="F521" s="30">
        <v>2016</v>
      </c>
      <c r="G521" s="30" t="s">
        <v>1435</v>
      </c>
      <c r="H521" s="27">
        <v>5.3012534818941501E-3</v>
      </c>
      <c r="I521" s="27">
        <v>5.3015222841225626E-3</v>
      </c>
      <c r="J521" s="27">
        <v>0</v>
      </c>
      <c r="K521" s="27">
        <v>3.8063E-2</v>
      </c>
      <c r="L521" s="27">
        <v>0</v>
      </c>
      <c r="M521" s="27">
        <v>1.7305000000000001E-2</v>
      </c>
      <c r="N521" s="27">
        <v>2.0757999999999999E-2</v>
      </c>
      <c r="O521" s="27">
        <v>0</v>
      </c>
      <c r="P521" s="27">
        <v>3.8064929999999997E-2</v>
      </c>
      <c r="Q521" s="27">
        <v>0</v>
      </c>
      <c r="R521" s="27">
        <v>1.730864E-2</v>
      </c>
      <c r="S521" s="27">
        <v>2.075629E-2</v>
      </c>
      <c r="T521" s="27">
        <v>0</v>
      </c>
      <c r="U521" s="27">
        <v>5.3012534818941501E-3</v>
      </c>
      <c r="V521" s="27">
        <v>3.8063E-2</v>
      </c>
      <c r="W521" s="27">
        <v>0</v>
      </c>
      <c r="X521" s="27">
        <f t="shared" ref="X521:X584" si="46">AG521+AI521+AK521</f>
        <v>0</v>
      </c>
      <c r="Y521" s="27">
        <v>0</v>
      </c>
      <c r="Z521" s="27">
        <f t="shared" si="45"/>
        <v>0</v>
      </c>
      <c r="AA521" s="27">
        <v>0</v>
      </c>
      <c r="AB521" s="28">
        <v>0</v>
      </c>
      <c r="AC521" s="27">
        <v>0</v>
      </c>
      <c r="AD521" s="28">
        <v>0</v>
      </c>
      <c r="AE521" s="27">
        <f>0.04491434/1.18</f>
        <v>3.8063E-2</v>
      </c>
      <c r="AF521" s="28">
        <f>0.0449166174/1.18</f>
        <v>3.8064929999999997E-2</v>
      </c>
      <c r="AG521" s="27">
        <v>0</v>
      </c>
      <c r="AH521" s="28">
        <v>0</v>
      </c>
      <c r="AI521" s="27">
        <v>0</v>
      </c>
      <c r="AJ521" s="27">
        <v>0</v>
      </c>
      <c r="AK521" s="27">
        <v>0</v>
      </c>
      <c r="AL521" s="27">
        <v>0</v>
      </c>
      <c r="AM521" s="27">
        <f t="shared" si="44"/>
        <v>3.8064929999999997E-2</v>
      </c>
      <c r="AN521" s="27">
        <f t="shared" si="43"/>
        <v>3.8064929999999997E-2</v>
      </c>
      <c r="AO521" s="35" t="s">
        <v>1435</v>
      </c>
    </row>
    <row r="522" spans="1:41" ht="31.5" customHeight="1" x14ac:dyDescent="0.25">
      <c r="A522" s="8" t="s">
        <v>96</v>
      </c>
      <c r="B522" s="37" t="s">
        <v>963</v>
      </c>
      <c r="C522" s="29" t="s">
        <v>964</v>
      </c>
      <c r="D522" s="38" t="s">
        <v>1481</v>
      </c>
      <c r="E522" s="30">
        <v>2016</v>
      </c>
      <c r="F522" s="30">
        <v>2016</v>
      </c>
      <c r="G522" s="30" t="s">
        <v>1435</v>
      </c>
      <c r="H522" s="27">
        <v>4.5612813370473539E-3</v>
      </c>
      <c r="I522" s="27">
        <v>4.561742339832869E-3</v>
      </c>
      <c r="J522" s="27">
        <v>0</v>
      </c>
      <c r="K522" s="27">
        <v>3.2750000000000001E-2</v>
      </c>
      <c r="L522" s="27">
        <v>0</v>
      </c>
      <c r="M522" s="27">
        <v>2.1999999999999999E-2</v>
      </c>
      <c r="N522" s="27">
        <v>1.0749999999999999E-2</v>
      </c>
      <c r="O522" s="27">
        <v>0</v>
      </c>
      <c r="P522" s="27">
        <v>3.2753310000000001E-2</v>
      </c>
      <c r="Q522" s="27">
        <v>0</v>
      </c>
      <c r="R522" s="27">
        <v>2.200063E-2</v>
      </c>
      <c r="S522" s="27">
        <v>1.0752680000000001E-2</v>
      </c>
      <c r="T522" s="27">
        <v>0</v>
      </c>
      <c r="U522" s="27">
        <v>4.5612813370473539E-3</v>
      </c>
      <c r="V522" s="27">
        <v>3.2750000000000001E-2</v>
      </c>
      <c r="W522" s="27">
        <v>0</v>
      </c>
      <c r="X522" s="27">
        <f t="shared" si="46"/>
        <v>0</v>
      </c>
      <c r="Y522" s="27">
        <v>0</v>
      </c>
      <c r="Z522" s="27">
        <f t="shared" si="45"/>
        <v>0</v>
      </c>
      <c r="AA522" s="27">
        <v>0</v>
      </c>
      <c r="AB522" s="28">
        <v>0</v>
      </c>
      <c r="AC522" s="27">
        <v>0</v>
      </c>
      <c r="AD522" s="28">
        <v>0</v>
      </c>
      <c r="AE522" s="27">
        <f>0.038645/1.18</f>
        <v>3.2750000000000001E-2</v>
      </c>
      <c r="AF522" s="28">
        <f>0.0386489058/1.18</f>
        <v>3.2753310000000001E-2</v>
      </c>
      <c r="AG522" s="27">
        <v>0</v>
      </c>
      <c r="AH522" s="28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f t="shared" si="44"/>
        <v>3.2753310000000001E-2</v>
      </c>
      <c r="AN522" s="27">
        <f t="shared" si="43"/>
        <v>3.2753310000000001E-2</v>
      </c>
      <c r="AO522" s="35" t="s">
        <v>1435</v>
      </c>
    </row>
    <row r="523" spans="1:41" ht="31.5" customHeight="1" x14ac:dyDescent="0.25">
      <c r="A523" s="8" t="s">
        <v>96</v>
      </c>
      <c r="B523" s="37" t="s">
        <v>965</v>
      </c>
      <c r="C523" s="29" t="s">
        <v>966</v>
      </c>
      <c r="D523" s="38" t="s">
        <v>1481</v>
      </c>
      <c r="E523" s="30">
        <v>2016</v>
      </c>
      <c r="F523" s="30">
        <v>2016</v>
      </c>
      <c r="G523" s="30" t="s">
        <v>1435</v>
      </c>
      <c r="H523" s="27">
        <v>5.8231197771587747E-3</v>
      </c>
      <c r="I523" s="27">
        <v>5.8224317548746518E-3</v>
      </c>
      <c r="J523" s="27">
        <v>0</v>
      </c>
      <c r="K523" s="27">
        <v>4.181E-2</v>
      </c>
      <c r="L523" s="27">
        <v>0</v>
      </c>
      <c r="M523" s="27">
        <v>2.1637E-2</v>
      </c>
      <c r="N523" s="27">
        <v>2.0173E-2</v>
      </c>
      <c r="O523" s="27">
        <v>0</v>
      </c>
      <c r="P523" s="27">
        <v>4.1805059999999998E-2</v>
      </c>
      <c r="Q523" s="27">
        <v>0</v>
      </c>
      <c r="R523" s="27">
        <v>2.1637940000000001E-2</v>
      </c>
      <c r="S523" s="27">
        <v>2.016712E-2</v>
      </c>
      <c r="T523" s="27">
        <v>0</v>
      </c>
      <c r="U523" s="27">
        <v>5.8231197771587747E-3</v>
      </c>
      <c r="V523" s="27">
        <v>4.181E-2</v>
      </c>
      <c r="W523" s="27">
        <v>0</v>
      </c>
      <c r="X523" s="27">
        <f t="shared" si="46"/>
        <v>0</v>
      </c>
      <c r="Y523" s="27">
        <v>0</v>
      </c>
      <c r="Z523" s="27">
        <f t="shared" si="45"/>
        <v>0</v>
      </c>
      <c r="AA523" s="27">
        <v>0</v>
      </c>
      <c r="AB523" s="28">
        <v>0</v>
      </c>
      <c r="AC523" s="27">
        <v>0</v>
      </c>
      <c r="AD523" s="28">
        <v>0</v>
      </c>
      <c r="AE523" s="27">
        <f>0.0493358/1.18</f>
        <v>4.181E-2</v>
      </c>
      <c r="AF523" s="28">
        <f>0.0493299708/1.18</f>
        <v>4.1805059999999998E-2</v>
      </c>
      <c r="AG523" s="27">
        <v>0</v>
      </c>
      <c r="AH523" s="28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f t="shared" si="44"/>
        <v>4.1805059999999998E-2</v>
      </c>
      <c r="AN523" s="27">
        <f t="shared" si="43"/>
        <v>4.1805059999999998E-2</v>
      </c>
      <c r="AO523" s="35" t="s">
        <v>1435</v>
      </c>
    </row>
    <row r="524" spans="1:41" ht="31.5" customHeight="1" x14ac:dyDescent="0.25">
      <c r="A524" s="8" t="s">
        <v>96</v>
      </c>
      <c r="B524" s="37" t="s">
        <v>967</v>
      </c>
      <c r="C524" s="29" t="s">
        <v>968</v>
      </c>
      <c r="D524" s="38" t="s">
        <v>1481</v>
      </c>
      <c r="E524" s="30">
        <v>2016</v>
      </c>
      <c r="F524" s="30">
        <v>2016</v>
      </c>
      <c r="G524" s="30" t="s">
        <v>1435</v>
      </c>
      <c r="H524" s="27">
        <v>5.6100278551532044E-3</v>
      </c>
      <c r="I524" s="27">
        <v>5.6103774373259052E-3</v>
      </c>
      <c r="J524" s="27">
        <v>0</v>
      </c>
      <c r="K524" s="27">
        <v>4.0280000000000003E-2</v>
      </c>
      <c r="L524" s="27">
        <v>0</v>
      </c>
      <c r="M524" s="27">
        <v>2.0027E-2</v>
      </c>
      <c r="N524" s="27">
        <v>2.0253E-2</v>
      </c>
      <c r="O524" s="27">
        <v>0</v>
      </c>
      <c r="P524" s="27">
        <v>4.0282510000000001E-2</v>
      </c>
      <c r="Q524" s="27">
        <v>0</v>
      </c>
      <c r="R524" s="27">
        <v>2.002841E-2</v>
      </c>
      <c r="S524" s="27">
        <v>2.0254100000000001E-2</v>
      </c>
      <c r="T524" s="27">
        <v>0</v>
      </c>
      <c r="U524" s="27">
        <v>5.6100278551532044E-3</v>
      </c>
      <c r="V524" s="27">
        <v>4.0280000000000003E-2</v>
      </c>
      <c r="W524" s="27">
        <v>0</v>
      </c>
      <c r="X524" s="27">
        <f t="shared" si="46"/>
        <v>0</v>
      </c>
      <c r="Y524" s="27">
        <v>0</v>
      </c>
      <c r="Z524" s="27">
        <f t="shared" si="45"/>
        <v>0</v>
      </c>
      <c r="AA524" s="27">
        <v>0</v>
      </c>
      <c r="AB524" s="28">
        <v>0</v>
      </c>
      <c r="AC524" s="27">
        <v>0</v>
      </c>
      <c r="AD524" s="28">
        <v>0</v>
      </c>
      <c r="AE524" s="27">
        <f>0.0475304/1.18</f>
        <v>4.0280000000000003E-2</v>
      </c>
      <c r="AF524" s="28">
        <f>0.0475333618/1.18</f>
        <v>4.0282510000000001E-2</v>
      </c>
      <c r="AG524" s="27">
        <v>0</v>
      </c>
      <c r="AH524" s="28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f t="shared" si="44"/>
        <v>4.0282510000000001E-2</v>
      </c>
      <c r="AN524" s="27">
        <f t="shared" si="43"/>
        <v>4.0282510000000001E-2</v>
      </c>
      <c r="AO524" s="35" t="s">
        <v>1435</v>
      </c>
    </row>
    <row r="525" spans="1:41" ht="31.5" customHeight="1" x14ac:dyDescent="0.25">
      <c r="A525" s="8" t="s">
        <v>96</v>
      </c>
      <c r="B525" s="37" t="s">
        <v>969</v>
      </c>
      <c r="C525" s="29" t="s">
        <v>970</v>
      </c>
      <c r="D525" s="38" t="s">
        <v>1481</v>
      </c>
      <c r="E525" s="30">
        <v>2016</v>
      </c>
      <c r="F525" s="30">
        <v>2016</v>
      </c>
      <c r="G525" s="30" t="s">
        <v>1435</v>
      </c>
      <c r="H525" s="27">
        <v>2.4832869080779947E-3</v>
      </c>
      <c r="I525" s="27">
        <v>2.4828077994428974E-3</v>
      </c>
      <c r="J525" s="27">
        <v>0</v>
      </c>
      <c r="K525" s="27">
        <v>1.7830000000000002E-2</v>
      </c>
      <c r="L525" s="27">
        <v>0</v>
      </c>
      <c r="M525" s="27">
        <v>7.0999999999999995E-3</v>
      </c>
      <c r="N525" s="27">
        <v>1.073E-2</v>
      </c>
      <c r="O525" s="27">
        <v>0</v>
      </c>
      <c r="P525" s="27">
        <v>1.7826560000000002E-2</v>
      </c>
      <c r="Q525" s="27">
        <v>0</v>
      </c>
      <c r="R525" s="27">
        <v>7.0977899999999997E-3</v>
      </c>
      <c r="S525" s="27">
        <v>1.072877E-2</v>
      </c>
      <c r="T525" s="27">
        <v>0</v>
      </c>
      <c r="U525" s="27">
        <v>2.4832869080779947E-3</v>
      </c>
      <c r="V525" s="27">
        <v>1.7830000000000002E-2</v>
      </c>
      <c r="W525" s="27">
        <v>0</v>
      </c>
      <c r="X525" s="27">
        <f t="shared" si="46"/>
        <v>0</v>
      </c>
      <c r="Y525" s="27">
        <v>0</v>
      </c>
      <c r="Z525" s="27">
        <f t="shared" si="45"/>
        <v>0</v>
      </c>
      <c r="AA525" s="27">
        <v>0</v>
      </c>
      <c r="AB525" s="28">
        <v>0</v>
      </c>
      <c r="AC525" s="27">
        <v>0</v>
      </c>
      <c r="AD525" s="28">
        <v>0</v>
      </c>
      <c r="AE525" s="27">
        <f>0.0210394/1.18</f>
        <v>1.7830000000000002E-2</v>
      </c>
      <c r="AF525" s="28">
        <f>0.0210353408/1.18</f>
        <v>1.7826560000000002E-2</v>
      </c>
      <c r="AG525" s="27">
        <v>0</v>
      </c>
      <c r="AH525" s="28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f t="shared" si="44"/>
        <v>1.7826560000000002E-2</v>
      </c>
      <c r="AN525" s="27">
        <f t="shared" si="43"/>
        <v>1.7826560000000002E-2</v>
      </c>
      <c r="AO525" s="35" t="s">
        <v>1435</v>
      </c>
    </row>
    <row r="526" spans="1:41" ht="31.5" customHeight="1" x14ac:dyDescent="0.25">
      <c r="A526" s="8" t="s">
        <v>96</v>
      </c>
      <c r="B526" s="37" t="s">
        <v>971</v>
      </c>
      <c r="C526" s="29" t="s">
        <v>972</v>
      </c>
      <c r="D526" s="38" t="s">
        <v>1481</v>
      </c>
      <c r="E526" s="30">
        <v>2016</v>
      </c>
      <c r="F526" s="30">
        <v>2016</v>
      </c>
      <c r="G526" s="30" t="s">
        <v>1435</v>
      </c>
      <c r="H526" s="27">
        <v>8.202228412256268E-3</v>
      </c>
      <c r="I526" s="27">
        <v>8.2017896935933157E-3</v>
      </c>
      <c r="J526" s="27">
        <v>0</v>
      </c>
      <c r="K526" s="27">
        <v>5.8892E-2</v>
      </c>
      <c r="L526" s="27">
        <v>0</v>
      </c>
      <c r="M526" s="27">
        <v>2.734E-2</v>
      </c>
      <c r="N526" s="27">
        <v>3.1551999999999997E-2</v>
      </c>
      <c r="O526" s="27">
        <v>0</v>
      </c>
      <c r="P526" s="27">
        <v>5.888885E-2</v>
      </c>
      <c r="Q526" s="27">
        <v>0</v>
      </c>
      <c r="R526" s="27">
        <v>2.7340330000000003E-2</v>
      </c>
      <c r="S526" s="27">
        <v>3.1548519999999997E-2</v>
      </c>
      <c r="T526" s="27">
        <v>0</v>
      </c>
      <c r="U526" s="27">
        <v>8.202228412256268E-3</v>
      </c>
      <c r="V526" s="27">
        <v>5.8892E-2</v>
      </c>
      <c r="W526" s="27">
        <v>0</v>
      </c>
      <c r="X526" s="27">
        <f t="shared" si="46"/>
        <v>0</v>
      </c>
      <c r="Y526" s="27">
        <v>0</v>
      </c>
      <c r="Z526" s="27">
        <f t="shared" si="45"/>
        <v>0</v>
      </c>
      <c r="AA526" s="27">
        <v>0</v>
      </c>
      <c r="AB526" s="28">
        <v>0</v>
      </c>
      <c r="AC526" s="27">
        <v>0</v>
      </c>
      <c r="AD526" s="28">
        <v>0</v>
      </c>
      <c r="AE526" s="27">
        <f>0.06949256/1.18</f>
        <v>5.8892E-2</v>
      </c>
      <c r="AF526" s="28">
        <f>0.069488843/1.18</f>
        <v>5.888885E-2</v>
      </c>
      <c r="AG526" s="27">
        <v>0</v>
      </c>
      <c r="AH526" s="28">
        <v>0</v>
      </c>
      <c r="AI526" s="27">
        <v>0</v>
      </c>
      <c r="AJ526" s="27">
        <v>0</v>
      </c>
      <c r="AK526" s="27">
        <v>0</v>
      </c>
      <c r="AL526" s="27">
        <v>0</v>
      </c>
      <c r="AM526" s="27">
        <f t="shared" si="44"/>
        <v>5.888885E-2</v>
      </c>
      <c r="AN526" s="27">
        <f t="shared" si="43"/>
        <v>5.888885E-2</v>
      </c>
      <c r="AO526" s="35" t="s">
        <v>1435</v>
      </c>
    </row>
    <row r="527" spans="1:41" ht="31.5" customHeight="1" x14ac:dyDescent="0.25">
      <c r="A527" s="8" t="s">
        <v>96</v>
      </c>
      <c r="B527" s="37" t="s">
        <v>973</v>
      </c>
      <c r="C527" s="29" t="s">
        <v>974</v>
      </c>
      <c r="D527" s="38" t="s">
        <v>1481</v>
      </c>
      <c r="E527" s="30">
        <v>2016</v>
      </c>
      <c r="F527" s="30">
        <v>2016</v>
      </c>
      <c r="G527" s="30" t="s">
        <v>1435</v>
      </c>
      <c r="H527" s="27">
        <v>3.7211699164345405E-3</v>
      </c>
      <c r="I527" s="27">
        <v>3.7214052924791088E-3</v>
      </c>
      <c r="J527" s="27">
        <v>0</v>
      </c>
      <c r="K527" s="27">
        <v>2.6717999999999999E-2</v>
      </c>
      <c r="L527" s="27">
        <v>0</v>
      </c>
      <c r="M527" s="27">
        <v>8.1700000000000002E-3</v>
      </c>
      <c r="N527" s="27">
        <v>1.8547999999999999E-2</v>
      </c>
      <c r="O527" s="27">
        <v>0</v>
      </c>
      <c r="P527" s="27">
        <v>2.6719690000000001E-2</v>
      </c>
      <c r="Q527" s="27">
        <v>0</v>
      </c>
      <c r="R527" s="27">
        <v>8.1652699999999988E-3</v>
      </c>
      <c r="S527" s="27">
        <v>1.8554420000000002E-2</v>
      </c>
      <c r="T527" s="27">
        <v>0</v>
      </c>
      <c r="U527" s="27">
        <v>3.7211699164345405E-3</v>
      </c>
      <c r="V527" s="27">
        <v>2.6717999999999999E-2</v>
      </c>
      <c r="W527" s="27">
        <v>0</v>
      </c>
      <c r="X527" s="27">
        <f t="shared" si="46"/>
        <v>0</v>
      </c>
      <c r="Y527" s="27">
        <v>0</v>
      </c>
      <c r="Z527" s="27">
        <f t="shared" si="45"/>
        <v>0</v>
      </c>
      <c r="AA527" s="27">
        <v>0</v>
      </c>
      <c r="AB527" s="28">
        <v>0</v>
      </c>
      <c r="AC527" s="27">
        <v>0</v>
      </c>
      <c r="AD527" s="28">
        <v>0</v>
      </c>
      <c r="AE527" s="27">
        <f>0.03152724/1.18</f>
        <v>2.6717999999999999E-2</v>
      </c>
      <c r="AF527" s="28">
        <f>0.0315292342/1.18</f>
        <v>2.6719690000000001E-2</v>
      </c>
      <c r="AG527" s="27">
        <v>0</v>
      </c>
      <c r="AH527" s="28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f t="shared" si="44"/>
        <v>2.6719690000000001E-2</v>
      </c>
      <c r="AN527" s="27">
        <f t="shared" si="43"/>
        <v>2.6719690000000001E-2</v>
      </c>
      <c r="AO527" s="35" t="s">
        <v>1435</v>
      </c>
    </row>
    <row r="528" spans="1:41" ht="31.5" customHeight="1" x14ac:dyDescent="0.25">
      <c r="A528" s="8" t="s">
        <v>96</v>
      </c>
      <c r="B528" s="37" t="s">
        <v>975</v>
      </c>
      <c r="C528" s="29" t="s">
        <v>976</v>
      </c>
      <c r="D528" s="38" t="s">
        <v>1481</v>
      </c>
      <c r="E528" s="30">
        <v>2016</v>
      </c>
      <c r="F528" s="30">
        <v>2016</v>
      </c>
      <c r="G528" s="30" t="s">
        <v>1435</v>
      </c>
      <c r="H528" s="27">
        <v>2.8909470752089138E-3</v>
      </c>
      <c r="I528" s="27">
        <v>2.891041782729805E-3</v>
      </c>
      <c r="J528" s="27">
        <v>0</v>
      </c>
      <c r="K528" s="27">
        <v>2.0757000000000001E-2</v>
      </c>
      <c r="L528" s="27">
        <v>0</v>
      </c>
      <c r="M528" s="27">
        <v>1.0026999999999999E-2</v>
      </c>
      <c r="N528" s="27">
        <v>1.073E-2</v>
      </c>
      <c r="O528" s="27">
        <v>0</v>
      </c>
      <c r="P528" s="27">
        <v>2.0757680000000001E-2</v>
      </c>
      <c r="Q528" s="27">
        <v>0</v>
      </c>
      <c r="R528" s="27">
        <v>1.002781E-2</v>
      </c>
      <c r="S528" s="27">
        <v>1.0729870000000001E-2</v>
      </c>
      <c r="T528" s="27">
        <v>0</v>
      </c>
      <c r="U528" s="27">
        <v>2.8909470752089138E-3</v>
      </c>
      <c r="V528" s="27">
        <v>2.0757000000000001E-2</v>
      </c>
      <c r="W528" s="27">
        <v>0</v>
      </c>
      <c r="X528" s="27">
        <f t="shared" si="46"/>
        <v>0</v>
      </c>
      <c r="Y528" s="27">
        <v>0</v>
      </c>
      <c r="Z528" s="27">
        <f t="shared" si="45"/>
        <v>0</v>
      </c>
      <c r="AA528" s="27">
        <v>0</v>
      </c>
      <c r="AB528" s="28">
        <v>0</v>
      </c>
      <c r="AC528" s="27">
        <v>0</v>
      </c>
      <c r="AD528" s="28">
        <v>0</v>
      </c>
      <c r="AE528" s="27">
        <f>0.02449326/1.18</f>
        <v>2.0757000000000001E-2</v>
      </c>
      <c r="AF528" s="28">
        <f>0.0244940624/1.18</f>
        <v>2.0757680000000001E-2</v>
      </c>
      <c r="AG528" s="27">
        <v>0</v>
      </c>
      <c r="AH528" s="28">
        <v>0</v>
      </c>
      <c r="AI528" s="27">
        <v>0</v>
      </c>
      <c r="AJ528" s="27">
        <v>0</v>
      </c>
      <c r="AK528" s="27">
        <v>0</v>
      </c>
      <c r="AL528" s="27">
        <v>0</v>
      </c>
      <c r="AM528" s="27">
        <f t="shared" si="44"/>
        <v>2.0757680000000001E-2</v>
      </c>
      <c r="AN528" s="27">
        <f t="shared" si="43"/>
        <v>2.0757680000000001E-2</v>
      </c>
      <c r="AO528" s="35" t="s">
        <v>1435</v>
      </c>
    </row>
    <row r="529" spans="1:41" ht="31.5" customHeight="1" x14ac:dyDescent="0.25">
      <c r="A529" s="8" t="s">
        <v>96</v>
      </c>
      <c r="B529" s="37" t="s">
        <v>977</v>
      </c>
      <c r="C529" s="29" t="s">
        <v>978</v>
      </c>
      <c r="D529" s="38" t="s">
        <v>1481</v>
      </c>
      <c r="E529" s="30">
        <v>2016</v>
      </c>
      <c r="F529" s="30">
        <v>2016</v>
      </c>
      <c r="G529" s="30" t="s">
        <v>1435</v>
      </c>
      <c r="H529" s="27">
        <v>1.1597910863509749E-2</v>
      </c>
      <c r="I529" s="27">
        <v>1.1597895543175488E-2</v>
      </c>
      <c r="J529" s="27">
        <v>0</v>
      </c>
      <c r="K529" s="27">
        <v>8.3273E-2</v>
      </c>
      <c r="L529" s="27">
        <v>0</v>
      </c>
      <c r="M529" s="27">
        <v>3.4643E-2</v>
      </c>
      <c r="N529" s="27">
        <v>4.863E-2</v>
      </c>
      <c r="O529" s="27">
        <v>0</v>
      </c>
      <c r="P529" s="27">
        <v>8.3272890000000002E-2</v>
      </c>
      <c r="Q529" s="27">
        <v>0</v>
      </c>
      <c r="R529" s="27">
        <v>3.4638669999999996E-2</v>
      </c>
      <c r="S529" s="27">
        <v>4.8634219999999999E-2</v>
      </c>
      <c r="T529" s="27">
        <v>0</v>
      </c>
      <c r="U529" s="27">
        <v>1.1597910863509749E-2</v>
      </c>
      <c r="V529" s="27">
        <v>8.3273E-2</v>
      </c>
      <c r="W529" s="27">
        <v>0</v>
      </c>
      <c r="X529" s="27">
        <f t="shared" si="46"/>
        <v>0</v>
      </c>
      <c r="Y529" s="27">
        <v>0</v>
      </c>
      <c r="Z529" s="27">
        <f t="shared" si="45"/>
        <v>0</v>
      </c>
      <c r="AA529" s="27">
        <v>0</v>
      </c>
      <c r="AB529" s="28">
        <v>0</v>
      </c>
      <c r="AC529" s="27">
        <v>0</v>
      </c>
      <c r="AD529" s="28">
        <v>0</v>
      </c>
      <c r="AE529" s="27">
        <f>0.09826214/1.18</f>
        <v>8.3273E-2</v>
      </c>
      <c r="AF529" s="28">
        <f>0.0982620102/1.18</f>
        <v>8.3272890000000002E-2</v>
      </c>
      <c r="AG529" s="27">
        <v>0</v>
      </c>
      <c r="AH529" s="28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f t="shared" si="44"/>
        <v>8.3272890000000002E-2</v>
      </c>
      <c r="AN529" s="27">
        <f t="shared" si="43"/>
        <v>8.3272890000000002E-2</v>
      </c>
      <c r="AO529" s="35" t="s">
        <v>1435</v>
      </c>
    </row>
    <row r="530" spans="1:41" ht="31.5" customHeight="1" x14ac:dyDescent="0.25">
      <c r="A530" s="8" t="s">
        <v>96</v>
      </c>
      <c r="B530" s="37" t="s">
        <v>979</v>
      </c>
      <c r="C530" s="29" t="s">
        <v>980</v>
      </c>
      <c r="D530" s="38" t="s">
        <v>1481</v>
      </c>
      <c r="E530" s="30">
        <v>2016</v>
      </c>
      <c r="F530" s="30">
        <v>2016</v>
      </c>
      <c r="G530" s="30" t="s">
        <v>1435</v>
      </c>
      <c r="H530" s="27">
        <v>0.13803203342618384</v>
      </c>
      <c r="I530" s="27">
        <v>0.13803149721448468</v>
      </c>
      <c r="J530" s="27">
        <v>0</v>
      </c>
      <c r="K530" s="27">
        <v>0.99107000000000001</v>
      </c>
      <c r="L530" s="27">
        <v>1.908E-2</v>
      </c>
      <c r="M530" s="27">
        <v>0.41554000000000002</v>
      </c>
      <c r="N530" s="27">
        <v>0.55645</v>
      </c>
      <c r="O530" s="27">
        <v>0</v>
      </c>
      <c r="P530" s="27">
        <v>0.99106614999999998</v>
      </c>
      <c r="Q530" s="27">
        <v>1.9077119999999999E-2</v>
      </c>
      <c r="R530" s="27">
        <v>0.97198902999999992</v>
      </c>
      <c r="S530" s="27">
        <v>0</v>
      </c>
      <c r="T530" s="27">
        <v>0</v>
      </c>
      <c r="U530" s="27">
        <v>0.13803203342618384</v>
      </c>
      <c r="V530" s="27">
        <v>0.99107000000000001</v>
      </c>
      <c r="W530" s="27">
        <v>0</v>
      </c>
      <c r="X530" s="27">
        <f t="shared" si="46"/>
        <v>0</v>
      </c>
      <c r="Y530" s="27">
        <v>0</v>
      </c>
      <c r="Z530" s="27">
        <f t="shared" si="45"/>
        <v>0</v>
      </c>
      <c r="AA530" s="27">
        <v>0</v>
      </c>
      <c r="AB530" s="28">
        <v>0</v>
      </c>
      <c r="AC530" s="27">
        <v>0</v>
      </c>
      <c r="AD530" s="28">
        <v>0</v>
      </c>
      <c r="AE530" s="27">
        <f>1.1694626/1.18</f>
        <v>0.99107000000000001</v>
      </c>
      <c r="AF530" s="28">
        <f>1.169458057/1.18</f>
        <v>0.99106614999999998</v>
      </c>
      <c r="AG530" s="27">
        <v>0</v>
      </c>
      <c r="AH530" s="28">
        <v>0</v>
      </c>
      <c r="AI530" s="27">
        <v>0</v>
      </c>
      <c r="AJ530" s="27">
        <v>0</v>
      </c>
      <c r="AK530" s="27">
        <v>0</v>
      </c>
      <c r="AL530" s="27">
        <v>0</v>
      </c>
      <c r="AM530" s="27">
        <f t="shared" si="44"/>
        <v>0.99106614999999998</v>
      </c>
      <c r="AN530" s="27">
        <f t="shared" si="43"/>
        <v>0.99106614999999998</v>
      </c>
      <c r="AO530" s="35" t="s">
        <v>1435</v>
      </c>
    </row>
    <row r="531" spans="1:41" ht="31.5" customHeight="1" x14ac:dyDescent="0.25">
      <c r="A531" s="8" t="s">
        <v>96</v>
      </c>
      <c r="B531" s="37" t="s">
        <v>981</v>
      </c>
      <c r="C531" s="29" t="s">
        <v>982</v>
      </c>
      <c r="D531" s="38" t="s">
        <v>1481</v>
      </c>
      <c r="E531" s="30">
        <v>2016</v>
      </c>
      <c r="F531" s="30">
        <v>2016</v>
      </c>
      <c r="G531" s="30" t="s">
        <v>1435</v>
      </c>
      <c r="H531" s="27">
        <v>0.10162493036211701</v>
      </c>
      <c r="I531" s="27">
        <v>7.7461487465181084E-2</v>
      </c>
      <c r="J531" s="27">
        <v>0</v>
      </c>
      <c r="K531" s="27">
        <v>0.72966700000000007</v>
      </c>
      <c r="L531" s="27">
        <v>8.1129999999999987E-3</v>
      </c>
      <c r="M531" s="27">
        <v>0.66397200000000001</v>
      </c>
      <c r="N531" s="27">
        <v>5.7582000000000001E-2</v>
      </c>
      <c r="O531" s="27">
        <v>0</v>
      </c>
      <c r="P531" s="27">
        <v>0.55617348000000011</v>
      </c>
      <c r="Q531" s="27">
        <v>8.1119399999999998E-3</v>
      </c>
      <c r="R531" s="27">
        <v>0.49047451999999997</v>
      </c>
      <c r="S531" s="27">
        <v>5.7587020000000003E-2</v>
      </c>
      <c r="T531" s="27">
        <v>0</v>
      </c>
      <c r="U531" s="27">
        <v>0.10162493036211701</v>
      </c>
      <c r="V531" s="27">
        <v>0.72966700000000007</v>
      </c>
      <c r="W531" s="27">
        <v>0</v>
      </c>
      <c r="X531" s="27">
        <f t="shared" si="46"/>
        <v>0</v>
      </c>
      <c r="Y531" s="27">
        <v>0</v>
      </c>
      <c r="Z531" s="27">
        <f t="shared" si="45"/>
        <v>0</v>
      </c>
      <c r="AA531" s="27">
        <v>0</v>
      </c>
      <c r="AB531" s="28">
        <v>0</v>
      </c>
      <c r="AC531" s="27">
        <v>0</v>
      </c>
      <c r="AD531" s="28">
        <v>0</v>
      </c>
      <c r="AE531" s="27">
        <f>0.86100706/1.18</f>
        <v>0.72966700000000007</v>
      </c>
      <c r="AF531" s="28">
        <f>0.6562847064/1.18</f>
        <v>0.55617348000000011</v>
      </c>
      <c r="AG531" s="27">
        <v>0</v>
      </c>
      <c r="AH531" s="28">
        <v>0</v>
      </c>
      <c r="AI531" s="27">
        <v>0</v>
      </c>
      <c r="AJ531" s="27">
        <v>0</v>
      </c>
      <c r="AK531" s="27">
        <v>0</v>
      </c>
      <c r="AL531" s="27">
        <v>0</v>
      </c>
      <c r="AM531" s="27">
        <f t="shared" si="44"/>
        <v>0.55617348000000011</v>
      </c>
      <c r="AN531" s="27">
        <f t="shared" ref="AN531:AN594" si="47">AD531+AF531+AH531</f>
        <v>0.55617348000000011</v>
      </c>
      <c r="AO531" s="35" t="s">
        <v>1486</v>
      </c>
    </row>
    <row r="532" spans="1:41" ht="31.5" customHeight="1" x14ac:dyDescent="0.25">
      <c r="A532" s="8" t="s">
        <v>96</v>
      </c>
      <c r="B532" s="37" t="s">
        <v>983</v>
      </c>
      <c r="C532" s="29" t="s">
        <v>984</v>
      </c>
      <c r="D532" s="38" t="s">
        <v>1481</v>
      </c>
      <c r="E532" s="30">
        <v>2016</v>
      </c>
      <c r="F532" s="30">
        <v>2016</v>
      </c>
      <c r="G532" s="30" t="s">
        <v>1435</v>
      </c>
      <c r="H532" s="27">
        <v>0.3045385793871867</v>
      </c>
      <c r="I532" s="27">
        <v>0.31575551810584962</v>
      </c>
      <c r="J532" s="27">
        <v>0</v>
      </c>
      <c r="K532" s="27">
        <v>2.1865870000000003</v>
      </c>
      <c r="L532" s="27">
        <v>2.8149999999999998E-2</v>
      </c>
      <c r="M532" s="27">
        <v>1.497657</v>
      </c>
      <c r="N532" s="27">
        <v>0.66077999999999992</v>
      </c>
      <c r="O532" s="27">
        <v>0</v>
      </c>
      <c r="P532" s="27">
        <v>2.2671246200000001</v>
      </c>
      <c r="Q532" s="27">
        <v>2.2105139999999999E-2</v>
      </c>
      <c r="R532" s="27">
        <v>1.56524324</v>
      </c>
      <c r="S532" s="27">
        <v>0.67977624000000003</v>
      </c>
      <c r="T532" s="27">
        <v>0</v>
      </c>
      <c r="U532" s="27">
        <v>0.3045385793871867</v>
      </c>
      <c r="V532" s="27">
        <v>2.1865870000000003</v>
      </c>
      <c r="W532" s="27">
        <v>0</v>
      </c>
      <c r="X532" s="27">
        <f t="shared" si="46"/>
        <v>0</v>
      </c>
      <c r="Y532" s="27">
        <v>0</v>
      </c>
      <c r="Z532" s="27">
        <f t="shared" si="45"/>
        <v>0</v>
      </c>
      <c r="AA532" s="27">
        <v>0</v>
      </c>
      <c r="AB532" s="28">
        <v>0</v>
      </c>
      <c r="AC532" s="27">
        <v>0</v>
      </c>
      <c r="AD532" s="28">
        <v>0</v>
      </c>
      <c r="AE532" s="27">
        <f>2.58017266/1.18</f>
        <v>2.1865870000000003</v>
      </c>
      <c r="AF532" s="28">
        <f>2.6752070516/1.18</f>
        <v>2.2671246200000001</v>
      </c>
      <c r="AG532" s="27">
        <v>0</v>
      </c>
      <c r="AH532" s="28">
        <v>0</v>
      </c>
      <c r="AI532" s="27">
        <v>0</v>
      </c>
      <c r="AJ532" s="27">
        <v>0</v>
      </c>
      <c r="AK532" s="27">
        <v>0</v>
      </c>
      <c r="AL532" s="27">
        <v>0</v>
      </c>
      <c r="AM532" s="27">
        <f t="shared" si="44"/>
        <v>2.2671246200000001</v>
      </c>
      <c r="AN532" s="27">
        <f t="shared" si="47"/>
        <v>2.2671246200000001</v>
      </c>
      <c r="AO532" s="35" t="s">
        <v>1486</v>
      </c>
    </row>
    <row r="533" spans="1:41" ht="31.5" customHeight="1" x14ac:dyDescent="0.25">
      <c r="A533" s="8" t="s">
        <v>96</v>
      </c>
      <c r="B533" s="37" t="s">
        <v>985</v>
      </c>
      <c r="C533" s="29" t="s">
        <v>986</v>
      </c>
      <c r="D533" s="38" t="s">
        <v>1481</v>
      </c>
      <c r="E533" s="30">
        <v>2016</v>
      </c>
      <c r="F533" s="30">
        <v>2016</v>
      </c>
      <c r="G533" s="30" t="s">
        <v>1435</v>
      </c>
      <c r="H533" s="27">
        <v>6.1681058495821735E-2</v>
      </c>
      <c r="I533" s="27">
        <v>0.10466915598885794</v>
      </c>
      <c r="J533" s="27">
        <v>0</v>
      </c>
      <c r="K533" s="27">
        <v>0.44287000000000004</v>
      </c>
      <c r="L533" s="27">
        <v>2.1499999999999998E-2</v>
      </c>
      <c r="M533" s="27">
        <v>0.23099</v>
      </c>
      <c r="N533" s="27">
        <v>0.19037999999999999</v>
      </c>
      <c r="O533" s="27">
        <v>0</v>
      </c>
      <c r="P533" s="27">
        <v>0.75152454000000002</v>
      </c>
      <c r="Q533" s="27">
        <v>1.2382509999999999E-2</v>
      </c>
      <c r="R533" s="27">
        <v>0.56795063000000001</v>
      </c>
      <c r="S533" s="27">
        <v>0.17119139999999999</v>
      </c>
      <c r="T533" s="27">
        <v>0</v>
      </c>
      <c r="U533" s="27">
        <v>6.1681058495821735E-2</v>
      </c>
      <c r="V533" s="27">
        <v>0.44287000000000004</v>
      </c>
      <c r="W533" s="27">
        <v>0</v>
      </c>
      <c r="X533" s="27">
        <f t="shared" si="46"/>
        <v>0</v>
      </c>
      <c r="Y533" s="27">
        <v>0</v>
      </c>
      <c r="Z533" s="27">
        <f t="shared" si="45"/>
        <v>0</v>
      </c>
      <c r="AA533" s="27">
        <v>0</v>
      </c>
      <c r="AB533" s="28">
        <v>0</v>
      </c>
      <c r="AC533" s="27">
        <v>0</v>
      </c>
      <c r="AD533" s="28">
        <v>0</v>
      </c>
      <c r="AE533" s="27">
        <f>0.5225866/1.18</f>
        <v>0.44287000000000004</v>
      </c>
      <c r="AF533" s="28">
        <f>0.8867989572/1.18</f>
        <v>0.75152454000000002</v>
      </c>
      <c r="AG533" s="27">
        <v>0</v>
      </c>
      <c r="AH533" s="28">
        <v>0</v>
      </c>
      <c r="AI533" s="27">
        <v>0</v>
      </c>
      <c r="AJ533" s="27">
        <v>0</v>
      </c>
      <c r="AK533" s="27">
        <v>0</v>
      </c>
      <c r="AL533" s="27">
        <v>0</v>
      </c>
      <c r="AM533" s="27">
        <f t="shared" si="44"/>
        <v>0.75152454000000002</v>
      </c>
      <c r="AN533" s="27">
        <f t="shared" si="47"/>
        <v>0.75152454000000002</v>
      </c>
      <c r="AO533" s="35" t="s">
        <v>1486</v>
      </c>
    </row>
    <row r="534" spans="1:41" ht="31.5" customHeight="1" x14ac:dyDescent="0.25">
      <c r="A534" s="8" t="s">
        <v>96</v>
      </c>
      <c r="B534" s="37" t="s">
        <v>987</v>
      </c>
      <c r="C534" s="29" t="s">
        <v>988</v>
      </c>
      <c r="D534" s="38" t="s">
        <v>1481</v>
      </c>
      <c r="E534" s="30">
        <v>2016</v>
      </c>
      <c r="F534" s="30">
        <v>2016</v>
      </c>
      <c r="G534" s="30" t="s">
        <v>1435</v>
      </c>
      <c r="H534" s="27">
        <v>0.27489888579387184</v>
      </c>
      <c r="I534" s="27">
        <v>0.30706550278551531</v>
      </c>
      <c r="J534" s="27">
        <v>0</v>
      </c>
      <c r="K534" s="27">
        <v>1.9737739999999999</v>
      </c>
      <c r="L534" s="27">
        <v>0.21740999999999999</v>
      </c>
      <c r="M534" s="27">
        <v>1.3431169999999999</v>
      </c>
      <c r="N534" s="27">
        <v>0.41324700000000003</v>
      </c>
      <c r="O534" s="27">
        <v>0</v>
      </c>
      <c r="P534" s="27">
        <v>2.20473031</v>
      </c>
      <c r="Q534" s="27">
        <v>0.19813648</v>
      </c>
      <c r="R534" s="27">
        <v>1.6070926800000001</v>
      </c>
      <c r="S534" s="27">
        <v>0.39950114999999997</v>
      </c>
      <c r="T534" s="27">
        <v>0</v>
      </c>
      <c r="U534" s="27">
        <v>0.27489888579387184</v>
      </c>
      <c r="V534" s="27">
        <v>1.9737739999999999</v>
      </c>
      <c r="W534" s="27">
        <v>0</v>
      </c>
      <c r="X534" s="27">
        <f t="shared" si="46"/>
        <v>0</v>
      </c>
      <c r="Y534" s="27">
        <v>0</v>
      </c>
      <c r="Z534" s="27">
        <f t="shared" si="45"/>
        <v>0</v>
      </c>
      <c r="AA534" s="27">
        <v>0</v>
      </c>
      <c r="AB534" s="28">
        <v>0</v>
      </c>
      <c r="AC534" s="27">
        <v>0</v>
      </c>
      <c r="AD534" s="28">
        <v>0</v>
      </c>
      <c r="AE534" s="27">
        <f>2.32905332/1.18</f>
        <v>1.9737739999999999</v>
      </c>
      <c r="AF534" s="28">
        <f>2.6015817658/1.18</f>
        <v>2.20473031</v>
      </c>
      <c r="AG534" s="27">
        <v>0</v>
      </c>
      <c r="AH534" s="28">
        <v>0</v>
      </c>
      <c r="AI534" s="27">
        <v>0</v>
      </c>
      <c r="AJ534" s="27">
        <v>0</v>
      </c>
      <c r="AK534" s="27">
        <v>0</v>
      </c>
      <c r="AL534" s="27">
        <v>0</v>
      </c>
      <c r="AM534" s="27">
        <f t="shared" si="44"/>
        <v>2.20473031</v>
      </c>
      <c r="AN534" s="27">
        <f t="shared" si="47"/>
        <v>2.20473031</v>
      </c>
      <c r="AO534" s="35" t="s">
        <v>1486</v>
      </c>
    </row>
    <row r="535" spans="1:41" ht="31.5" customHeight="1" x14ac:dyDescent="0.25">
      <c r="A535" s="8" t="s">
        <v>96</v>
      </c>
      <c r="B535" s="37" t="s">
        <v>989</v>
      </c>
      <c r="C535" s="29" t="s">
        <v>990</v>
      </c>
      <c r="D535" s="38" t="s">
        <v>1481</v>
      </c>
      <c r="E535" s="30">
        <v>2016</v>
      </c>
      <c r="F535" s="30">
        <v>2016</v>
      </c>
      <c r="G535" s="30" t="s">
        <v>1435</v>
      </c>
      <c r="H535" s="27">
        <v>0.17749763231197774</v>
      </c>
      <c r="I535" s="27">
        <v>0.35284752367688027</v>
      </c>
      <c r="J535" s="27">
        <v>0</v>
      </c>
      <c r="K535" s="27">
        <v>1.2744330000000001</v>
      </c>
      <c r="L535" s="27">
        <v>2.2647999999999998E-2</v>
      </c>
      <c r="M535" s="27">
        <v>0.82993700000000004</v>
      </c>
      <c r="N535" s="27">
        <v>0.421848</v>
      </c>
      <c r="O535" s="27">
        <v>0</v>
      </c>
      <c r="P535" s="27">
        <v>2.5334452200000004</v>
      </c>
      <c r="Q535" s="27">
        <v>1.516556E-2</v>
      </c>
      <c r="R535" s="27">
        <v>2.1100156800000001</v>
      </c>
      <c r="S535" s="27">
        <v>0.40826398000000003</v>
      </c>
      <c r="T535" s="27">
        <v>0</v>
      </c>
      <c r="U535" s="27">
        <v>0.17749763231197774</v>
      </c>
      <c r="V535" s="27">
        <v>1.2744330000000001</v>
      </c>
      <c r="W535" s="27">
        <v>0</v>
      </c>
      <c r="X535" s="27">
        <f t="shared" si="46"/>
        <v>0</v>
      </c>
      <c r="Y535" s="27">
        <v>0</v>
      </c>
      <c r="Z535" s="27">
        <f t="shared" si="45"/>
        <v>0</v>
      </c>
      <c r="AA535" s="27">
        <v>0</v>
      </c>
      <c r="AB535" s="28">
        <v>0</v>
      </c>
      <c r="AC535" s="27">
        <v>0</v>
      </c>
      <c r="AD535" s="28">
        <v>0</v>
      </c>
      <c r="AE535" s="27">
        <f>1.50383094/1.18</f>
        <v>1.2744330000000001</v>
      </c>
      <c r="AF535" s="28">
        <f>2.9894653596/1.18</f>
        <v>2.5334452200000004</v>
      </c>
      <c r="AG535" s="27">
        <v>0</v>
      </c>
      <c r="AH535" s="28">
        <v>0</v>
      </c>
      <c r="AI535" s="27">
        <v>0</v>
      </c>
      <c r="AJ535" s="27">
        <v>0</v>
      </c>
      <c r="AK535" s="27">
        <v>0</v>
      </c>
      <c r="AL535" s="27">
        <v>0</v>
      </c>
      <c r="AM535" s="27">
        <f t="shared" si="44"/>
        <v>2.5334452200000004</v>
      </c>
      <c r="AN535" s="27">
        <f t="shared" si="47"/>
        <v>2.5334452200000004</v>
      </c>
      <c r="AO535" s="35" t="s">
        <v>1486</v>
      </c>
    </row>
    <row r="536" spans="1:41" ht="31.5" customHeight="1" x14ac:dyDescent="0.25">
      <c r="A536" s="8" t="s">
        <v>96</v>
      </c>
      <c r="B536" s="37" t="s">
        <v>991</v>
      </c>
      <c r="C536" s="29" t="s">
        <v>992</v>
      </c>
      <c r="D536" s="38" t="s">
        <v>1481</v>
      </c>
      <c r="E536" s="30">
        <v>2016</v>
      </c>
      <c r="F536" s="30">
        <v>2016</v>
      </c>
      <c r="G536" s="30" t="s">
        <v>1435</v>
      </c>
      <c r="H536" s="27">
        <v>8.1319498607242358E-2</v>
      </c>
      <c r="I536" s="27">
        <v>8.4957551532033437E-2</v>
      </c>
      <c r="J536" s="27">
        <v>0</v>
      </c>
      <c r="K536" s="27">
        <v>0.58387400000000012</v>
      </c>
      <c r="L536" s="27">
        <v>2.3449999999999999E-2</v>
      </c>
      <c r="M536" s="27">
        <v>0.32287199999999999</v>
      </c>
      <c r="N536" s="27">
        <v>0.23755199999999999</v>
      </c>
      <c r="O536" s="27">
        <v>0</v>
      </c>
      <c r="P536" s="27">
        <v>0.60999522000000006</v>
      </c>
      <c r="Q536" s="27">
        <v>2.8255840000000001E-2</v>
      </c>
      <c r="R536" s="27">
        <v>0.35902291000000003</v>
      </c>
      <c r="S536" s="27">
        <v>0.22271647</v>
      </c>
      <c r="T536" s="27">
        <v>0</v>
      </c>
      <c r="U536" s="27">
        <v>8.1319498607242358E-2</v>
      </c>
      <c r="V536" s="27">
        <v>0.58387400000000012</v>
      </c>
      <c r="W536" s="27">
        <v>0</v>
      </c>
      <c r="X536" s="27">
        <f t="shared" si="46"/>
        <v>0</v>
      </c>
      <c r="Y536" s="27">
        <v>0</v>
      </c>
      <c r="Z536" s="27">
        <f t="shared" si="45"/>
        <v>0</v>
      </c>
      <c r="AA536" s="27">
        <v>0</v>
      </c>
      <c r="AB536" s="28">
        <v>0</v>
      </c>
      <c r="AC536" s="27">
        <v>0</v>
      </c>
      <c r="AD536" s="28">
        <v>0</v>
      </c>
      <c r="AE536" s="27">
        <f>0.68897132/1.18</f>
        <v>0.58387400000000012</v>
      </c>
      <c r="AF536" s="28">
        <f>0.7197943596/1.18</f>
        <v>0.60999522000000006</v>
      </c>
      <c r="AG536" s="27">
        <v>0</v>
      </c>
      <c r="AH536" s="28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f t="shared" si="44"/>
        <v>0.60999522000000006</v>
      </c>
      <c r="AN536" s="27">
        <f t="shared" si="47"/>
        <v>0.60999522000000006</v>
      </c>
      <c r="AO536" s="35" t="s">
        <v>1486</v>
      </c>
    </row>
    <row r="537" spans="1:41" ht="31.5" customHeight="1" x14ac:dyDescent="0.25">
      <c r="A537" s="8" t="s">
        <v>96</v>
      </c>
      <c r="B537" s="37" t="s">
        <v>993</v>
      </c>
      <c r="C537" s="29" t="s">
        <v>994</v>
      </c>
      <c r="D537" s="38" t="s">
        <v>1481</v>
      </c>
      <c r="E537" s="30">
        <v>2016</v>
      </c>
      <c r="F537" s="30">
        <v>2016</v>
      </c>
      <c r="G537" s="30" t="s">
        <v>1435</v>
      </c>
      <c r="H537" s="27">
        <v>0.25811587743732595</v>
      </c>
      <c r="I537" s="27">
        <v>0.25811560584958215</v>
      </c>
      <c r="J537" s="27">
        <v>0</v>
      </c>
      <c r="K537" s="27">
        <v>1.8532720000000003</v>
      </c>
      <c r="L537" s="27">
        <v>1.6941999999999999E-2</v>
      </c>
      <c r="M537" s="27">
        <v>1.2270000000000001</v>
      </c>
      <c r="N537" s="27">
        <v>0.60933000000000004</v>
      </c>
      <c r="O537" s="27">
        <v>0</v>
      </c>
      <c r="P537" s="27">
        <v>1.8532700499999999</v>
      </c>
      <c r="Q537" s="27">
        <v>1.6944569999999999E-2</v>
      </c>
      <c r="R537" s="27">
        <v>1.2269962700000001</v>
      </c>
      <c r="S537" s="27">
        <v>0.60932920999999995</v>
      </c>
      <c r="T537" s="27">
        <v>0</v>
      </c>
      <c r="U537" s="27">
        <v>0.25811587743732595</v>
      </c>
      <c r="V537" s="27">
        <v>1.8532720000000003</v>
      </c>
      <c r="W537" s="27">
        <v>0</v>
      </c>
      <c r="X537" s="27">
        <f t="shared" si="46"/>
        <v>0</v>
      </c>
      <c r="Y537" s="27">
        <v>0</v>
      </c>
      <c r="Z537" s="27">
        <f t="shared" si="45"/>
        <v>0</v>
      </c>
      <c r="AA537" s="27">
        <v>0</v>
      </c>
      <c r="AB537" s="28">
        <v>0</v>
      </c>
      <c r="AC537" s="27">
        <v>0</v>
      </c>
      <c r="AD537" s="28">
        <v>0</v>
      </c>
      <c r="AE537" s="27">
        <f>2.18686096/1.18</f>
        <v>1.8532720000000003</v>
      </c>
      <c r="AF537" s="28">
        <f>2.186858659/1.18</f>
        <v>1.8532700499999999</v>
      </c>
      <c r="AG537" s="27">
        <v>0</v>
      </c>
      <c r="AH537" s="28">
        <v>0</v>
      </c>
      <c r="AI537" s="27">
        <v>0</v>
      </c>
      <c r="AJ537" s="27">
        <v>0</v>
      </c>
      <c r="AK537" s="27">
        <v>0</v>
      </c>
      <c r="AL537" s="27">
        <v>0</v>
      </c>
      <c r="AM537" s="27">
        <f t="shared" si="44"/>
        <v>1.8532700499999999</v>
      </c>
      <c r="AN537" s="27">
        <f t="shared" si="47"/>
        <v>1.8532700499999999</v>
      </c>
      <c r="AO537" s="35" t="s">
        <v>1435</v>
      </c>
    </row>
    <row r="538" spans="1:41" ht="31.5" customHeight="1" x14ac:dyDescent="0.25">
      <c r="A538" s="8" t="s">
        <v>96</v>
      </c>
      <c r="B538" s="37" t="s">
        <v>995</v>
      </c>
      <c r="C538" s="29" t="s">
        <v>996</v>
      </c>
      <c r="D538" s="38" t="s">
        <v>1481</v>
      </c>
      <c r="E538" s="30">
        <v>2016</v>
      </c>
      <c r="F538" s="30">
        <v>2016</v>
      </c>
      <c r="G538" s="30" t="s">
        <v>1435</v>
      </c>
      <c r="H538" s="27">
        <v>4.1196378830083577E-2</v>
      </c>
      <c r="I538" s="27">
        <v>4.5420895543175493E-2</v>
      </c>
      <c r="J538" s="27">
        <v>0</v>
      </c>
      <c r="K538" s="27">
        <v>0.29579000000000005</v>
      </c>
      <c r="L538" s="27">
        <v>1.451E-2</v>
      </c>
      <c r="M538" s="27">
        <v>0.1431</v>
      </c>
      <c r="N538" s="27">
        <v>0.13818</v>
      </c>
      <c r="O538" s="27">
        <v>0</v>
      </c>
      <c r="P538" s="27">
        <v>0.32612203000000001</v>
      </c>
      <c r="Q538" s="27">
        <v>4.4681899999999995E-3</v>
      </c>
      <c r="R538" s="27">
        <v>0.18344798000000001</v>
      </c>
      <c r="S538" s="27">
        <v>0.13820586000000001</v>
      </c>
      <c r="T538" s="27">
        <v>0</v>
      </c>
      <c r="U538" s="27">
        <v>4.1196378830083577E-2</v>
      </c>
      <c r="V538" s="27">
        <v>0.29579000000000005</v>
      </c>
      <c r="W538" s="27">
        <v>0</v>
      </c>
      <c r="X538" s="27">
        <f t="shared" si="46"/>
        <v>0</v>
      </c>
      <c r="Y538" s="27">
        <v>0</v>
      </c>
      <c r="Z538" s="27">
        <f t="shared" si="45"/>
        <v>0</v>
      </c>
      <c r="AA538" s="27">
        <v>0</v>
      </c>
      <c r="AB538" s="28">
        <v>0</v>
      </c>
      <c r="AC538" s="27">
        <v>0</v>
      </c>
      <c r="AD538" s="28">
        <v>0</v>
      </c>
      <c r="AE538" s="27">
        <f>0.3490322/1.18</f>
        <v>0.29579000000000005</v>
      </c>
      <c r="AF538" s="28">
        <f>0.3848239954/1.18</f>
        <v>0.32612203000000001</v>
      </c>
      <c r="AG538" s="27">
        <v>0</v>
      </c>
      <c r="AH538" s="28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f t="shared" si="44"/>
        <v>0.32612203000000001</v>
      </c>
      <c r="AN538" s="27">
        <f t="shared" si="47"/>
        <v>0.32612203000000001</v>
      </c>
      <c r="AO538" s="35" t="s">
        <v>1486</v>
      </c>
    </row>
    <row r="539" spans="1:41" ht="31.5" customHeight="1" x14ac:dyDescent="0.25">
      <c r="A539" s="8" t="s">
        <v>96</v>
      </c>
      <c r="B539" s="37" t="s">
        <v>997</v>
      </c>
      <c r="C539" s="29" t="s">
        <v>998</v>
      </c>
      <c r="D539" s="38" t="s">
        <v>1481</v>
      </c>
      <c r="E539" s="30">
        <v>2016</v>
      </c>
      <c r="F539" s="30">
        <v>2016</v>
      </c>
      <c r="G539" s="30" t="s">
        <v>1435</v>
      </c>
      <c r="H539" s="27">
        <v>0.22508997214484683</v>
      </c>
      <c r="I539" s="27">
        <v>0.22806423119777161</v>
      </c>
      <c r="J539" s="27">
        <v>0</v>
      </c>
      <c r="K539" s="27">
        <v>1.6161460000000001</v>
      </c>
      <c r="L539" s="27">
        <v>7.2756000000000001E-2</v>
      </c>
      <c r="M539" s="27">
        <v>0.91752999999999996</v>
      </c>
      <c r="N539" s="27">
        <v>0.62585999999999997</v>
      </c>
      <c r="O539" s="27">
        <v>0</v>
      </c>
      <c r="P539" s="27">
        <v>1.6375011800000001</v>
      </c>
      <c r="Q539" s="27">
        <v>0</v>
      </c>
      <c r="R539" s="27">
        <v>1.0040412000000001</v>
      </c>
      <c r="S539" s="27">
        <v>0.63345997999999992</v>
      </c>
      <c r="T539" s="27">
        <v>0</v>
      </c>
      <c r="U539" s="27">
        <v>0.22508997214484683</v>
      </c>
      <c r="V539" s="27">
        <v>1.6161460000000001</v>
      </c>
      <c r="W539" s="27">
        <v>0</v>
      </c>
      <c r="X539" s="27">
        <f t="shared" si="46"/>
        <v>0</v>
      </c>
      <c r="Y539" s="27">
        <v>0</v>
      </c>
      <c r="Z539" s="27">
        <f t="shared" si="45"/>
        <v>0</v>
      </c>
      <c r="AA539" s="27">
        <v>0</v>
      </c>
      <c r="AB539" s="28">
        <v>0</v>
      </c>
      <c r="AC539" s="27">
        <v>0</v>
      </c>
      <c r="AD539" s="28">
        <v>0</v>
      </c>
      <c r="AE539" s="27">
        <f>1.90705228/1.18</f>
        <v>1.6161460000000001</v>
      </c>
      <c r="AF539" s="28">
        <f>1.9322513924/1.18</f>
        <v>1.6375011800000001</v>
      </c>
      <c r="AG539" s="27">
        <v>0</v>
      </c>
      <c r="AH539" s="28">
        <v>0</v>
      </c>
      <c r="AI539" s="27">
        <v>0</v>
      </c>
      <c r="AJ539" s="27">
        <v>0</v>
      </c>
      <c r="AK539" s="27">
        <v>0</v>
      </c>
      <c r="AL539" s="27">
        <v>0</v>
      </c>
      <c r="AM539" s="27">
        <f t="shared" ref="AM539:AM602" si="48">AD539+AF539+AG539+AI539+AK539</f>
        <v>1.6375011800000001</v>
      </c>
      <c r="AN539" s="27">
        <f t="shared" si="47"/>
        <v>1.6375011800000001</v>
      </c>
      <c r="AO539" s="35" t="s">
        <v>1486</v>
      </c>
    </row>
    <row r="540" spans="1:41" ht="31.5" customHeight="1" x14ac:dyDescent="0.25">
      <c r="A540" s="8" t="s">
        <v>96</v>
      </c>
      <c r="B540" s="37" t="s">
        <v>999</v>
      </c>
      <c r="C540" s="29" t="s">
        <v>1000</v>
      </c>
      <c r="D540" s="38" t="s">
        <v>1481</v>
      </c>
      <c r="E540" s="30">
        <v>2016</v>
      </c>
      <c r="F540" s="30">
        <v>2016</v>
      </c>
      <c r="G540" s="30" t="s">
        <v>1435</v>
      </c>
      <c r="H540" s="27">
        <v>0.39336378830083568</v>
      </c>
      <c r="I540" s="27">
        <v>0.42485074233983294</v>
      </c>
      <c r="J540" s="27">
        <v>0</v>
      </c>
      <c r="K540" s="27">
        <v>2.8243520000000002</v>
      </c>
      <c r="L540" s="27">
        <v>0.136958</v>
      </c>
      <c r="M540" s="27">
        <v>1.438736</v>
      </c>
      <c r="N540" s="27">
        <v>1.2486579999999998</v>
      </c>
      <c r="O540" s="27">
        <v>0</v>
      </c>
      <c r="P540" s="27">
        <v>3.0504283300000004</v>
      </c>
      <c r="Q540" s="27">
        <v>0</v>
      </c>
      <c r="R540" s="27">
        <v>1.76776523</v>
      </c>
      <c r="S540" s="27">
        <v>1.2826630999999999</v>
      </c>
      <c r="T540" s="27">
        <v>0</v>
      </c>
      <c r="U540" s="27">
        <v>0.39336378830083568</v>
      </c>
      <c r="V540" s="27">
        <v>2.8243520000000002</v>
      </c>
      <c r="W540" s="27">
        <v>0</v>
      </c>
      <c r="X540" s="27">
        <f t="shared" si="46"/>
        <v>0</v>
      </c>
      <c r="Y540" s="27">
        <v>0</v>
      </c>
      <c r="Z540" s="27">
        <f t="shared" si="45"/>
        <v>0</v>
      </c>
      <c r="AA540" s="27">
        <v>0</v>
      </c>
      <c r="AB540" s="28">
        <v>0</v>
      </c>
      <c r="AC540" s="27">
        <v>0</v>
      </c>
      <c r="AD540" s="28">
        <v>0</v>
      </c>
      <c r="AE540" s="27">
        <f>3.33273536/1.18</f>
        <v>2.8243520000000002</v>
      </c>
      <c r="AF540" s="28">
        <f>3.5995054294/1.18</f>
        <v>3.0504283300000004</v>
      </c>
      <c r="AG540" s="27">
        <v>0</v>
      </c>
      <c r="AH540" s="28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f t="shared" si="48"/>
        <v>3.0504283300000004</v>
      </c>
      <c r="AN540" s="27">
        <f t="shared" si="47"/>
        <v>3.0504283300000004</v>
      </c>
      <c r="AO540" s="35" t="s">
        <v>1486</v>
      </c>
    </row>
    <row r="541" spans="1:41" ht="31.5" customHeight="1" x14ac:dyDescent="0.25">
      <c r="A541" s="8" t="s">
        <v>96</v>
      </c>
      <c r="B541" s="37" t="s">
        <v>1001</v>
      </c>
      <c r="C541" s="29" t="s">
        <v>1002</v>
      </c>
      <c r="D541" s="38" t="s">
        <v>1481</v>
      </c>
      <c r="E541" s="30">
        <v>2016</v>
      </c>
      <c r="F541" s="30">
        <v>2016</v>
      </c>
      <c r="G541" s="30" t="s">
        <v>1435</v>
      </c>
      <c r="H541" s="27">
        <v>0.57546573816155988</v>
      </c>
      <c r="I541" s="27">
        <v>0.55526904596100279</v>
      </c>
      <c r="J541" s="27">
        <v>0</v>
      </c>
      <c r="K541" s="27">
        <v>4.1318440000000001</v>
      </c>
      <c r="L541" s="27">
        <v>0.19205699999999998</v>
      </c>
      <c r="M541" s="27">
        <v>1.9124369999999999</v>
      </c>
      <c r="N541" s="27">
        <v>2.0273499999999998</v>
      </c>
      <c r="O541" s="27">
        <v>0</v>
      </c>
      <c r="P541" s="27">
        <v>3.9868317499999999</v>
      </c>
      <c r="Q541" s="27">
        <v>0</v>
      </c>
      <c r="R541" s="27">
        <v>1.9730249799999999</v>
      </c>
      <c r="S541" s="27">
        <v>2.01380677</v>
      </c>
      <c r="T541" s="27">
        <v>0</v>
      </c>
      <c r="U541" s="27">
        <v>0.57546573816155988</v>
      </c>
      <c r="V541" s="27">
        <v>4.1318440000000001</v>
      </c>
      <c r="W541" s="27">
        <v>0</v>
      </c>
      <c r="X541" s="27">
        <f t="shared" si="46"/>
        <v>0</v>
      </c>
      <c r="Y541" s="27">
        <v>0</v>
      </c>
      <c r="Z541" s="27">
        <f t="shared" si="45"/>
        <v>0</v>
      </c>
      <c r="AA541" s="27">
        <v>0</v>
      </c>
      <c r="AB541" s="28">
        <v>0</v>
      </c>
      <c r="AC541" s="27">
        <v>0</v>
      </c>
      <c r="AD541" s="28">
        <v>0</v>
      </c>
      <c r="AE541" s="27">
        <f>4.87557592/1.18</f>
        <v>4.1318440000000001</v>
      </c>
      <c r="AF541" s="28">
        <f>4.704461465/1.18</f>
        <v>3.9868317499999999</v>
      </c>
      <c r="AG541" s="27">
        <v>0</v>
      </c>
      <c r="AH541" s="28">
        <v>0</v>
      </c>
      <c r="AI541" s="27">
        <v>0</v>
      </c>
      <c r="AJ541" s="27">
        <v>0</v>
      </c>
      <c r="AK541" s="27">
        <v>0</v>
      </c>
      <c r="AL541" s="27">
        <v>0</v>
      </c>
      <c r="AM541" s="27">
        <f t="shared" si="48"/>
        <v>3.9868317499999999</v>
      </c>
      <c r="AN541" s="27">
        <f t="shared" si="47"/>
        <v>3.9868317499999999</v>
      </c>
      <c r="AO541" s="35" t="s">
        <v>1486</v>
      </c>
    </row>
    <row r="542" spans="1:41" ht="48.75" customHeight="1" x14ac:dyDescent="0.25">
      <c r="A542" s="8" t="s">
        <v>96</v>
      </c>
      <c r="B542" s="37" t="s">
        <v>1419</v>
      </c>
      <c r="C542" s="29" t="s">
        <v>1427</v>
      </c>
      <c r="D542" s="38" t="s">
        <v>1481</v>
      </c>
      <c r="E542" s="30">
        <v>2016</v>
      </c>
      <c r="F542" s="30">
        <v>2016</v>
      </c>
      <c r="G542" s="30" t="s">
        <v>1435</v>
      </c>
      <c r="H542" s="27">
        <v>0</v>
      </c>
      <c r="I542" s="27">
        <v>6.9809924791086359E-2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0.50123526000000007</v>
      </c>
      <c r="Q542" s="27">
        <v>2.3051780000000001E-2</v>
      </c>
      <c r="R542" s="27">
        <v>0.33114062999999999</v>
      </c>
      <c r="S542" s="27">
        <v>0.14704284999999997</v>
      </c>
      <c r="T542" s="27">
        <v>0</v>
      </c>
      <c r="U542" s="27">
        <v>0</v>
      </c>
      <c r="V542" s="27">
        <v>0</v>
      </c>
      <c r="W542" s="27">
        <v>0</v>
      </c>
      <c r="X542" s="27">
        <f t="shared" si="46"/>
        <v>0</v>
      </c>
      <c r="Y542" s="27">
        <v>0</v>
      </c>
      <c r="Z542" s="27">
        <f t="shared" si="45"/>
        <v>0</v>
      </c>
      <c r="AA542" s="27">
        <v>0</v>
      </c>
      <c r="AB542" s="28">
        <v>0</v>
      </c>
      <c r="AC542" s="27">
        <v>0</v>
      </c>
      <c r="AD542" s="28">
        <v>0</v>
      </c>
      <c r="AE542" s="27">
        <v>0</v>
      </c>
      <c r="AF542" s="28">
        <v>0.50123526000000007</v>
      </c>
      <c r="AG542" s="27">
        <v>0</v>
      </c>
      <c r="AH542" s="28">
        <v>0</v>
      </c>
      <c r="AI542" s="27">
        <v>0</v>
      </c>
      <c r="AJ542" s="27">
        <v>0</v>
      </c>
      <c r="AK542" s="27">
        <v>0</v>
      </c>
      <c r="AL542" s="27">
        <v>0</v>
      </c>
      <c r="AM542" s="27">
        <f t="shared" si="48"/>
        <v>0.50123526000000007</v>
      </c>
      <c r="AN542" s="27">
        <f t="shared" si="47"/>
        <v>0.50123526000000007</v>
      </c>
      <c r="AO542" s="35" t="s">
        <v>1485</v>
      </c>
    </row>
    <row r="543" spans="1:41" ht="49.5" customHeight="1" x14ac:dyDescent="0.25">
      <c r="A543" s="8" t="s">
        <v>96</v>
      </c>
      <c r="B543" s="37" t="s">
        <v>1420</v>
      </c>
      <c r="C543" s="29" t="s">
        <v>1428</v>
      </c>
      <c r="D543" s="38" t="s">
        <v>1481</v>
      </c>
      <c r="E543" s="30">
        <v>2016</v>
      </c>
      <c r="F543" s="30">
        <v>2016</v>
      </c>
      <c r="G543" s="30" t="s">
        <v>1435</v>
      </c>
      <c r="H543" s="27">
        <v>0</v>
      </c>
      <c r="I543" s="27">
        <v>1.0183778551532035E-2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7.3119530000000002E-2</v>
      </c>
      <c r="Q543" s="27">
        <v>0</v>
      </c>
      <c r="R543" s="27">
        <v>4.6795129999999997E-2</v>
      </c>
      <c r="S543" s="27">
        <v>2.6324400000000001E-2</v>
      </c>
      <c r="T543" s="27">
        <v>0</v>
      </c>
      <c r="U543" s="27">
        <v>0</v>
      </c>
      <c r="V543" s="27">
        <v>0</v>
      </c>
      <c r="W543" s="27">
        <v>0</v>
      </c>
      <c r="X543" s="27">
        <f t="shared" si="46"/>
        <v>0</v>
      </c>
      <c r="Y543" s="27">
        <v>0</v>
      </c>
      <c r="Z543" s="27">
        <f t="shared" si="45"/>
        <v>0</v>
      </c>
      <c r="AA543" s="27">
        <v>0</v>
      </c>
      <c r="AB543" s="28">
        <v>0</v>
      </c>
      <c r="AC543" s="27">
        <v>0</v>
      </c>
      <c r="AD543" s="28">
        <v>0</v>
      </c>
      <c r="AE543" s="27">
        <v>0</v>
      </c>
      <c r="AF543" s="28">
        <v>7.3119530000000002E-2</v>
      </c>
      <c r="AG543" s="27">
        <v>0</v>
      </c>
      <c r="AH543" s="28">
        <v>0</v>
      </c>
      <c r="AI543" s="27">
        <v>0</v>
      </c>
      <c r="AJ543" s="27">
        <v>0</v>
      </c>
      <c r="AK543" s="27">
        <v>0</v>
      </c>
      <c r="AL543" s="27">
        <v>0</v>
      </c>
      <c r="AM543" s="27">
        <f t="shared" si="48"/>
        <v>7.3119530000000002E-2</v>
      </c>
      <c r="AN543" s="27">
        <f t="shared" si="47"/>
        <v>7.3119530000000002E-2</v>
      </c>
      <c r="AO543" s="35" t="s">
        <v>1485</v>
      </c>
    </row>
    <row r="544" spans="1:41" ht="45.75" customHeight="1" x14ac:dyDescent="0.25">
      <c r="A544" s="8" t="s">
        <v>96</v>
      </c>
      <c r="B544" s="37" t="s">
        <v>1421</v>
      </c>
      <c r="C544" s="29" t="s">
        <v>1429</v>
      </c>
      <c r="D544" s="38" t="s">
        <v>1481</v>
      </c>
      <c r="E544" s="30">
        <v>2016</v>
      </c>
      <c r="F544" s="30">
        <v>2016</v>
      </c>
      <c r="G544" s="30" t="s">
        <v>1435</v>
      </c>
      <c r="H544" s="27">
        <v>0</v>
      </c>
      <c r="I544" s="27">
        <v>1.9175565459610029E-2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0.13768056000000001</v>
      </c>
      <c r="Q544" s="27">
        <v>1.0689349999999999E-2</v>
      </c>
      <c r="R544" s="27">
        <v>2.8808689999999998E-2</v>
      </c>
      <c r="S544" s="27">
        <v>9.8182519999999995E-2</v>
      </c>
      <c r="T544" s="27">
        <v>0</v>
      </c>
      <c r="U544" s="27">
        <v>0</v>
      </c>
      <c r="V544" s="27">
        <v>0</v>
      </c>
      <c r="W544" s="27">
        <v>0</v>
      </c>
      <c r="X544" s="27">
        <f t="shared" si="46"/>
        <v>0</v>
      </c>
      <c r="Y544" s="27">
        <v>0</v>
      </c>
      <c r="Z544" s="27">
        <f t="shared" si="45"/>
        <v>0</v>
      </c>
      <c r="AA544" s="27">
        <v>0</v>
      </c>
      <c r="AB544" s="28">
        <v>0</v>
      </c>
      <c r="AC544" s="27">
        <v>0</v>
      </c>
      <c r="AD544" s="28">
        <v>0</v>
      </c>
      <c r="AE544" s="27">
        <v>0</v>
      </c>
      <c r="AF544" s="28">
        <v>0.13768056000000001</v>
      </c>
      <c r="AG544" s="27">
        <v>0</v>
      </c>
      <c r="AH544" s="28">
        <v>0</v>
      </c>
      <c r="AI544" s="27">
        <v>0</v>
      </c>
      <c r="AJ544" s="27">
        <v>0</v>
      </c>
      <c r="AK544" s="27">
        <v>0</v>
      </c>
      <c r="AL544" s="27">
        <v>0</v>
      </c>
      <c r="AM544" s="27">
        <f t="shared" si="48"/>
        <v>0.13768056000000001</v>
      </c>
      <c r="AN544" s="27">
        <f t="shared" si="47"/>
        <v>0.13768056000000001</v>
      </c>
      <c r="AO544" s="35" t="s">
        <v>1485</v>
      </c>
    </row>
    <row r="545" spans="1:41" ht="48.75" customHeight="1" x14ac:dyDescent="0.25">
      <c r="A545" s="8" t="s">
        <v>96</v>
      </c>
      <c r="B545" s="37" t="s">
        <v>1422</v>
      </c>
      <c r="C545" s="29" t="s">
        <v>1430</v>
      </c>
      <c r="D545" s="38" t="s">
        <v>1481</v>
      </c>
      <c r="E545" s="30">
        <v>2016</v>
      </c>
      <c r="F545" s="30">
        <v>2016</v>
      </c>
      <c r="G545" s="30" t="s">
        <v>1435</v>
      </c>
      <c r="H545" s="27">
        <v>0</v>
      </c>
      <c r="I545" s="27">
        <v>1.7764048746518109E-2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0.12754587000000001</v>
      </c>
      <c r="Q545" s="27">
        <v>0</v>
      </c>
      <c r="R545" s="27">
        <v>8.5347999999999993E-2</v>
      </c>
      <c r="S545" s="27">
        <v>4.2197869999999998E-2</v>
      </c>
      <c r="T545" s="27">
        <v>0</v>
      </c>
      <c r="U545" s="27">
        <v>0</v>
      </c>
      <c r="V545" s="27">
        <v>0</v>
      </c>
      <c r="W545" s="27">
        <v>0</v>
      </c>
      <c r="X545" s="27">
        <f t="shared" si="46"/>
        <v>0</v>
      </c>
      <c r="Y545" s="27">
        <v>0</v>
      </c>
      <c r="Z545" s="27">
        <f t="shared" si="45"/>
        <v>0</v>
      </c>
      <c r="AA545" s="27">
        <v>0</v>
      </c>
      <c r="AB545" s="28">
        <v>0</v>
      </c>
      <c r="AC545" s="27">
        <v>0</v>
      </c>
      <c r="AD545" s="28">
        <v>0</v>
      </c>
      <c r="AE545" s="27">
        <v>0</v>
      </c>
      <c r="AF545" s="28">
        <v>0.12754587000000001</v>
      </c>
      <c r="AG545" s="27">
        <v>0</v>
      </c>
      <c r="AH545" s="28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f t="shared" si="48"/>
        <v>0.12754587000000001</v>
      </c>
      <c r="AN545" s="27">
        <f t="shared" si="47"/>
        <v>0.12754587000000001</v>
      </c>
      <c r="AO545" s="35" t="s">
        <v>1485</v>
      </c>
    </row>
    <row r="546" spans="1:41" ht="50.25" customHeight="1" x14ac:dyDescent="0.25">
      <c r="A546" s="8" t="s">
        <v>96</v>
      </c>
      <c r="B546" s="37" t="s">
        <v>1423</v>
      </c>
      <c r="C546" s="29" t="s">
        <v>1431</v>
      </c>
      <c r="D546" s="38" t="s">
        <v>1481</v>
      </c>
      <c r="E546" s="30">
        <v>2016</v>
      </c>
      <c r="F546" s="30">
        <v>2016</v>
      </c>
      <c r="G546" s="30" t="s">
        <v>1435</v>
      </c>
      <c r="H546" s="27">
        <v>0</v>
      </c>
      <c r="I546" s="27">
        <v>2.7467880222841228E-2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0.19721938</v>
      </c>
      <c r="Q546" s="27">
        <v>1.7749900000000002E-3</v>
      </c>
      <c r="R546" s="27">
        <v>3.3805809999999999E-2</v>
      </c>
      <c r="S546" s="27">
        <v>0.16163858</v>
      </c>
      <c r="T546" s="27">
        <v>0</v>
      </c>
      <c r="U546" s="27">
        <v>0</v>
      </c>
      <c r="V546" s="27">
        <v>0</v>
      </c>
      <c r="W546" s="27">
        <v>0</v>
      </c>
      <c r="X546" s="27">
        <f t="shared" si="46"/>
        <v>0</v>
      </c>
      <c r="Y546" s="27">
        <v>0</v>
      </c>
      <c r="Z546" s="27">
        <f t="shared" si="45"/>
        <v>0</v>
      </c>
      <c r="AA546" s="27">
        <v>0</v>
      </c>
      <c r="AB546" s="28">
        <v>0</v>
      </c>
      <c r="AC546" s="27">
        <v>0</v>
      </c>
      <c r="AD546" s="28">
        <v>0</v>
      </c>
      <c r="AE546" s="27">
        <v>0</v>
      </c>
      <c r="AF546" s="28">
        <v>0.19721938</v>
      </c>
      <c r="AG546" s="27">
        <v>0</v>
      </c>
      <c r="AH546" s="28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f t="shared" si="48"/>
        <v>0.19721938</v>
      </c>
      <c r="AN546" s="27">
        <f t="shared" si="47"/>
        <v>0.19721938</v>
      </c>
      <c r="AO546" s="35" t="s">
        <v>1485</v>
      </c>
    </row>
    <row r="547" spans="1:41" ht="47.25" customHeight="1" x14ac:dyDescent="0.25">
      <c r="A547" s="8" t="s">
        <v>96</v>
      </c>
      <c r="B547" s="37" t="s">
        <v>1424</v>
      </c>
      <c r="C547" s="29" t="s">
        <v>1432</v>
      </c>
      <c r="D547" s="38" t="s">
        <v>1481</v>
      </c>
      <c r="E547" s="30">
        <v>2016</v>
      </c>
      <c r="F547" s="30">
        <v>2016</v>
      </c>
      <c r="G547" s="30" t="s">
        <v>1435</v>
      </c>
      <c r="H547" s="27">
        <v>0</v>
      </c>
      <c r="I547" s="27">
        <v>3.5120483286908089E-2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0.25216507000000005</v>
      </c>
      <c r="Q547" s="27">
        <v>2.4225899999999998E-2</v>
      </c>
      <c r="R547" s="27">
        <v>0.15973021000000001</v>
      </c>
      <c r="S547" s="27">
        <v>6.8208959999999999E-2</v>
      </c>
      <c r="T547" s="27">
        <v>0</v>
      </c>
      <c r="U547" s="27">
        <v>0</v>
      </c>
      <c r="V547" s="27">
        <v>0</v>
      </c>
      <c r="W547" s="27">
        <v>0</v>
      </c>
      <c r="X547" s="27">
        <f t="shared" si="46"/>
        <v>0</v>
      </c>
      <c r="Y547" s="27">
        <v>0</v>
      </c>
      <c r="Z547" s="27">
        <f t="shared" si="45"/>
        <v>0</v>
      </c>
      <c r="AA547" s="27">
        <v>0</v>
      </c>
      <c r="AB547" s="28">
        <v>0</v>
      </c>
      <c r="AC547" s="27">
        <v>0</v>
      </c>
      <c r="AD547" s="28">
        <v>0</v>
      </c>
      <c r="AE547" s="27">
        <v>0</v>
      </c>
      <c r="AF547" s="28">
        <v>0.25216507000000005</v>
      </c>
      <c r="AG547" s="27">
        <v>0</v>
      </c>
      <c r="AH547" s="28">
        <v>0</v>
      </c>
      <c r="AI547" s="27">
        <v>0</v>
      </c>
      <c r="AJ547" s="27">
        <v>0</v>
      </c>
      <c r="AK547" s="27">
        <v>0</v>
      </c>
      <c r="AL547" s="27">
        <v>0</v>
      </c>
      <c r="AM547" s="27">
        <f t="shared" si="48"/>
        <v>0.25216507000000005</v>
      </c>
      <c r="AN547" s="27">
        <f t="shared" si="47"/>
        <v>0.25216507000000005</v>
      </c>
      <c r="AO547" s="35" t="s">
        <v>1485</v>
      </c>
    </row>
    <row r="548" spans="1:41" ht="46.5" customHeight="1" x14ac:dyDescent="0.25">
      <c r="A548" s="8" t="s">
        <v>96</v>
      </c>
      <c r="B548" s="37" t="s">
        <v>1425</v>
      </c>
      <c r="C548" s="29" t="s">
        <v>1433</v>
      </c>
      <c r="D548" s="38" t="s">
        <v>1481</v>
      </c>
      <c r="E548" s="30">
        <v>2016</v>
      </c>
      <c r="F548" s="30">
        <v>2016</v>
      </c>
      <c r="G548" s="30" t="s">
        <v>1435</v>
      </c>
      <c r="H548" s="27">
        <v>0</v>
      </c>
      <c r="I548" s="27">
        <v>3.930409329115718E-2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0.28220338983050852</v>
      </c>
      <c r="Q548" s="27">
        <v>4.0395269999999997E-2</v>
      </c>
      <c r="R548" s="27">
        <v>0.15158979</v>
      </c>
      <c r="S548" s="27">
        <v>8.9625119999999989E-2</v>
      </c>
      <c r="T548" s="27">
        <v>0</v>
      </c>
      <c r="U548" s="27">
        <v>0</v>
      </c>
      <c r="V548" s="27">
        <v>0</v>
      </c>
      <c r="W548" s="27">
        <v>0</v>
      </c>
      <c r="X548" s="27">
        <f t="shared" si="46"/>
        <v>0</v>
      </c>
      <c r="Y548" s="27">
        <v>0</v>
      </c>
      <c r="Z548" s="27">
        <f t="shared" si="45"/>
        <v>0</v>
      </c>
      <c r="AA548" s="27">
        <v>0</v>
      </c>
      <c r="AB548" s="28">
        <v>0</v>
      </c>
      <c r="AC548" s="27">
        <v>0</v>
      </c>
      <c r="AD548" s="28">
        <v>0</v>
      </c>
      <c r="AE548" s="27">
        <v>0</v>
      </c>
      <c r="AF548" s="28">
        <v>0.28220338983050852</v>
      </c>
      <c r="AG548" s="27">
        <v>0</v>
      </c>
      <c r="AH548" s="28">
        <v>0</v>
      </c>
      <c r="AI548" s="27">
        <v>0</v>
      </c>
      <c r="AJ548" s="27">
        <v>0</v>
      </c>
      <c r="AK548" s="27">
        <v>0</v>
      </c>
      <c r="AL548" s="27">
        <v>0</v>
      </c>
      <c r="AM548" s="27">
        <f t="shared" si="48"/>
        <v>0.28220338983050852</v>
      </c>
      <c r="AN548" s="27">
        <f t="shared" si="47"/>
        <v>0.28220338983050852</v>
      </c>
      <c r="AO548" s="35" t="s">
        <v>1485</v>
      </c>
    </row>
    <row r="549" spans="1:41" ht="57" customHeight="1" x14ac:dyDescent="0.25">
      <c r="A549" s="8" t="s">
        <v>96</v>
      </c>
      <c r="B549" s="37" t="s">
        <v>1426</v>
      </c>
      <c r="C549" s="29" t="s">
        <v>1434</v>
      </c>
      <c r="D549" s="38" t="s">
        <v>1481</v>
      </c>
      <c r="E549" s="30">
        <v>2016</v>
      </c>
      <c r="F549" s="30">
        <v>2016</v>
      </c>
      <c r="G549" s="30" t="s">
        <v>1435</v>
      </c>
      <c r="H549" s="27">
        <v>0</v>
      </c>
      <c r="I549" s="27">
        <v>0.23010286211699166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1.6521385500000001</v>
      </c>
      <c r="Q549" s="27">
        <v>2.1621600000000001E-2</v>
      </c>
      <c r="R549" s="27">
        <v>0</v>
      </c>
      <c r="S549" s="27">
        <v>1.6305169499999999</v>
      </c>
      <c r="T549" s="27">
        <v>0</v>
      </c>
      <c r="U549" s="27">
        <v>0</v>
      </c>
      <c r="V549" s="27">
        <v>0</v>
      </c>
      <c r="W549" s="27">
        <v>0</v>
      </c>
      <c r="X549" s="27">
        <f t="shared" si="46"/>
        <v>0</v>
      </c>
      <c r="Y549" s="27">
        <v>0</v>
      </c>
      <c r="Z549" s="27">
        <f t="shared" si="45"/>
        <v>0</v>
      </c>
      <c r="AA549" s="27">
        <v>0</v>
      </c>
      <c r="AB549" s="28">
        <v>0</v>
      </c>
      <c r="AC549" s="27">
        <v>0</v>
      </c>
      <c r="AD549" s="28">
        <v>0</v>
      </c>
      <c r="AE549" s="27">
        <v>0</v>
      </c>
      <c r="AF549" s="28">
        <v>1.6521385500000001</v>
      </c>
      <c r="AG549" s="27">
        <v>0</v>
      </c>
      <c r="AH549" s="28">
        <v>0</v>
      </c>
      <c r="AI549" s="27">
        <v>0</v>
      </c>
      <c r="AJ549" s="27">
        <v>0</v>
      </c>
      <c r="AK549" s="27">
        <v>0</v>
      </c>
      <c r="AL549" s="27">
        <v>0</v>
      </c>
      <c r="AM549" s="27">
        <f t="shared" si="48"/>
        <v>1.6521385500000001</v>
      </c>
      <c r="AN549" s="27">
        <f t="shared" si="47"/>
        <v>1.6521385500000001</v>
      </c>
      <c r="AO549" s="35" t="s">
        <v>1485</v>
      </c>
    </row>
    <row r="550" spans="1:41" ht="31.5" customHeight="1" x14ac:dyDescent="0.25">
      <c r="A550" s="8" t="s">
        <v>96</v>
      </c>
      <c r="B550" s="37" t="s">
        <v>1461</v>
      </c>
      <c r="C550" s="29" t="s">
        <v>1462</v>
      </c>
      <c r="D550" s="38" t="s">
        <v>1481</v>
      </c>
      <c r="E550" s="30">
        <v>2016</v>
      </c>
      <c r="F550" s="30">
        <v>2016</v>
      </c>
      <c r="G550" s="30" t="s">
        <v>1435</v>
      </c>
      <c r="H550" s="27">
        <v>0</v>
      </c>
      <c r="I550" s="27">
        <v>1.4828856545961007E-2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0.10647119000000002</v>
      </c>
      <c r="Q550" s="27">
        <v>0</v>
      </c>
      <c r="R550" s="27">
        <v>9.126577000000001E-2</v>
      </c>
      <c r="S550" s="27">
        <v>1.5205420000000001E-2</v>
      </c>
      <c r="T550" s="27">
        <v>0</v>
      </c>
      <c r="U550" s="27">
        <v>0</v>
      </c>
      <c r="V550" s="27">
        <v>0</v>
      </c>
      <c r="W550" s="27">
        <v>0</v>
      </c>
      <c r="X550" s="27">
        <f t="shared" si="46"/>
        <v>0</v>
      </c>
      <c r="Y550" s="27">
        <v>0</v>
      </c>
      <c r="Z550" s="27">
        <f t="shared" si="45"/>
        <v>0</v>
      </c>
      <c r="AA550" s="27">
        <v>0</v>
      </c>
      <c r="AB550" s="28">
        <v>0</v>
      </c>
      <c r="AC550" s="27">
        <v>0</v>
      </c>
      <c r="AD550" s="28">
        <v>0</v>
      </c>
      <c r="AE550" s="27">
        <v>0</v>
      </c>
      <c r="AF550" s="28">
        <f>0.1256360042/1.18</f>
        <v>0.10647119000000002</v>
      </c>
      <c r="AG550" s="27">
        <v>0</v>
      </c>
      <c r="AH550" s="28">
        <v>0</v>
      </c>
      <c r="AI550" s="27">
        <v>0</v>
      </c>
      <c r="AJ550" s="27">
        <v>0</v>
      </c>
      <c r="AK550" s="27">
        <v>0</v>
      </c>
      <c r="AL550" s="27">
        <v>0</v>
      </c>
      <c r="AM550" s="27">
        <f t="shared" si="48"/>
        <v>0.10647119000000002</v>
      </c>
      <c r="AN550" s="27">
        <f t="shared" si="47"/>
        <v>0.10647119000000002</v>
      </c>
      <c r="AO550" s="35" t="s">
        <v>1489</v>
      </c>
    </row>
    <row r="551" spans="1:41" ht="31.5" customHeight="1" x14ac:dyDescent="0.25">
      <c r="A551" s="8" t="s">
        <v>96</v>
      </c>
      <c r="B551" s="37" t="s">
        <v>1463</v>
      </c>
      <c r="C551" s="29" t="s">
        <v>1464</v>
      </c>
      <c r="D551" s="38" t="s">
        <v>1481</v>
      </c>
      <c r="E551" s="30">
        <v>2016</v>
      </c>
      <c r="F551" s="30">
        <v>2016</v>
      </c>
      <c r="G551" s="30" t="s">
        <v>1435</v>
      </c>
      <c r="H551" s="27">
        <v>0</v>
      </c>
      <c r="I551" s="27">
        <v>1.3461901114206129E-2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9.6656450000000005E-2</v>
      </c>
      <c r="Q551" s="27">
        <v>0</v>
      </c>
      <c r="R551" s="27">
        <v>8.9606210000000006E-2</v>
      </c>
      <c r="S551" s="27">
        <v>7.0502399999999993E-3</v>
      </c>
      <c r="T551" s="27">
        <v>0</v>
      </c>
      <c r="U551" s="27">
        <v>0</v>
      </c>
      <c r="V551" s="27">
        <v>0</v>
      </c>
      <c r="W551" s="27">
        <v>0</v>
      </c>
      <c r="X551" s="27">
        <f t="shared" si="46"/>
        <v>0</v>
      </c>
      <c r="Y551" s="27">
        <v>0</v>
      </c>
      <c r="Z551" s="27">
        <f t="shared" si="45"/>
        <v>0</v>
      </c>
      <c r="AA551" s="27">
        <v>0</v>
      </c>
      <c r="AB551" s="28">
        <v>0</v>
      </c>
      <c r="AC551" s="27">
        <v>0</v>
      </c>
      <c r="AD551" s="28">
        <v>0</v>
      </c>
      <c r="AE551" s="27">
        <v>0</v>
      </c>
      <c r="AF551" s="28">
        <f>0.114054611/1.18</f>
        <v>9.6656450000000005E-2</v>
      </c>
      <c r="AG551" s="27">
        <v>0</v>
      </c>
      <c r="AH551" s="28">
        <v>0</v>
      </c>
      <c r="AI551" s="27">
        <v>0</v>
      </c>
      <c r="AJ551" s="27">
        <v>0</v>
      </c>
      <c r="AK551" s="27">
        <v>0</v>
      </c>
      <c r="AL551" s="27">
        <v>0</v>
      </c>
      <c r="AM551" s="27">
        <f t="shared" si="48"/>
        <v>9.6656450000000005E-2</v>
      </c>
      <c r="AN551" s="27">
        <f t="shared" si="47"/>
        <v>9.6656450000000005E-2</v>
      </c>
      <c r="AO551" s="35" t="s">
        <v>1489</v>
      </c>
    </row>
    <row r="552" spans="1:41" ht="31.5" customHeight="1" x14ac:dyDescent="0.25">
      <c r="A552" s="8" t="s">
        <v>96</v>
      </c>
      <c r="B552" s="37" t="s">
        <v>1465</v>
      </c>
      <c r="C552" s="29" t="s">
        <v>1466</v>
      </c>
      <c r="D552" s="38" t="s">
        <v>1481</v>
      </c>
      <c r="E552" s="30">
        <v>2016</v>
      </c>
      <c r="F552" s="30">
        <v>2016</v>
      </c>
      <c r="G552" s="30" t="s">
        <v>1435</v>
      </c>
      <c r="H552" s="27">
        <v>0</v>
      </c>
      <c r="I552" s="27">
        <v>4.3238584958217273E-2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0.31045304000000001</v>
      </c>
      <c r="Q552" s="27">
        <v>0</v>
      </c>
      <c r="R552" s="27">
        <v>0.27392137</v>
      </c>
      <c r="S552" s="27">
        <v>3.6531669999999995E-2</v>
      </c>
      <c r="T552" s="27">
        <v>0</v>
      </c>
      <c r="U552" s="27">
        <v>0</v>
      </c>
      <c r="V552" s="27">
        <v>0</v>
      </c>
      <c r="W552" s="27">
        <v>0</v>
      </c>
      <c r="X552" s="27">
        <f t="shared" si="46"/>
        <v>0</v>
      </c>
      <c r="Y552" s="27">
        <v>0</v>
      </c>
      <c r="Z552" s="27">
        <f t="shared" si="45"/>
        <v>0</v>
      </c>
      <c r="AA552" s="27">
        <v>0</v>
      </c>
      <c r="AB552" s="28">
        <v>0</v>
      </c>
      <c r="AC552" s="27">
        <v>0</v>
      </c>
      <c r="AD552" s="28">
        <v>0</v>
      </c>
      <c r="AE552" s="27">
        <v>0</v>
      </c>
      <c r="AF552" s="28">
        <f>0.3663345872/1.18</f>
        <v>0.31045304000000001</v>
      </c>
      <c r="AG552" s="27">
        <v>0</v>
      </c>
      <c r="AH552" s="28">
        <v>0</v>
      </c>
      <c r="AI552" s="27">
        <v>0</v>
      </c>
      <c r="AJ552" s="27">
        <v>0</v>
      </c>
      <c r="AK552" s="27">
        <v>0</v>
      </c>
      <c r="AL552" s="27">
        <v>0</v>
      </c>
      <c r="AM552" s="27">
        <f t="shared" si="48"/>
        <v>0.31045304000000001</v>
      </c>
      <c r="AN552" s="27">
        <f t="shared" si="47"/>
        <v>0.31045304000000001</v>
      </c>
      <c r="AO552" s="35" t="s">
        <v>1489</v>
      </c>
    </row>
    <row r="553" spans="1:41" ht="31.5" customHeight="1" x14ac:dyDescent="0.25">
      <c r="A553" s="8" t="s">
        <v>96</v>
      </c>
      <c r="B553" s="37" t="s">
        <v>1003</v>
      </c>
      <c r="C553" s="29" t="s">
        <v>1004</v>
      </c>
      <c r="D553" s="38" t="s">
        <v>1483</v>
      </c>
      <c r="E553" s="30">
        <v>2017</v>
      </c>
      <c r="F553" s="30">
        <v>2017</v>
      </c>
      <c r="G553" s="30">
        <v>2017</v>
      </c>
      <c r="H553" s="27">
        <v>1.211390668523677</v>
      </c>
      <c r="I553" s="27">
        <v>0.60569533426183852</v>
      </c>
      <c r="J553" s="27">
        <v>0</v>
      </c>
      <c r="K553" s="27">
        <v>8.6977850000000014</v>
      </c>
      <c r="L553" s="27">
        <v>0.424985</v>
      </c>
      <c r="M553" s="27">
        <v>5.2278599999999997</v>
      </c>
      <c r="N553" s="27">
        <v>3.04494</v>
      </c>
      <c r="O553" s="27">
        <v>0</v>
      </c>
      <c r="P553" s="27">
        <v>4.3488925000000007</v>
      </c>
      <c r="Q553" s="27">
        <v>0.2124925</v>
      </c>
      <c r="R553" s="27">
        <v>2.6139299999999999</v>
      </c>
      <c r="S553" s="27">
        <v>1.52247</v>
      </c>
      <c r="T553" s="27">
        <v>0</v>
      </c>
      <c r="U553" s="27">
        <v>1.211390668523677</v>
      </c>
      <c r="V553" s="27">
        <v>8.6977850000000014</v>
      </c>
      <c r="W553" s="27">
        <v>0.60569533426183852</v>
      </c>
      <c r="X553" s="27">
        <f t="shared" si="46"/>
        <v>4.3488925000000007</v>
      </c>
      <c r="Y553" s="27">
        <v>0.60569533426183852</v>
      </c>
      <c r="Z553" s="27">
        <f t="shared" si="45"/>
        <v>4.3488925000000007</v>
      </c>
      <c r="AA553" s="27">
        <v>0</v>
      </c>
      <c r="AB553" s="28">
        <v>0</v>
      </c>
      <c r="AC553" s="27">
        <v>0</v>
      </c>
      <c r="AD553" s="28">
        <v>0</v>
      </c>
      <c r="AE553" s="27">
        <v>0</v>
      </c>
      <c r="AF553" s="28">
        <v>0</v>
      </c>
      <c r="AG553" s="27">
        <f>5.13169315/1.18</f>
        <v>4.3488925000000007</v>
      </c>
      <c r="AH553" s="28">
        <f>5.13169315/1.18</f>
        <v>4.3488925000000007</v>
      </c>
      <c r="AI553" s="27">
        <v>0</v>
      </c>
      <c r="AJ553" s="27">
        <v>0</v>
      </c>
      <c r="AK553" s="27">
        <v>0</v>
      </c>
      <c r="AL553" s="27">
        <v>0</v>
      </c>
      <c r="AM553" s="27">
        <f t="shared" si="48"/>
        <v>4.3488925000000007</v>
      </c>
      <c r="AN553" s="27">
        <f t="shared" si="47"/>
        <v>4.3488925000000007</v>
      </c>
      <c r="AO553" s="35" t="s">
        <v>1435</v>
      </c>
    </row>
    <row r="554" spans="1:41" ht="31.5" customHeight="1" x14ac:dyDescent="0.25">
      <c r="A554" s="8" t="s">
        <v>96</v>
      </c>
      <c r="B554" s="37" t="s">
        <v>1005</v>
      </c>
      <c r="C554" s="29" t="s">
        <v>1006</v>
      </c>
      <c r="D554" s="38" t="s">
        <v>1483</v>
      </c>
      <c r="E554" s="30">
        <v>2017</v>
      </c>
      <c r="F554" s="30">
        <v>2017</v>
      </c>
      <c r="G554" s="30">
        <v>2017</v>
      </c>
      <c r="H554" s="27">
        <v>1.0532156267409472</v>
      </c>
      <c r="I554" s="27">
        <v>0.52660781337047358</v>
      </c>
      <c r="J554" s="27">
        <v>0</v>
      </c>
      <c r="K554" s="27">
        <v>7.5620882000000007</v>
      </c>
      <c r="L554" s="27">
        <v>0.91207820000000006</v>
      </c>
      <c r="M554" s="27">
        <v>3.1406700000000001</v>
      </c>
      <c r="N554" s="27">
        <v>3.5093400000000003</v>
      </c>
      <c r="O554" s="27">
        <v>0</v>
      </c>
      <c r="P554" s="27">
        <v>3.7810441000000004</v>
      </c>
      <c r="Q554" s="27">
        <v>0.45603910000000003</v>
      </c>
      <c r="R554" s="27">
        <v>1.570335</v>
      </c>
      <c r="S554" s="27">
        <v>1.7546700000000002</v>
      </c>
      <c r="T554" s="27">
        <v>0</v>
      </c>
      <c r="U554" s="27">
        <v>1.0532156267409472</v>
      </c>
      <c r="V554" s="27">
        <v>7.5620882000000007</v>
      </c>
      <c r="W554" s="27">
        <v>0.52660781337047358</v>
      </c>
      <c r="X554" s="27">
        <f t="shared" si="46"/>
        <v>3.7810441000000004</v>
      </c>
      <c r="Y554" s="27">
        <v>0.52660781337047358</v>
      </c>
      <c r="Z554" s="27">
        <f t="shared" si="45"/>
        <v>3.7810441000000004</v>
      </c>
      <c r="AA554" s="27">
        <v>0</v>
      </c>
      <c r="AB554" s="28">
        <v>0</v>
      </c>
      <c r="AC554" s="27">
        <v>0</v>
      </c>
      <c r="AD554" s="28">
        <v>0</v>
      </c>
      <c r="AE554" s="27">
        <v>0</v>
      </c>
      <c r="AF554" s="28">
        <v>0</v>
      </c>
      <c r="AG554" s="27">
        <f>4.461632038/1.18</f>
        <v>3.7810441000000004</v>
      </c>
      <c r="AH554" s="28">
        <f>4.461632038/1.18</f>
        <v>3.7810441000000004</v>
      </c>
      <c r="AI554" s="27">
        <v>0</v>
      </c>
      <c r="AJ554" s="27">
        <v>0</v>
      </c>
      <c r="AK554" s="27">
        <v>0</v>
      </c>
      <c r="AL554" s="27">
        <v>0</v>
      </c>
      <c r="AM554" s="27">
        <f t="shared" si="48"/>
        <v>3.7810441000000004</v>
      </c>
      <c r="AN554" s="27">
        <f t="shared" si="47"/>
        <v>3.7810441000000004</v>
      </c>
      <c r="AO554" s="35" t="s">
        <v>1435</v>
      </c>
    </row>
    <row r="555" spans="1:41" ht="31.5" customHeight="1" x14ac:dyDescent="0.25">
      <c r="A555" s="8" t="s">
        <v>96</v>
      </c>
      <c r="B555" s="37" t="s">
        <v>1007</v>
      </c>
      <c r="C555" s="29" t="s">
        <v>1008</v>
      </c>
      <c r="D555" s="38" t="s">
        <v>1483</v>
      </c>
      <c r="E555" s="30">
        <v>2017</v>
      </c>
      <c r="F555" s="30">
        <v>2017</v>
      </c>
      <c r="G555" s="30">
        <v>2017</v>
      </c>
      <c r="H555" s="27">
        <v>0.4813901671309192</v>
      </c>
      <c r="I555" s="27">
        <v>0.2406950835654596</v>
      </c>
      <c r="J555" s="27">
        <v>0</v>
      </c>
      <c r="K555" s="27">
        <v>3.4563813999999997</v>
      </c>
      <c r="L555" s="27">
        <v>0.370029</v>
      </c>
      <c r="M555" s="27">
        <v>1.2535664</v>
      </c>
      <c r="N555" s="27">
        <v>1.832786</v>
      </c>
      <c r="O555" s="27">
        <v>0</v>
      </c>
      <c r="P555" s="27">
        <v>1.7281906999999999</v>
      </c>
      <c r="Q555" s="27">
        <v>0.1850145</v>
      </c>
      <c r="R555" s="27">
        <v>0.62678319999999998</v>
      </c>
      <c r="S555" s="27">
        <v>0.91639300000000001</v>
      </c>
      <c r="T555" s="27">
        <v>0</v>
      </c>
      <c r="U555" s="27">
        <v>0.4813901671309192</v>
      </c>
      <c r="V555" s="27">
        <v>3.4563813999999997</v>
      </c>
      <c r="W555" s="27">
        <v>0.2406950835654596</v>
      </c>
      <c r="X555" s="27">
        <f t="shared" si="46"/>
        <v>1.7281906999999999</v>
      </c>
      <c r="Y555" s="27">
        <v>0.2406950835654596</v>
      </c>
      <c r="Z555" s="27">
        <f t="shared" si="45"/>
        <v>1.7281906999999999</v>
      </c>
      <c r="AA555" s="27">
        <v>0</v>
      </c>
      <c r="AB555" s="28">
        <v>0</v>
      </c>
      <c r="AC555" s="27">
        <v>0</v>
      </c>
      <c r="AD555" s="28">
        <v>0</v>
      </c>
      <c r="AE555" s="27">
        <v>0</v>
      </c>
      <c r="AF555" s="28">
        <v>0</v>
      </c>
      <c r="AG555" s="27">
        <f>2.039265026/1.18</f>
        <v>1.7281906999999999</v>
      </c>
      <c r="AH555" s="28">
        <f>2.039265026/1.18</f>
        <v>1.7281906999999999</v>
      </c>
      <c r="AI555" s="27">
        <v>0</v>
      </c>
      <c r="AJ555" s="27">
        <v>0</v>
      </c>
      <c r="AK555" s="27">
        <v>0</v>
      </c>
      <c r="AL555" s="27">
        <v>0</v>
      </c>
      <c r="AM555" s="27">
        <f t="shared" si="48"/>
        <v>1.7281906999999999</v>
      </c>
      <c r="AN555" s="27">
        <f t="shared" si="47"/>
        <v>1.7281906999999999</v>
      </c>
      <c r="AO555" s="35" t="s">
        <v>1435</v>
      </c>
    </row>
    <row r="556" spans="1:41" ht="31.5" customHeight="1" x14ac:dyDescent="0.25">
      <c r="A556" s="8" t="s">
        <v>96</v>
      </c>
      <c r="B556" s="37" t="s">
        <v>1009</v>
      </c>
      <c r="C556" s="29" t="s">
        <v>1010</v>
      </c>
      <c r="D556" s="38" t="s">
        <v>1483</v>
      </c>
      <c r="E556" s="30">
        <v>2017</v>
      </c>
      <c r="F556" s="30">
        <v>2017</v>
      </c>
      <c r="G556" s="30">
        <v>2017</v>
      </c>
      <c r="H556" s="27">
        <v>0.70922111420612821</v>
      </c>
      <c r="I556" s="27">
        <v>0.35461055710306411</v>
      </c>
      <c r="J556" s="27">
        <v>0</v>
      </c>
      <c r="K556" s="27">
        <v>5.0922076000000001</v>
      </c>
      <c r="L556" s="27">
        <v>0.2779876</v>
      </c>
      <c r="M556" s="27">
        <v>2.9523440000000001</v>
      </c>
      <c r="N556" s="27">
        <v>1.8618760000000001</v>
      </c>
      <c r="O556" s="27">
        <v>0</v>
      </c>
      <c r="P556" s="27">
        <v>2.5461038</v>
      </c>
      <c r="Q556" s="27">
        <v>0.1389938</v>
      </c>
      <c r="R556" s="27">
        <v>1.476172</v>
      </c>
      <c r="S556" s="27">
        <v>0.93093800000000004</v>
      </c>
      <c r="T556" s="27">
        <v>0</v>
      </c>
      <c r="U556" s="27">
        <v>0.70922111420612821</v>
      </c>
      <c r="V556" s="27">
        <v>5.0922076000000001</v>
      </c>
      <c r="W556" s="27">
        <v>0.35461055710306411</v>
      </c>
      <c r="X556" s="27">
        <f t="shared" si="46"/>
        <v>2.5461038</v>
      </c>
      <c r="Y556" s="27">
        <v>0.35461055710306411</v>
      </c>
      <c r="Z556" s="27">
        <f t="shared" si="45"/>
        <v>2.5461038</v>
      </c>
      <c r="AA556" s="27">
        <v>0</v>
      </c>
      <c r="AB556" s="28">
        <v>0</v>
      </c>
      <c r="AC556" s="27">
        <v>0</v>
      </c>
      <c r="AD556" s="28">
        <v>0</v>
      </c>
      <c r="AE556" s="27">
        <v>0</v>
      </c>
      <c r="AF556" s="28">
        <v>0</v>
      </c>
      <c r="AG556" s="27">
        <f>3.004402484/1.18</f>
        <v>2.5461038</v>
      </c>
      <c r="AH556" s="28">
        <f>3.004402484/1.18</f>
        <v>2.5461038</v>
      </c>
      <c r="AI556" s="27">
        <v>0</v>
      </c>
      <c r="AJ556" s="27">
        <v>0</v>
      </c>
      <c r="AK556" s="27">
        <v>0</v>
      </c>
      <c r="AL556" s="27">
        <v>0</v>
      </c>
      <c r="AM556" s="27">
        <f t="shared" si="48"/>
        <v>2.5461038</v>
      </c>
      <c r="AN556" s="27">
        <f t="shared" si="47"/>
        <v>2.5461038</v>
      </c>
      <c r="AO556" s="35" t="s">
        <v>1435</v>
      </c>
    </row>
    <row r="557" spans="1:41" ht="31.5" customHeight="1" x14ac:dyDescent="0.25">
      <c r="A557" s="8" t="s">
        <v>96</v>
      </c>
      <c r="B557" s="37" t="s">
        <v>1011</v>
      </c>
      <c r="C557" s="29" t="s">
        <v>1012</v>
      </c>
      <c r="D557" s="38" t="s">
        <v>1483</v>
      </c>
      <c r="E557" s="30">
        <v>2017</v>
      </c>
      <c r="F557" s="30">
        <v>2017</v>
      </c>
      <c r="G557" s="30">
        <v>2017</v>
      </c>
      <c r="H557" s="27">
        <v>0.33566136490250698</v>
      </c>
      <c r="I557" s="27">
        <v>0.16783068245125349</v>
      </c>
      <c r="J557" s="27">
        <v>0</v>
      </c>
      <c r="K557" s="27">
        <v>2.4100486000000001</v>
      </c>
      <c r="L557" s="27">
        <v>0.21778899999999998</v>
      </c>
      <c r="M557" s="27">
        <v>1.0198735999999999</v>
      </c>
      <c r="N557" s="27">
        <v>1.1723859999999999</v>
      </c>
      <c r="O557" s="27">
        <v>0</v>
      </c>
      <c r="P557" s="27">
        <v>1.2050243</v>
      </c>
      <c r="Q557" s="27">
        <v>0.10889449999999999</v>
      </c>
      <c r="R557" s="27">
        <v>0.50993679999999997</v>
      </c>
      <c r="S557" s="27">
        <v>0.58619299999999996</v>
      </c>
      <c r="T557" s="27">
        <v>0</v>
      </c>
      <c r="U557" s="27">
        <v>0.33566136490250698</v>
      </c>
      <c r="V557" s="27">
        <v>2.4100486000000001</v>
      </c>
      <c r="W557" s="27">
        <v>0.16783068245125349</v>
      </c>
      <c r="X557" s="27">
        <f t="shared" si="46"/>
        <v>1.2050243</v>
      </c>
      <c r="Y557" s="27">
        <v>0.16783068245125349</v>
      </c>
      <c r="Z557" s="27">
        <f t="shared" si="45"/>
        <v>1.2050243</v>
      </c>
      <c r="AA557" s="27">
        <v>0</v>
      </c>
      <c r="AB557" s="28">
        <v>0</v>
      </c>
      <c r="AC557" s="27">
        <v>0</v>
      </c>
      <c r="AD557" s="28">
        <v>0</v>
      </c>
      <c r="AE557" s="27">
        <v>0</v>
      </c>
      <c r="AF557" s="28">
        <v>0</v>
      </c>
      <c r="AG557" s="27">
        <f>1.421928674/1.18</f>
        <v>1.2050243</v>
      </c>
      <c r="AH557" s="28">
        <f>1.421928674/1.18</f>
        <v>1.2050243</v>
      </c>
      <c r="AI557" s="27">
        <v>0</v>
      </c>
      <c r="AJ557" s="27">
        <v>0</v>
      </c>
      <c r="AK557" s="27">
        <v>0</v>
      </c>
      <c r="AL557" s="27">
        <v>0</v>
      </c>
      <c r="AM557" s="27">
        <f t="shared" si="48"/>
        <v>1.2050243</v>
      </c>
      <c r="AN557" s="27">
        <f t="shared" si="47"/>
        <v>1.2050243</v>
      </c>
      <c r="AO557" s="35" t="s">
        <v>1435</v>
      </c>
    </row>
    <row r="558" spans="1:41" ht="31.5" customHeight="1" x14ac:dyDescent="0.25">
      <c r="A558" s="8" t="s">
        <v>96</v>
      </c>
      <c r="B558" s="37" t="s">
        <v>1013</v>
      </c>
      <c r="C558" s="29" t="s">
        <v>1014</v>
      </c>
      <c r="D558" s="38" t="s">
        <v>1482</v>
      </c>
      <c r="E558" s="30">
        <v>2017</v>
      </c>
      <c r="F558" s="30">
        <v>2017</v>
      </c>
      <c r="G558" s="30">
        <v>2017</v>
      </c>
      <c r="H558" s="27">
        <v>4.5433455041782742E-2</v>
      </c>
      <c r="I558" s="27">
        <v>2.2716727520891371E-2</v>
      </c>
      <c r="J558" s="27">
        <v>0</v>
      </c>
      <c r="K558" s="27">
        <v>0.32621220720000005</v>
      </c>
      <c r="L558" s="27">
        <v>0</v>
      </c>
      <c r="M558" s="27">
        <v>0.1928122072</v>
      </c>
      <c r="N558" s="27">
        <v>0.13340000000000002</v>
      </c>
      <c r="O558" s="27">
        <v>0</v>
      </c>
      <c r="P558" s="27">
        <v>0.16310610360000002</v>
      </c>
      <c r="Q558" s="27">
        <v>0</v>
      </c>
      <c r="R558" s="27">
        <v>9.6406103600000001E-2</v>
      </c>
      <c r="S558" s="27">
        <v>6.6700000000000009E-2</v>
      </c>
      <c r="T558" s="27">
        <v>0</v>
      </c>
      <c r="U558" s="27">
        <v>4.5433455041782742E-2</v>
      </c>
      <c r="V558" s="27">
        <v>0.32621220720000005</v>
      </c>
      <c r="W558" s="27">
        <v>2.2716727520891371E-2</v>
      </c>
      <c r="X558" s="27">
        <f t="shared" si="46"/>
        <v>0.16310610360000002</v>
      </c>
      <c r="Y558" s="27">
        <v>2.2716727520891371E-2</v>
      </c>
      <c r="Z558" s="27">
        <f t="shared" si="45"/>
        <v>0.16310610360000002</v>
      </c>
      <c r="AA558" s="27">
        <v>0</v>
      </c>
      <c r="AB558" s="28">
        <v>0</v>
      </c>
      <c r="AC558" s="27">
        <v>0</v>
      </c>
      <c r="AD558" s="28">
        <v>0</v>
      </c>
      <c r="AE558" s="27">
        <v>0</v>
      </c>
      <c r="AF558" s="28">
        <v>0</v>
      </c>
      <c r="AG558" s="27">
        <f>0.192465202248/1.18</f>
        <v>0.16310610360000002</v>
      </c>
      <c r="AH558" s="28">
        <f>0.192465202248/1.18</f>
        <v>0.16310610360000002</v>
      </c>
      <c r="AI558" s="27">
        <v>0</v>
      </c>
      <c r="AJ558" s="27">
        <v>0</v>
      </c>
      <c r="AK558" s="27">
        <v>0</v>
      </c>
      <c r="AL558" s="27">
        <v>0</v>
      </c>
      <c r="AM558" s="27">
        <f t="shared" si="48"/>
        <v>0.16310610360000002</v>
      </c>
      <c r="AN558" s="27">
        <f t="shared" si="47"/>
        <v>0.16310610360000002</v>
      </c>
      <c r="AO558" s="35" t="s">
        <v>1435</v>
      </c>
    </row>
    <row r="559" spans="1:41" ht="31.5" customHeight="1" x14ac:dyDescent="0.25">
      <c r="A559" s="8" t="s">
        <v>96</v>
      </c>
      <c r="B559" s="37" t="s">
        <v>1015</v>
      </c>
      <c r="C559" s="29" t="s">
        <v>1016</v>
      </c>
      <c r="D559" s="38" t="s">
        <v>1482</v>
      </c>
      <c r="E559" s="30">
        <v>2017</v>
      </c>
      <c r="F559" s="30">
        <v>2017</v>
      </c>
      <c r="G559" s="30">
        <v>2017</v>
      </c>
      <c r="H559" s="27">
        <v>0.42650358774373259</v>
      </c>
      <c r="I559" s="27">
        <v>0.42650358774373259</v>
      </c>
      <c r="J559" s="27">
        <v>0</v>
      </c>
      <c r="K559" s="27">
        <v>3.06229576</v>
      </c>
      <c r="L559" s="27">
        <v>0.17236062000000002</v>
      </c>
      <c r="M559" s="27">
        <v>1.5627821399999999</v>
      </c>
      <c r="N559" s="27">
        <v>1.327153</v>
      </c>
      <c r="O559" s="27">
        <v>0</v>
      </c>
      <c r="P559" s="27">
        <v>3.06229576</v>
      </c>
      <c r="Q559" s="27">
        <v>0.17236062000000002</v>
      </c>
      <c r="R559" s="27">
        <v>1.5627821399999999</v>
      </c>
      <c r="S559" s="27">
        <v>1.327153</v>
      </c>
      <c r="T559" s="27">
        <v>0</v>
      </c>
      <c r="U559" s="27">
        <v>0.42650358774373259</v>
      </c>
      <c r="V559" s="27">
        <v>3.06229576</v>
      </c>
      <c r="W559" s="27">
        <v>0</v>
      </c>
      <c r="X559" s="27">
        <f t="shared" si="46"/>
        <v>0</v>
      </c>
      <c r="Y559" s="27">
        <v>0.42650358774373259</v>
      </c>
      <c r="Z559" s="27">
        <f t="shared" si="45"/>
        <v>3.06229576</v>
      </c>
      <c r="AA559" s="27">
        <v>0</v>
      </c>
      <c r="AB559" s="28">
        <v>0</v>
      </c>
      <c r="AC559" s="27">
        <v>0</v>
      </c>
      <c r="AD559" s="28">
        <v>0</v>
      </c>
      <c r="AE559" s="27">
        <v>0</v>
      </c>
      <c r="AF559" s="28">
        <v>0</v>
      </c>
      <c r="AG559" s="27">
        <v>0</v>
      </c>
      <c r="AH559" s="28">
        <f>3.6135089968/1.18</f>
        <v>3.06229576</v>
      </c>
      <c r="AI559" s="27">
        <v>0</v>
      </c>
      <c r="AJ559" s="27">
        <v>0</v>
      </c>
      <c r="AK559" s="27">
        <v>0</v>
      </c>
      <c r="AL559" s="27">
        <v>0</v>
      </c>
      <c r="AM559" s="27">
        <f t="shared" si="48"/>
        <v>0</v>
      </c>
      <c r="AN559" s="27">
        <f t="shared" si="47"/>
        <v>3.06229576</v>
      </c>
      <c r="AO559" s="35" t="s">
        <v>1488</v>
      </c>
    </row>
    <row r="560" spans="1:41" ht="31.5" customHeight="1" x14ac:dyDescent="0.25">
      <c r="A560" s="8" t="s">
        <v>96</v>
      </c>
      <c r="B560" s="37" t="s">
        <v>1017</v>
      </c>
      <c r="C560" s="29" t="s">
        <v>1018</v>
      </c>
      <c r="D560" s="38" t="s">
        <v>1482</v>
      </c>
      <c r="E560" s="30">
        <v>2017</v>
      </c>
      <c r="F560" s="30">
        <v>2017</v>
      </c>
      <c r="G560" s="30">
        <v>2017</v>
      </c>
      <c r="H560" s="27">
        <v>0.14695988857938722</v>
      </c>
      <c r="I560" s="27">
        <v>7.3479944289693608E-2</v>
      </c>
      <c r="J560" s="27">
        <v>0</v>
      </c>
      <c r="K560" s="27">
        <v>1.0551720000000002</v>
      </c>
      <c r="L560" s="27">
        <v>6.1799999999999994E-2</v>
      </c>
      <c r="M560" s="27">
        <v>0.60656200000000005</v>
      </c>
      <c r="N560" s="27">
        <v>0.38680999999999999</v>
      </c>
      <c r="O560" s="27">
        <v>0</v>
      </c>
      <c r="P560" s="27">
        <v>0.52758600000000011</v>
      </c>
      <c r="Q560" s="27">
        <v>3.0899999999999997E-2</v>
      </c>
      <c r="R560" s="27">
        <v>0.30328100000000002</v>
      </c>
      <c r="S560" s="27">
        <v>0.19340499999999999</v>
      </c>
      <c r="T560" s="27">
        <v>0</v>
      </c>
      <c r="U560" s="27">
        <v>0.14695988857938722</v>
      </c>
      <c r="V560" s="27">
        <v>1.0551720000000002</v>
      </c>
      <c r="W560" s="27">
        <v>7.3479944289693608E-2</v>
      </c>
      <c r="X560" s="27">
        <f t="shared" si="46"/>
        <v>0.52758600000000011</v>
      </c>
      <c r="Y560" s="27">
        <v>7.3479944289693608E-2</v>
      </c>
      <c r="Z560" s="27">
        <f t="shared" si="45"/>
        <v>0.52758600000000011</v>
      </c>
      <c r="AA560" s="27">
        <v>0</v>
      </c>
      <c r="AB560" s="28">
        <v>0</v>
      </c>
      <c r="AC560" s="27">
        <v>0</v>
      </c>
      <c r="AD560" s="28">
        <v>0</v>
      </c>
      <c r="AE560" s="27">
        <v>0</v>
      </c>
      <c r="AF560" s="28">
        <v>0</v>
      </c>
      <c r="AG560" s="27">
        <f>0.62255148/1.18</f>
        <v>0.52758600000000011</v>
      </c>
      <c r="AH560" s="28">
        <f>0.62255148/1.18</f>
        <v>0.52758600000000011</v>
      </c>
      <c r="AI560" s="27">
        <v>0</v>
      </c>
      <c r="AJ560" s="27">
        <v>0</v>
      </c>
      <c r="AK560" s="27">
        <v>0</v>
      </c>
      <c r="AL560" s="27">
        <v>0</v>
      </c>
      <c r="AM560" s="27">
        <f t="shared" si="48"/>
        <v>0.52758600000000011</v>
      </c>
      <c r="AN560" s="27">
        <f t="shared" si="47"/>
        <v>0.52758600000000011</v>
      </c>
      <c r="AO560" s="35" t="s">
        <v>1435</v>
      </c>
    </row>
    <row r="561" spans="1:41" ht="31.5" customHeight="1" x14ac:dyDescent="0.25">
      <c r="A561" s="8" t="s">
        <v>96</v>
      </c>
      <c r="B561" s="37" t="s">
        <v>1019</v>
      </c>
      <c r="C561" s="29" t="s">
        <v>1020</v>
      </c>
      <c r="D561" s="38" t="s">
        <v>1483</v>
      </c>
      <c r="E561" s="30">
        <v>2017</v>
      </c>
      <c r="F561" s="30">
        <v>2017</v>
      </c>
      <c r="G561" s="30">
        <v>2017</v>
      </c>
      <c r="H561" s="27">
        <v>6.6230205803419817E-2</v>
      </c>
      <c r="I561" s="27">
        <v>3.3115102901709909E-2</v>
      </c>
      <c r="J561" s="27">
        <v>0</v>
      </c>
      <c r="K561" s="27">
        <v>0.47553287766855423</v>
      </c>
      <c r="L561" s="27">
        <v>5.0091799999999999E-2</v>
      </c>
      <c r="M561" s="27">
        <v>0.29188107766855598</v>
      </c>
      <c r="N561" s="27">
        <v>0.13356000000000001</v>
      </c>
      <c r="O561" s="27">
        <v>0</v>
      </c>
      <c r="P561" s="27">
        <v>0.23776643883427712</v>
      </c>
      <c r="Q561" s="27">
        <v>2.5045899999999999E-2</v>
      </c>
      <c r="R561" s="27">
        <v>0.14594053883427799</v>
      </c>
      <c r="S561" s="27">
        <v>6.6780000000000006E-2</v>
      </c>
      <c r="T561" s="27">
        <v>0</v>
      </c>
      <c r="U561" s="27">
        <v>6.6230205803419817E-2</v>
      </c>
      <c r="V561" s="27">
        <v>0.47553287766855423</v>
      </c>
      <c r="W561" s="27">
        <v>3.3115102901709909E-2</v>
      </c>
      <c r="X561" s="27">
        <f t="shared" si="46"/>
        <v>0.23776643883427712</v>
      </c>
      <c r="Y561" s="27">
        <v>3.3115102901709909E-2</v>
      </c>
      <c r="Z561" s="27">
        <f t="shared" si="45"/>
        <v>0.23776643883427712</v>
      </c>
      <c r="AA561" s="27">
        <v>0</v>
      </c>
      <c r="AB561" s="28">
        <v>0</v>
      </c>
      <c r="AC561" s="27">
        <v>0</v>
      </c>
      <c r="AD561" s="28">
        <v>0</v>
      </c>
      <c r="AE561" s="27">
        <v>0</v>
      </c>
      <c r="AF561" s="28">
        <v>0</v>
      </c>
      <c r="AG561" s="27">
        <f>0.280564397824447/1.18</f>
        <v>0.23776643883427712</v>
      </c>
      <c r="AH561" s="28">
        <f>0.280564397824447/1.18</f>
        <v>0.23776643883427712</v>
      </c>
      <c r="AI561" s="27">
        <v>0</v>
      </c>
      <c r="AJ561" s="27">
        <v>0</v>
      </c>
      <c r="AK561" s="27">
        <v>0</v>
      </c>
      <c r="AL561" s="27">
        <v>0</v>
      </c>
      <c r="AM561" s="27">
        <f t="shared" si="48"/>
        <v>0.23776643883427712</v>
      </c>
      <c r="AN561" s="27">
        <f t="shared" si="47"/>
        <v>0.23776643883427712</v>
      </c>
      <c r="AO561" s="35" t="s">
        <v>1435</v>
      </c>
    </row>
    <row r="562" spans="1:41" ht="31.5" customHeight="1" x14ac:dyDescent="0.25">
      <c r="A562" s="8" t="s">
        <v>96</v>
      </c>
      <c r="B562" s="37" t="s">
        <v>1021</v>
      </c>
      <c r="C562" s="29" t="s">
        <v>1022</v>
      </c>
      <c r="D562" s="38" t="s">
        <v>1483</v>
      </c>
      <c r="E562" s="30">
        <v>2017</v>
      </c>
      <c r="F562" s="30">
        <v>2017</v>
      </c>
      <c r="G562" s="30">
        <v>2017</v>
      </c>
      <c r="H562" s="27">
        <v>1.4717965882654125E-2</v>
      </c>
      <c r="I562" s="27">
        <v>7.3589829413270623E-3</v>
      </c>
      <c r="J562" s="27">
        <v>0</v>
      </c>
      <c r="K562" s="27">
        <v>0.10567499503745661</v>
      </c>
      <c r="L562" s="27">
        <v>1.0639200000000001E-2</v>
      </c>
      <c r="M562" s="27">
        <v>6.13157950374566E-2</v>
      </c>
      <c r="N562" s="27">
        <v>3.372E-2</v>
      </c>
      <c r="O562" s="27">
        <v>0</v>
      </c>
      <c r="P562" s="27">
        <v>5.2837497518728307E-2</v>
      </c>
      <c r="Q562" s="27">
        <v>5.3196000000000007E-3</v>
      </c>
      <c r="R562" s="27">
        <v>3.06578975187283E-2</v>
      </c>
      <c r="S562" s="27">
        <v>1.686E-2</v>
      </c>
      <c r="T562" s="27">
        <v>0</v>
      </c>
      <c r="U562" s="27">
        <v>1.4717965882654125E-2</v>
      </c>
      <c r="V562" s="27">
        <v>0.10567499503745661</v>
      </c>
      <c r="W562" s="27">
        <v>7.3589829413270623E-3</v>
      </c>
      <c r="X562" s="27">
        <f t="shared" si="46"/>
        <v>5.2837497518728307E-2</v>
      </c>
      <c r="Y562" s="27">
        <v>7.3589829413270623E-3</v>
      </c>
      <c r="Z562" s="27">
        <f t="shared" si="45"/>
        <v>5.2837497518728307E-2</v>
      </c>
      <c r="AA562" s="27">
        <v>0</v>
      </c>
      <c r="AB562" s="28">
        <v>0</v>
      </c>
      <c r="AC562" s="27">
        <v>0</v>
      </c>
      <c r="AD562" s="28">
        <v>0</v>
      </c>
      <c r="AE562" s="27">
        <v>0</v>
      </c>
      <c r="AF562" s="28">
        <v>0</v>
      </c>
      <c r="AG562" s="27">
        <f>0.0623482470720994/1.18</f>
        <v>5.2837497518728307E-2</v>
      </c>
      <c r="AH562" s="28">
        <f>0.0623482470720994/1.18</f>
        <v>5.2837497518728307E-2</v>
      </c>
      <c r="AI562" s="27">
        <v>0</v>
      </c>
      <c r="AJ562" s="27">
        <v>0</v>
      </c>
      <c r="AK562" s="27">
        <v>0</v>
      </c>
      <c r="AL562" s="27">
        <v>0</v>
      </c>
      <c r="AM562" s="27">
        <f t="shared" si="48"/>
        <v>5.2837497518728307E-2</v>
      </c>
      <c r="AN562" s="27">
        <f t="shared" si="47"/>
        <v>5.2837497518728307E-2</v>
      </c>
      <c r="AO562" s="35" t="s">
        <v>1435</v>
      </c>
    </row>
    <row r="563" spans="1:41" ht="31.5" customHeight="1" x14ac:dyDescent="0.25">
      <c r="A563" s="8" t="s">
        <v>96</v>
      </c>
      <c r="B563" s="37" t="s">
        <v>1023</v>
      </c>
      <c r="C563" s="29" t="s">
        <v>1024</v>
      </c>
      <c r="D563" s="38" t="s">
        <v>1483</v>
      </c>
      <c r="E563" s="30">
        <v>2017</v>
      </c>
      <c r="F563" s="30">
        <v>2017</v>
      </c>
      <c r="G563" s="30">
        <v>2017</v>
      </c>
      <c r="H563" s="27">
        <v>7.9476698217585809E-2</v>
      </c>
      <c r="I563" s="27">
        <v>3.9738349108792904E-2</v>
      </c>
      <c r="J563" s="27">
        <v>0</v>
      </c>
      <c r="K563" s="27">
        <v>0.57064269320226613</v>
      </c>
      <c r="L563" s="27">
        <v>5.7633400000000001E-2</v>
      </c>
      <c r="M563" s="27">
        <v>0.36128929320226599</v>
      </c>
      <c r="N563" s="27">
        <v>0.15171999999999999</v>
      </c>
      <c r="O563" s="27">
        <v>0</v>
      </c>
      <c r="P563" s="27">
        <v>0.28532134660113306</v>
      </c>
      <c r="Q563" s="27">
        <v>2.8816700000000001E-2</v>
      </c>
      <c r="R563" s="27">
        <v>0.180644646601133</v>
      </c>
      <c r="S563" s="27">
        <v>7.5859999999999997E-2</v>
      </c>
      <c r="T563" s="27">
        <v>0</v>
      </c>
      <c r="U563" s="27">
        <v>7.9476698217585809E-2</v>
      </c>
      <c r="V563" s="27">
        <v>0.57064269320226613</v>
      </c>
      <c r="W563" s="27">
        <v>3.9738349108792904E-2</v>
      </c>
      <c r="X563" s="27">
        <f t="shared" si="46"/>
        <v>0.28532134660113306</v>
      </c>
      <c r="Y563" s="27">
        <v>3.9738349108792904E-2</v>
      </c>
      <c r="Z563" s="27">
        <f t="shared" si="45"/>
        <v>0.28532134660113306</v>
      </c>
      <c r="AA563" s="27">
        <v>0</v>
      </c>
      <c r="AB563" s="28">
        <v>0</v>
      </c>
      <c r="AC563" s="27">
        <v>0</v>
      </c>
      <c r="AD563" s="28">
        <v>0</v>
      </c>
      <c r="AE563" s="27">
        <v>0</v>
      </c>
      <c r="AF563" s="28">
        <v>0</v>
      </c>
      <c r="AG563" s="27">
        <f>0.336679188989337/1.18</f>
        <v>0.28532134660113306</v>
      </c>
      <c r="AH563" s="28">
        <f>0.336679188989337/1.18</f>
        <v>0.28532134660113306</v>
      </c>
      <c r="AI563" s="27">
        <v>0</v>
      </c>
      <c r="AJ563" s="27">
        <v>0</v>
      </c>
      <c r="AK563" s="27">
        <v>0</v>
      </c>
      <c r="AL563" s="27">
        <v>0</v>
      </c>
      <c r="AM563" s="27">
        <f t="shared" si="48"/>
        <v>0.28532134660113306</v>
      </c>
      <c r="AN563" s="27">
        <f t="shared" si="47"/>
        <v>0.28532134660113306</v>
      </c>
      <c r="AO563" s="35" t="s">
        <v>1435</v>
      </c>
    </row>
    <row r="564" spans="1:41" ht="31.5" customHeight="1" x14ac:dyDescent="0.25">
      <c r="A564" s="8" t="s">
        <v>96</v>
      </c>
      <c r="B564" s="37" t="s">
        <v>1025</v>
      </c>
      <c r="C564" s="29" t="s">
        <v>1026</v>
      </c>
      <c r="D564" s="38" t="s">
        <v>1483</v>
      </c>
      <c r="E564" s="30">
        <v>2017</v>
      </c>
      <c r="F564" s="30">
        <v>2017</v>
      </c>
      <c r="G564" s="30">
        <v>2017</v>
      </c>
      <c r="H564" s="27">
        <v>7.3589801558117424E-2</v>
      </c>
      <c r="I564" s="27">
        <v>3.6794900779058712E-2</v>
      </c>
      <c r="J564" s="27">
        <v>0</v>
      </c>
      <c r="K564" s="27">
        <v>0.52837477518728304</v>
      </c>
      <c r="L564" s="27">
        <v>5.3875800000000001E-2</v>
      </c>
      <c r="M564" s="27">
        <v>0.33185897518728397</v>
      </c>
      <c r="N564" s="27">
        <v>0.14263999999999999</v>
      </c>
      <c r="O564" s="27">
        <v>0</v>
      </c>
      <c r="P564" s="27">
        <v>0.26418738759364152</v>
      </c>
      <c r="Q564" s="27">
        <v>2.6937900000000001E-2</v>
      </c>
      <c r="R564" s="27">
        <v>0.16592948759364198</v>
      </c>
      <c r="S564" s="27">
        <v>7.1319999999999995E-2</v>
      </c>
      <c r="T564" s="27">
        <v>0</v>
      </c>
      <c r="U564" s="27">
        <v>7.3589801558117424E-2</v>
      </c>
      <c r="V564" s="27">
        <v>0.52837477518728304</v>
      </c>
      <c r="W564" s="27">
        <v>3.6794900779058712E-2</v>
      </c>
      <c r="X564" s="27">
        <f t="shared" si="46"/>
        <v>0.26418738759364152</v>
      </c>
      <c r="Y564" s="27">
        <v>3.6794900779058712E-2</v>
      </c>
      <c r="Z564" s="27">
        <f t="shared" si="45"/>
        <v>0.26418738759364152</v>
      </c>
      <c r="AA564" s="27">
        <v>0</v>
      </c>
      <c r="AB564" s="28">
        <v>0</v>
      </c>
      <c r="AC564" s="27">
        <v>0</v>
      </c>
      <c r="AD564" s="28">
        <v>0</v>
      </c>
      <c r="AE564" s="27">
        <v>0</v>
      </c>
      <c r="AF564" s="28">
        <v>0</v>
      </c>
      <c r="AG564" s="27">
        <f>0.311741117360497/1.18</f>
        <v>0.26418738759364152</v>
      </c>
      <c r="AH564" s="28">
        <f>0.311741117360497/1.18</f>
        <v>0.26418738759364152</v>
      </c>
      <c r="AI564" s="27">
        <v>0</v>
      </c>
      <c r="AJ564" s="27">
        <v>0</v>
      </c>
      <c r="AK564" s="27">
        <v>0</v>
      </c>
      <c r="AL564" s="27">
        <v>0</v>
      </c>
      <c r="AM564" s="27">
        <f t="shared" si="48"/>
        <v>0.26418738759364152</v>
      </c>
      <c r="AN564" s="27">
        <f t="shared" si="47"/>
        <v>0.26418738759364152</v>
      </c>
      <c r="AO564" s="35" t="s">
        <v>1435</v>
      </c>
    </row>
    <row r="565" spans="1:41" ht="31.5" customHeight="1" x14ac:dyDescent="0.25">
      <c r="A565" s="8" t="s">
        <v>96</v>
      </c>
      <c r="B565" s="37" t="s">
        <v>1027</v>
      </c>
      <c r="C565" s="29" t="s">
        <v>1028</v>
      </c>
      <c r="D565" s="38" t="s">
        <v>1483</v>
      </c>
      <c r="E565" s="30">
        <v>2017</v>
      </c>
      <c r="F565" s="30">
        <v>2017</v>
      </c>
      <c r="G565" s="30">
        <v>2017</v>
      </c>
      <c r="H565" s="27">
        <v>0.19133575703160685</v>
      </c>
      <c r="I565" s="27">
        <v>9.5667878515803426E-2</v>
      </c>
      <c r="J565" s="27">
        <v>0</v>
      </c>
      <c r="K565" s="27">
        <v>1.3737907354869372</v>
      </c>
      <c r="L565" s="27">
        <v>0.14004540000000001</v>
      </c>
      <c r="M565" s="27">
        <v>0.81294533548693593</v>
      </c>
      <c r="N565" s="27">
        <v>0.42080000000000001</v>
      </c>
      <c r="O565" s="27">
        <v>0</v>
      </c>
      <c r="P565" s="27">
        <v>0.6868953677434686</v>
      </c>
      <c r="Q565" s="27">
        <v>7.0022700000000007E-2</v>
      </c>
      <c r="R565" s="27">
        <v>0.40647266774346796</v>
      </c>
      <c r="S565" s="27">
        <v>0.2104</v>
      </c>
      <c r="T565" s="27">
        <v>0</v>
      </c>
      <c r="U565" s="27">
        <v>0.19133575703160685</v>
      </c>
      <c r="V565" s="27">
        <v>1.3737907354869372</v>
      </c>
      <c r="W565" s="27">
        <v>9.5667878515803426E-2</v>
      </c>
      <c r="X565" s="27">
        <f t="shared" si="46"/>
        <v>0.6868953677434686</v>
      </c>
      <c r="Y565" s="27">
        <v>9.5667878515803426E-2</v>
      </c>
      <c r="Z565" s="27">
        <f t="shared" si="45"/>
        <v>0.6868953677434686</v>
      </c>
      <c r="AA565" s="27">
        <v>0</v>
      </c>
      <c r="AB565" s="28">
        <v>0</v>
      </c>
      <c r="AC565" s="27">
        <v>0</v>
      </c>
      <c r="AD565" s="28">
        <v>0</v>
      </c>
      <c r="AE565" s="27">
        <v>0</v>
      </c>
      <c r="AF565" s="28">
        <v>0</v>
      </c>
      <c r="AG565" s="27">
        <f>0.810536533937293/1.18</f>
        <v>0.6868953677434686</v>
      </c>
      <c r="AH565" s="28">
        <f>0.810536533937293/1.18</f>
        <v>0.6868953677434686</v>
      </c>
      <c r="AI565" s="27">
        <v>0</v>
      </c>
      <c r="AJ565" s="27">
        <v>0</v>
      </c>
      <c r="AK565" s="27">
        <v>0</v>
      </c>
      <c r="AL565" s="27">
        <v>0</v>
      </c>
      <c r="AM565" s="27">
        <f t="shared" si="48"/>
        <v>0.6868953677434686</v>
      </c>
      <c r="AN565" s="27">
        <f t="shared" si="47"/>
        <v>0.6868953677434686</v>
      </c>
      <c r="AO565" s="35" t="s">
        <v>1435</v>
      </c>
    </row>
    <row r="566" spans="1:41" ht="31.5" customHeight="1" x14ac:dyDescent="0.25">
      <c r="A566" s="8" t="s">
        <v>96</v>
      </c>
      <c r="B566" s="37" t="s">
        <v>1029</v>
      </c>
      <c r="C566" s="29" t="s">
        <v>1030</v>
      </c>
      <c r="D566" s="38" t="s">
        <v>1483</v>
      </c>
      <c r="E566" s="30">
        <v>2017</v>
      </c>
      <c r="F566" s="30">
        <v>2017</v>
      </c>
      <c r="G566" s="30">
        <v>2017</v>
      </c>
      <c r="H566" s="27">
        <v>6.5740745287925742E-2</v>
      </c>
      <c r="I566" s="27">
        <v>3.2870372643962871E-2</v>
      </c>
      <c r="J566" s="27">
        <v>0</v>
      </c>
      <c r="K566" s="27">
        <v>0.47201855116730679</v>
      </c>
      <c r="L566" s="27">
        <v>4.6859999999999999E-2</v>
      </c>
      <c r="M566" s="27">
        <v>0.30067855116730602</v>
      </c>
      <c r="N566" s="27">
        <v>0.12448000000000001</v>
      </c>
      <c r="O566" s="27">
        <v>0</v>
      </c>
      <c r="P566" s="27">
        <v>0.23600927558365339</v>
      </c>
      <c r="Q566" s="27">
        <v>2.3429999999999999E-2</v>
      </c>
      <c r="R566" s="27">
        <v>0.15033927558365301</v>
      </c>
      <c r="S566" s="27">
        <v>6.2240000000000004E-2</v>
      </c>
      <c r="T566" s="27">
        <v>0</v>
      </c>
      <c r="U566" s="27">
        <v>6.5740745287925742E-2</v>
      </c>
      <c r="V566" s="27">
        <v>0.47201855116730679</v>
      </c>
      <c r="W566" s="27">
        <v>3.2870372643962871E-2</v>
      </c>
      <c r="X566" s="27">
        <f t="shared" si="46"/>
        <v>0.23600927558365339</v>
      </c>
      <c r="Y566" s="27">
        <v>3.2870372643962871E-2</v>
      </c>
      <c r="Z566" s="27">
        <f t="shared" si="45"/>
        <v>0.23600927558365339</v>
      </c>
      <c r="AA566" s="27">
        <v>0</v>
      </c>
      <c r="AB566" s="28">
        <v>0</v>
      </c>
      <c r="AC566" s="27">
        <v>0</v>
      </c>
      <c r="AD566" s="28">
        <v>0</v>
      </c>
      <c r="AE566" s="27">
        <v>0</v>
      </c>
      <c r="AF566" s="28">
        <v>0</v>
      </c>
      <c r="AG566" s="27">
        <f>0.278490945188711/1.18</f>
        <v>0.23600927558365339</v>
      </c>
      <c r="AH566" s="28">
        <f>0.278490945188711/1.18</f>
        <v>0.23600927558365339</v>
      </c>
      <c r="AI566" s="27">
        <v>0</v>
      </c>
      <c r="AJ566" s="27">
        <v>0</v>
      </c>
      <c r="AK566" s="27">
        <v>0</v>
      </c>
      <c r="AL566" s="27">
        <v>0</v>
      </c>
      <c r="AM566" s="27">
        <f t="shared" si="48"/>
        <v>0.23600927558365339</v>
      </c>
      <c r="AN566" s="27">
        <f t="shared" si="47"/>
        <v>0.23600927558365339</v>
      </c>
      <c r="AO566" s="35" t="s">
        <v>1435</v>
      </c>
    </row>
    <row r="567" spans="1:41" ht="31.5" customHeight="1" x14ac:dyDescent="0.25">
      <c r="A567" s="8" t="s">
        <v>96</v>
      </c>
      <c r="B567" s="37" t="s">
        <v>1031</v>
      </c>
      <c r="C567" s="29" t="s">
        <v>1032</v>
      </c>
      <c r="D567" s="38" t="s">
        <v>1483</v>
      </c>
      <c r="E567" s="30">
        <v>2017</v>
      </c>
      <c r="F567" s="30">
        <v>2017</v>
      </c>
      <c r="G567" s="30">
        <v>2017</v>
      </c>
      <c r="H567" s="27">
        <v>0.24530254186967568</v>
      </c>
      <c r="I567" s="27">
        <v>0.12265127093483784</v>
      </c>
      <c r="J567" s="27">
        <v>0</v>
      </c>
      <c r="K567" s="27">
        <v>1.7612722506242713</v>
      </c>
      <c r="L567" s="27">
        <v>0.17774899999999999</v>
      </c>
      <c r="M567" s="27">
        <v>1.0430032506242781</v>
      </c>
      <c r="N567" s="27">
        <v>0.54052</v>
      </c>
      <c r="O567" s="27">
        <v>0</v>
      </c>
      <c r="P567" s="27">
        <v>0.88063612531213564</v>
      </c>
      <c r="Q567" s="27">
        <v>8.8874499999999995E-2</v>
      </c>
      <c r="R567" s="27">
        <v>0.52150162531213906</v>
      </c>
      <c r="S567" s="27">
        <v>0.27026</v>
      </c>
      <c r="T567" s="27">
        <v>0</v>
      </c>
      <c r="U567" s="27">
        <v>0.24530254186967568</v>
      </c>
      <c r="V567" s="27">
        <v>1.7612722506242713</v>
      </c>
      <c r="W567" s="27">
        <v>0.12265127093483784</v>
      </c>
      <c r="X567" s="27">
        <f t="shared" si="46"/>
        <v>0.88063612531213564</v>
      </c>
      <c r="Y567" s="27">
        <v>0.12265127093483784</v>
      </c>
      <c r="Z567" s="27">
        <f t="shared" si="45"/>
        <v>0.88063612531213564</v>
      </c>
      <c r="AA567" s="27">
        <v>0</v>
      </c>
      <c r="AB567" s="28">
        <v>0</v>
      </c>
      <c r="AC567" s="27">
        <v>0</v>
      </c>
      <c r="AD567" s="28">
        <v>0</v>
      </c>
      <c r="AE567" s="27">
        <v>0</v>
      </c>
      <c r="AF567" s="28">
        <v>0</v>
      </c>
      <c r="AG567" s="27">
        <f>1.03915062786832/1.18</f>
        <v>0.88063612531213564</v>
      </c>
      <c r="AH567" s="28">
        <f>1.03915062786832/1.18</f>
        <v>0.88063612531213564</v>
      </c>
      <c r="AI567" s="27">
        <v>0</v>
      </c>
      <c r="AJ567" s="27">
        <v>0</v>
      </c>
      <c r="AK567" s="27">
        <v>0</v>
      </c>
      <c r="AL567" s="27">
        <v>0</v>
      </c>
      <c r="AM567" s="27">
        <f t="shared" si="48"/>
        <v>0.88063612531213564</v>
      </c>
      <c r="AN567" s="27">
        <f t="shared" si="47"/>
        <v>0.88063612531213564</v>
      </c>
      <c r="AO567" s="35" t="s">
        <v>1435</v>
      </c>
    </row>
    <row r="568" spans="1:41" ht="31.5" customHeight="1" x14ac:dyDescent="0.25">
      <c r="A568" s="8" t="s">
        <v>96</v>
      </c>
      <c r="B568" s="37" t="s">
        <v>1033</v>
      </c>
      <c r="C568" s="29" t="s">
        <v>1034</v>
      </c>
      <c r="D568" s="38" t="s">
        <v>1483</v>
      </c>
      <c r="E568" s="30">
        <v>2017</v>
      </c>
      <c r="F568" s="30">
        <v>2017</v>
      </c>
      <c r="G568" s="30">
        <v>2017</v>
      </c>
      <c r="H568" s="27">
        <v>4.4152839152140598E-2</v>
      </c>
      <c r="I568" s="27">
        <v>2.2076419576070299E-2</v>
      </c>
      <c r="J568" s="27">
        <v>0</v>
      </c>
      <c r="K568" s="27">
        <v>0.31701738511236949</v>
      </c>
      <c r="L568" s="27">
        <v>7.2270000000000001E-2</v>
      </c>
      <c r="M568" s="27">
        <v>0.11234738511237001</v>
      </c>
      <c r="N568" s="27">
        <v>0.13240000000000002</v>
      </c>
      <c r="O568" s="27">
        <v>0</v>
      </c>
      <c r="P568" s="27">
        <v>0.15850869255618474</v>
      </c>
      <c r="Q568" s="27">
        <v>3.6135E-2</v>
      </c>
      <c r="R568" s="27">
        <v>5.6173692556185005E-2</v>
      </c>
      <c r="S568" s="27">
        <v>6.6200000000000009E-2</v>
      </c>
      <c r="T568" s="27">
        <v>0</v>
      </c>
      <c r="U568" s="27">
        <v>4.4152839152140598E-2</v>
      </c>
      <c r="V568" s="27">
        <v>0.31701738511236949</v>
      </c>
      <c r="W568" s="27">
        <v>2.2076419576070299E-2</v>
      </c>
      <c r="X568" s="27">
        <f t="shared" si="46"/>
        <v>0.15850869255618474</v>
      </c>
      <c r="Y568" s="27">
        <v>2.2076419576070299E-2</v>
      </c>
      <c r="Z568" s="27">
        <f t="shared" si="45"/>
        <v>0.15850869255618474</v>
      </c>
      <c r="AA568" s="27">
        <v>0</v>
      </c>
      <c r="AB568" s="28">
        <v>0</v>
      </c>
      <c r="AC568" s="27">
        <v>0</v>
      </c>
      <c r="AD568" s="28">
        <v>0</v>
      </c>
      <c r="AE568" s="27">
        <v>0</v>
      </c>
      <c r="AF568" s="28">
        <v>0</v>
      </c>
      <c r="AG568" s="27">
        <f>0.187040257216298/1.18</f>
        <v>0.15850869255618474</v>
      </c>
      <c r="AH568" s="28">
        <f>0.187040257216298/1.18</f>
        <v>0.15850869255618474</v>
      </c>
      <c r="AI568" s="27">
        <v>0</v>
      </c>
      <c r="AJ568" s="27">
        <v>0</v>
      </c>
      <c r="AK568" s="27">
        <v>0</v>
      </c>
      <c r="AL568" s="27">
        <v>0</v>
      </c>
      <c r="AM568" s="27">
        <f t="shared" si="48"/>
        <v>0.15850869255618474</v>
      </c>
      <c r="AN568" s="27">
        <f t="shared" si="47"/>
        <v>0.15850869255618474</v>
      </c>
      <c r="AO568" s="35" t="s">
        <v>1435</v>
      </c>
    </row>
    <row r="569" spans="1:41" ht="31.5" customHeight="1" x14ac:dyDescent="0.25">
      <c r="A569" s="8" t="s">
        <v>96</v>
      </c>
      <c r="B569" s="37" t="s">
        <v>1035</v>
      </c>
      <c r="C569" s="29" t="s">
        <v>1036</v>
      </c>
      <c r="D569" s="38" t="s">
        <v>1483</v>
      </c>
      <c r="E569" s="30">
        <v>2017</v>
      </c>
      <c r="F569" s="30">
        <v>2017</v>
      </c>
      <c r="G569" s="30">
        <v>2017</v>
      </c>
      <c r="H569" s="27">
        <v>0.10597054655566689</v>
      </c>
      <c r="I569" s="27">
        <v>5.2985273277833443E-2</v>
      </c>
      <c r="J569" s="27">
        <v>0</v>
      </c>
      <c r="K569" s="27">
        <v>0.76086852426968821</v>
      </c>
      <c r="L569" s="27">
        <v>0.1090628</v>
      </c>
      <c r="M569" s="27">
        <v>0.41430572426968804</v>
      </c>
      <c r="N569" s="27">
        <v>0.23749999999999999</v>
      </c>
      <c r="O569" s="27">
        <v>0</v>
      </c>
      <c r="P569" s="27">
        <v>0.3804342621348441</v>
      </c>
      <c r="Q569" s="27">
        <v>5.4531400000000001E-2</v>
      </c>
      <c r="R569" s="27">
        <v>0.20715286213484402</v>
      </c>
      <c r="S569" s="27">
        <v>0.11874999999999999</v>
      </c>
      <c r="T569" s="27">
        <v>0</v>
      </c>
      <c r="U569" s="27">
        <v>0.10597054655566689</v>
      </c>
      <c r="V569" s="27">
        <v>0.76086852426968821</v>
      </c>
      <c r="W569" s="27">
        <v>5.2985273277833443E-2</v>
      </c>
      <c r="X569" s="27">
        <f t="shared" si="46"/>
        <v>0.3804342621348441</v>
      </c>
      <c r="Y569" s="27">
        <v>5.2985273277833443E-2</v>
      </c>
      <c r="Z569" s="27">
        <f t="shared" si="45"/>
        <v>0.3804342621348441</v>
      </c>
      <c r="AA569" s="27">
        <v>0</v>
      </c>
      <c r="AB569" s="28">
        <v>0</v>
      </c>
      <c r="AC569" s="27">
        <v>0</v>
      </c>
      <c r="AD569" s="28">
        <v>0</v>
      </c>
      <c r="AE569" s="27">
        <v>0</v>
      </c>
      <c r="AF569" s="28">
        <v>0</v>
      </c>
      <c r="AG569" s="27">
        <f>0.448912429319116/1.18</f>
        <v>0.3804342621348441</v>
      </c>
      <c r="AH569" s="28">
        <f>0.448912429319116/1.18</f>
        <v>0.3804342621348441</v>
      </c>
      <c r="AI569" s="27">
        <v>0</v>
      </c>
      <c r="AJ569" s="27">
        <v>0</v>
      </c>
      <c r="AK569" s="27">
        <v>0</v>
      </c>
      <c r="AL569" s="27">
        <v>0</v>
      </c>
      <c r="AM569" s="27">
        <f t="shared" si="48"/>
        <v>0.3804342621348441</v>
      </c>
      <c r="AN569" s="27">
        <f t="shared" si="47"/>
        <v>0.3804342621348441</v>
      </c>
      <c r="AO569" s="35" t="s">
        <v>1435</v>
      </c>
    </row>
    <row r="570" spans="1:41" ht="31.5" customHeight="1" x14ac:dyDescent="0.25">
      <c r="A570" s="8" t="s">
        <v>96</v>
      </c>
      <c r="B570" s="37" t="s">
        <v>1037</v>
      </c>
      <c r="C570" s="29" t="s">
        <v>1038</v>
      </c>
      <c r="D570" s="38" t="s">
        <v>1483</v>
      </c>
      <c r="E570" s="30">
        <v>2017</v>
      </c>
      <c r="F570" s="30">
        <v>2017</v>
      </c>
      <c r="G570" s="30">
        <v>2017</v>
      </c>
      <c r="H570" s="27">
        <v>9.812121173394317E-2</v>
      </c>
      <c r="I570" s="27">
        <v>4.9060605866971585E-2</v>
      </c>
      <c r="J570" s="27">
        <v>0</v>
      </c>
      <c r="K570" s="27">
        <v>0.70451030024971195</v>
      </c>
      <c r="L570" s="27">
        <v>0.101365</v>
      </c>
      <c r="M570" s="27">
        <v>0.386645300249712</v>
      </c>
      <c r="N570" s="27">
        <v>0.2165</v>
      </c>
      <c r="O570" s="27">
        <v>0</v>
      </c>
      <c r="P570" s="27">
        <v>0.35225515012485598</v>
      </c>
      <c r="Q570" s="27">
        <v>5.0682499999999998E-2</v>
      </c>
      <c r="R570" s="27">
        <v>0.193322650124856</v>
      </c>
      <c r="S570" s="27">
        <v>0.10825</v>
      </c>
      <c r="T570" s="27">
        <v>0</v>
      </c>
      <c r="U570" s="27">
        <v>9.812121173394317E-2</v>
      </c>
      <c r="V570" s="27">
        <v>0.70451030024971195</v>
      </c>
      <c r="W570" s="27">
        <v>4.9060605866971585E-2</v>
      </c>
      <c r="X570" s="27">
        <f t="shared" si="46"/>
        <v>0.35225515012485598</v>
      </c>
      <c r="Y570" s="27">
        <v>4.9060605866971585E-2</v>
      </c>
      <c r="Z570" s="27">
        <f t="shared" si="45"/>
        <v>0.35225515012485598</v>
      </c>
      <c r="AA570" s="27">
        <v>0</v>
      </c>
      <c r="AB570" s="28">
        <v>0</v>
      </c>
      <c r="AC570" s="27">
        <v>0</v>
      </c>
      <c r="AD570" s="28">
        <v>0</v>
      </c>
      <c r="AE570" s="27">
        <v>0</v>
      </c>
      <c r="AF570" s="28">
        <v>0</v>
      </c>
      <c r="AG570" s="27">
        <f>0.41566107714733/1.18</f>
        <v>0.35225515012485598</v>
      </c>
      <c r="AH570" s="28">
        <f>0.41566107714733/1.18</f>
        <v>0.35225515012485598</v>
      </c>
      <c r="AI570" s="27">
        <v>0</v>
      </c>
      <c r="AJ570" s="27">
        <v>0</v>
      </c>
      <c r="AK570" s="27">
        <v>0</v>
      </c>
      <c r="AL570" s="27">
        <v>0</v>
      </c>
      <c r="AM570" s="27">
        <f t="shared" si="48"/>
        <v>0.35225515012485598</v>
      </c>
      <c r="AN570" s="27">
        <f t="shared" si="47"/>
        <v>0.35225515012485598</v>
      </c>
      <c r="AO570" s="35" t="s">
        <v>1435</v>
      </c>
    </row>
    <row r="571" spans="1:41" ht="31.5" customHeight="1" x14ac:dyDescent="0.25">
      <c r="A571" s="8" t="s">
        <v>96</v>
      </c>
      <c r="B571" s="37" t="s">
        <v>1039</v>
      </c>
      <c r="C571" s="29" t="s">
        <v>1040</v>
      </c>
      <c r="D571" s="38" t="s">
        <v>1483</v>
      </c>
      <c r="E571" s="30">
        <v>2017</v>
      </c>
      <c r="F571" s="30">
        <v>2017</v>
      </c>
      <c r="G571" s="30">
        <v>2017</v>
      </c>
      <c r="H571" s="27">
        <v>0.10204433318380224</v>
      </c>
      <c r="I571" s="27">
        <v>5.1022166591901119E-2</v>
      </c>
      <c r="J571" s="27">
        <v>0</v>
      </c>
      <c r="K571" s="27">
        <v>0.73267831225970004</v>
      </c>
      <c r="L571" s="27">
        <v>0.1052128</v>
      </c>
      <c r="M571" s="27">
        <v>0.40046551225970001</v>
      </c>
      <c r="N571" s="27">
        <v>0.22700000000000001</v>
      </c>
      <c r="O571" s="27">
        <v>0</v>
      </c>
      <c r="P571" s="27">
        <v>0.36633915612985002</v>
      </c>
      <c r="Q571" s="27">
        <v>5.2606399999999998E-2</v>
      </c>
      <c r="R571" s="27">
        <v>0.20023275612985</v>
      </c>
      <c r="S571" s="27">
        <v>0.1135</v>
      </c>
      <c r="T571" s="27">
        <v>0</v>
      </c>
      <c r="U571" s="27">
        <v>0.10204433318380224</v>
      </c>
      <c r="V571" s="27">
        <v>0.73267831225970004</v>
      </c>
      <c r="W571" s="27">
        <v>5.1022166591901119E-2</v>
      </c>
      <c r="X571" s="27">
        <f t="shared" si="46"/>
        <v>0.36633915612985002</v>
      </c>
      <c r="Y571" s="27">
        <v>5.1022166591901119E-2</v>
      </c>
      <c r="Z571" s="27">
        <f t="shared" si="45"/>
        <v>0.36633915612985002</v>
      </c>
      <c r="AA571" s="27">
        <v>0</v>
      </c>
      <c r="AB571" s="28">
        <v>0</v>
      </c>
      <c r="AC571" s="27">
        <v>0</v>
      </c>
      <c r="AD571" s="28">
        <v>0</v>
      </c>
      <c r="AE571" s="27">
        <v>0</v>
      </c>
      <c r="AF571" s="28">
        <v>0</v>
      </c>
      <c r="AG571" s="27">
        <f>0.432280204233223/1.18</f>
        <v>0.36633915612985002</v>
      </c>
      <c r="AH571" s="28">
        <f>0.432280204233223/1.18</f>
        <v>0.36633915612985002</v>
      </c>
      <c r="AI571" s="27">
        <v>0</v>
      </c>
      <c r="AJ571" s="27">
        <v>0</v>
      </c>
      <c r="AK571" s="27">
        <v>0</v>
      </c>
      <c r="AL571" s="27">
        <v>0</v>
      </c>
      <c r="AM571" s="27">
        <f t="shared" si="48"/>
        <v>0.36633915612985002</v>
      </c>
      <c r="AN571" s="27">
        <f t="shared" si="47"/>
        <v>0.36633915612985002</v>
      </c>
      <c r="AO571" s="35" t="s">
        <v>1435</v>
      </c>
    </row>
    <row r="572" spans="1:41" ht="31.5" customHeight="1" x14ac:dyDescent="0.25">
      <c r="A572" s="8" t="s">
        <v>96</v>
      </c>
      <c r="B572" s="37" t="s">
        <v>1041</v>
      </c>
      <c r="C572" s="29" t="s">
        <v>1042</v>
      </c>
      <c r="D572" s="38" t="s">
        <v>1483</v>
      </c>
      <c r="E572" s="30">
        <v>2017</v>
      </c>
      <c r="F572" s="30">
        <v>2017</v>
      </c>
      <c r="G572" s="30">
        <v>2017</v>
      </c>
      <c r="H572" s="27">
        <v>9.8205939539446688E-2</v>
      </c>
      <c r="I572" s="27">
        <v>4.9102969769723344E-2</v>
      </c>
      <c r="J572" s="27">
        <v>0</v>
      </c>
      <c r="K572" s="27">
        <v>0.70511864589322715</v>
      </c>
      <c r="L572" s="27">
        <v>0.21442080000000002</v>
      </c>
      <c r="M572" s="27">
        <v>0.33747784589322799</v>
      </c>
      <c r="N572" s="27">
        <v>0.15322</v>
      </c>
      <c r="O572" s="27">
        <v>0</v>
      </c>
      <c r="P572" s="27">
        <v>0.35255932294661357</v>
      </c>
      <c r="Q572" s="27">
        <v>0.10721040000000001</v>
      </c>
      <c r="R572" s="27">
        <v>0.168738922946614</v>
      </c>
      <c r="S572" s="27">
        <v>7.6609999999999998E-2</v>
      </c>
      <c r="T572" s="27">
        <v>0</v>
      </c>
      <c r="U572" s="27">
        <v>9.8205939539446688E-2</v>
      </c>
      <c r="V572" s="27">
        <v>0.70511864589322715</v>
      </c>
      <c r="W572" s="27">
        <v>4.9102969769723344E-2</v>
      </c>
      <c r="X572" s="27">
        <f t="shared" si="46"/>
        <v>0.35255932294661357</v>
      </c>
      <c r="Y572" s="27">
        <v>4.9102969769723344E-2</v>
      </c>
      <c r="Z572" s="27">
        <f t="shared" si="45"/>
        <v>0.35255932294661357</v>
      </c>
      <c r="AA572" s="27">
        <v>0</v>
      </c>
      <c r="AB572" s="28">
        <v>0</v>
      </c>
      <c r="AC572" s="27">
        <v>0</v>
      </c>
      <c r="AD572" s="28">
        <v>0</v>
      </c>
      <c r="AE572" s="27">
        <v>0</v>
      </c>
      <c r="AF572" s="28">
        <v>0</v>
      </c>
      <c r="AG572" s="27">
        <f>0.416020001077004/1.18</f>
        <v>0.35255932294661357</v>
      </c>
      <c r="AH572" s="28">
        <f>0.416020001077004/1.18</f>
        <v>0.35255932294661357</v>
      </c>
      <c r="AI572" s="27">
        <v>0</v>
      </c>
      <c r="AJ572" s="27">
        <v>0</v>
      </c>
      <c r="AK572" s="27">
        <v>0</v>
      </c>
      <c r="AL572" s="27">
        <v>0</v>
      </c>
      <c r="AM572" s="27">
        <f t="shared" si="48"/>
        <v>0.35255932294661357</v>
      </c>
      <c r="AN572" s="27">
        <f t="shared" si="47"/>
        <v>0.35255932294661357</v>
      </c>
      <c r="AO572" s="35" t="s">
        <v>1435</v>
      </c>
    </row>
    <row r="573" spans="1:41" ht="31.5" customHeight="1" x14ac:dyDescent="0.25">
      <c r="A573" s="8" t="s">
        <v>96</v>
      </c>
      <c r="B573" s="37" t="s">
        <v>1043</v>
      </c>
      <c r="C573" s="29" t="s">
        <v>1044</v>
      </c>
      <c r="D573" s="38" t="s">
        <v>1483</v>
      </c>
      <c r="E573" s="30">
        <v>2017</v>
      </c>
      <c r="F573" s="30">
        <v>2017</v>
      </c>
      <c r="G573" s="30">
        <v>2017</v>
      </c>
      <c r="H573" s="27">
        <v>0.49579674806566032</v>
      </c>
      <c r="I573" s="27">
        <v>0.24789837403283016</v>
      </c>
      <c r="J573" s="27">
        <v>0</v>
      </c>
      <c r="K573" s="27">
        <v>3.559820651111441</v>
      </c>
      <c r="L573" s="27">
        <v>0.37222240000000001</v>
      </c>
      <c r="M573" s="27">
        <v>2.4044382511114399</v>
      </c>
      <c r="N573" s="27">
        <v>0.78315999999999997</v>
      </c>
      <c r="O573" s="27">
        <v>0</v>
      </c>
      <c r="P573" s="27">
        <v>1.7799103255557205</v>
      </c>
      <c r="Q573" s="27">
        <v>0.1861112</v>
      </c>
      <c r="R573" s="27">
        <v>1.20221912555572</v>
      </c>
      <c r="S573" s="27">
        <v>0.39157999999999998</v>
      </c>
      <c r="T573" s="27">
        <v>0</v>
      </c>
      <c r="U573" s="27">
        <v>0.49579674806566032</v>
      </c>
      <c r="V573" s="27">
        <v>3.559820651111441</v>
      </c>
      <c r="W573" s="27">
        <v>0.24789837403283016</v>
      </c>
      <c r="X573" s="27">
        <f t="shared" si="46"/>
        <v>1.7799103255557205</v>
      </c>
      <c r="Y573" s="27">
        <v>0.24789837403283016</v>
      </c>
      <c r="Z573" s="27">
        <f t="shared" si="45"/>
        <v>1.7799103255557205</v>
      </c>
      <c r="AA573" s="27">
        <v>0</v>
      </c>
      <c r="AB573" s="28">
        <v>0</v>
      </c>
      <c r="AC573" s="27">
        <v>0</v>
      </c>
      <c r="AD573" s="28">
        <v>0</v>
      </c>
      <c r="AE573" s="27">
        <v>0</v>
      </c>
      <c r="AF573" s="28">
        <v>0</v>
      </c>
      <c r="AG573" s="27">
        <f>2.10029418415575/1.18</f>
        <v>1.7799103255557205</v>
      </c>
      <c r="AH573" s="28">
        <f>2.10029418415575/1.18</f>
        <v>1.7799103255557205</v>
      </c>
      <c r="AI573" s="27">
        <v>0</v>
      </c>
      <c r="AJ573" s="27">
        <v>0</v>
      </c>
      <c r="AK573" s="27">
        <v>0</v>
      </c>
      <c r="AL573" s="27">
        <v>0</v>
      </c>
      <c r="AM573" s="27">
        <f t="shared" si="48"/>
        <v>1.7799103255557205</v>
      </c>
      <c r="AN573" s="27">
        <f t="shared" si="47"/>
        <v>1.7799103255557205</v>
      </c>
      <c r="AO573" s="35" t="s">
        <v>1435</v>
      </c>
    </row>
    <row r="574" spans="1:41" ht="31.5" customHeight="1" x14ac:dyDescent="0.25">
      <c r="A574" s="8" t="s">
        <v>96</v>
      </c>
      <c r="B574" s="37" t="s">
        <v>1045</v>
      </c>
      <c r="C574" s="29" t="s">
        <v>1046</v>
      </c>
      <c r="D574" s="38" t="s">
        <v>1483</v>
      </c>
      <c r="E574" s="30">
        <v>2017</v>
      </c>
      <c r="F574" s="30">
        <v>2017</v>
      </c>
      <c r="G574" s="30">
        <v>2017</v>
      </c>
      <c r="H574" s="27">
        <v>0.40974880222841231</v>
      </c>
      <c r="I574" s="27">
        <v>0.20487440111420616</v>
      </c>
      <c r="J574" s="27">
        <v>0</v>
      </c>
      <c r="K574" s="27">
        <v>2.9419964000000003</v>
      </c>
      <c r="L574" s="27">
        <v>0.2245364</v>
      </c>
      <c r="M574" s="27">
        <v>1.9342999999999999</v>
      </c>
      <c r="N574" s="27">
        <v>0.78315999999999997</v>
      </c>
      <c r="O574" s="27">
        <v>0</v>
      </c>
      <c r="P574" s="27">
        <v>1.4709982000000001</v>
      </c>
      <c r="Q574" s="27">
        <v>0.1122682</v>
      </c>
      <c r="R574" s="27">
        <v>0.96714999999999995</v>
      </c>
      <c r="S574" s="27">
        <v>0.39157999999999998</v>
      </c>
      <c r="T574" s="27">
        <v>0</v>
      </c>
      <c r="U574" s="27">
        <v>0.40974880222841231</v>
      </c>
      <c r="V574" s="27">
        <v>2.9419964000000003</v>
      </c>
      <c r="W574" s="27">
        <v>0.20487440111420616</v>
      </c>
      <c r="X574" s="27">
        <f t="shared" si="46"/>
        <v>1.4709982000000001</v>
      </c>
      <c r="Y574" s="27">
        <v>0.20487440111420616</v>
      </c>
      <c r="Z574" s="27">
        <f t="shared" si="45"/>
        <v>1.4709982000000001</v>
      </c>
      <c r="AA574" s="27">
        <v>0</v>
      </c>
      <c r="AB574" s="28">
        <v>0</v>
      </c>
      <c r="AC574" s="27">
        <v>0</v>
      </c>
      <c r="AD574" s="28">
        <v>0</v>
      </c>
      <c r="AE574" s="27">
        <v>0</v>
      </c>
      <c r="AF574" s="28">
        <v>0</v>
      </c>
      <c r="AG574" s="27">
        <f>1.735777876/1.18</f>
        <v>1.4709982000000001</v>
      </c>
      <c r="AH574" s="28">
        <f>1.735777876/1.18</f>
        <v>1.4709982000000001</v>
      </c>
      <c r="AI574" s="27">
        <v>0</v>
      </c>
      <c r="AJ574" s="27">
        <v>0</v>
      </c>
      <c r="AK574" s="27">
        <v>0</v>
      </c>
      <c r="AL574" s="27">
        <v>0</v>
      </c>
      <c r="AM574" s="27">
        <f t="shared" si="48"/>
        <v>1.4709982000000001</v>
      </c>
      <c r="AN574" s="27">
        <f t="shared" si="47"/>
        <v>1.4709982000000001</v>
      </c>
      <c r="AO574" s="35" t="s">
        <v>1435</v>
      </c>
    </row>
    <row r="575" spans="1:41" ht="31.5" customHeight="1" x14ac:dyDescent="0.25">
      <c r="A575" s="8" t="s">
        <v>96</v>
      </c>
      <c r="B575" s="37" t="s">
        <v>1047</v>
      </c>
      <c r="C575" s="29" t="s">
        <v>1048</v>
      </c>
      <c r="D575" s="38" t="s">
        <v>1483</v>
      </c>
      <c r="E575" s="30">
        <v>2017</v>
      </c>
      <c r="F575" s="30">
        <v>2017</v>
      </c>
      <c r="G575" s="30">
        <v>2017</v>
      </c>
      <c r="H575" s="27">
        <v>0.45193697102711161</v>
      </c>
      <c r="I575" s="27">
        <v>0.22596848551355581</v>
      </c>
      <c r="J575" s="27">
        <v>0</v>
      </c>
      <c r="K575" s="27">
        <v>3.2449074519746612</v>
      </c>
      <c r="L575" s="27">
        <v>0.34995620000000005</v>
      </c>
      <c r="M575" s="27">
        <v>2.1848512519746599</v>
      </c>
      <c r="N575" s="27">
        <v>0.71010000000000006</v>
      </c>
      <c r="O575" s="27">
        <v>0</v>
      </c>
      <c r="P575" s="27">
        <v>1.6224537259873306</v>
      </c>
      <c r="Q575" s="27">
        <v>0.17497810000000003</v>
      </c>
      <c r="R575" s="27">
        <v>1.09242562598733</v>
      </c>
      <c r="S575" s="27">
        <v>0.35505000000000003</v>
      </c>
      <c r="T575" s="27">
        <v>0</v>
      </c>
      <c r="U575" s="27">
        <v>0.45193697102711161</v>
      </c>
      <c r="V575" s="27">
        <v>3.2449074519746612</v>
      </c>
      <c r="W575" s="27">
        <v>0.22596848551355581</v>
      </c>
      <c r="X575" s="27">
        <f t="shared" si="46"/>
        <v>1.6224537259873306</v>
      </c>
      <c r="Y575" s="27">
        <v>0.22596848551355581</v>
      </c>
      <c r="Z575" s="27">
        <f t="shared" si="45"/>
        <v>1.6224537259873306</v>
      </c>
      <c r="AA575" s="27">
        <v>0</v>
      </c>
      <c r="AB575" s="28">
        <v>0</v>
      </c>
      <c r="AC575" s="27">
        <v>0</v>
      </c>
      <c r="AD575" s="28">
        <v>0</v>
      </c>
      <c r="AE575" s="27">
        <v>0</v>
      </c>
      <c r="AF575" s="28">
        <v>0</v>
      </c>
      <c r="AG575" s="27">
        <f>1.91449539666505/1.18</f>
        <v>1.6224537259873306</v>
      </c>
      <c r="AH575" s="28">
        <f>1.91449539666505/1.18</f>
        <v>1.6224537259873306</v>
      </c>
      <c r="AI575" s="27">
        <v>0</v>
      </c>
      <c r="AJ575" s="27">
        <v>0</v>
      </c>
      <c r="AK575" s="27">
        <v>0</v>
      </c>
      <c r="AL575" s="27">
        <v>0</v>
      </c>
      <c r="AM575" s="27">
        <f t="shared" si="48"/>
        <v>1.6224537259873306</v>
      </c>
      <c r="AN575" s="27">
        <f t="shared" si="47"/>
        <v>1.6224537259873306</v>
      </c>
      <c r="AO575" s="35" t="s">
        <v>1435</v>
      </c>
    </row>
    <row r="576" spans="1:41" ht="31.5" customHeight="1" x14ac:dyDescent="0.25">
      <c r="A576" s="8" t="s">
        <v>96</v>
      </c>
      <c r="B576" s="37" t="s">
        <v>1049</v>
      </c>
      <c r="C576" s="29" t="s">
        <v>1050</v>
      </c>
      <c r="D576" s="38" t="s">
        <v>1483</v>
      </c>
      <c r="E576" s="30">
        <v>2017</v>
      </c>
      <c r="F576" s="30">
        <v>2017</v>
      </c>
      <c r="G576" s="30">
        <v>2017</v>
      </c>
      <c r="H576" s="27">
        <v>0.52061228412256266</v>
      </c>
      <c r="I576" s="27">
        <v>0.26030614206128133</v>
      </c>
      <c r="J576" s="27">
        <v>0</v>
      </c>
      <c r="K576" s="27">
        <v>3.7379962</v>
      </c>
      <c r="L576" s="27">
        <v>0.23599619999999999</v>
      </c>
      <c r="M576" s="27">
        <v>2.1640000000000001</v>
      </c>
      <c r="N576" s="27">
        <v>1.3380000000000001</v>
      </c>
      <c r="O576" s="27">
        <v>0</v>
      </c>
      <c r="P576" s="27">
        <v>1.8689981</v>
      </c>
      <c r="Q576" s="27">
        <v>0.11799809999999999</v>
      </c>
      <c r="R576" s="27">
        <v>1.0820000000000001</v>
      </c>
      <c r="S576" s="27">
        <v>0.66900000000000004</v>
      </c>
      <c r="T576" s="27">
        <v>0</v>
      </c>
      <c r="U576" s="27">
        <v>0.52061228412256266</v>
      </c>
      <c r="V576" s="27">
        <v>3.7379962</v>
      </c>
      <c r="W576" s="27">
        <v>0.26030614206128133</v>
      </c>
      <c r="X576" s="27">
        <f t="shared" si="46"/>
        <v>1.8689981</v>
      </c>
      <c r="Y576" s="27">
        <v>0.26030614206128133</v>
      </c>
      <c r="Z576" s="27">
        <f t="shared" si="45"/>
        <v>1.8689981</v>
      </c>
      <c r="AA576" s="27">
        <v>0</v>
      </c>
      <c r="AB576" s="28">
        <v>0</v>
      </c>
      <c r="AC576" s="27">
        <v>0</v>
      </c>
      <c r="AD576" s="28">
        <v>0</v>
      </c>
      <c r="AE576" s="27">
        <v>0</v>
      </c>
      <c r="AF576" s="28">
        <v>0</v>
      </c>
      <c r="AG576" s="27">
        <f>2.205417758/1.18</f>
        <v>1.8689981</v>
      </c>
      <c r="AH576" s="28">
        <f>2.205417758/1.18</f>
        <v>1.8689981</v>
      </c>
      <c r="AI576" s="27">
        <v>0</v>
      </c>
      <c r="AJ576" s="27">
        <v>0</v>
      </c>
      <c r="AK576" s="27">
        <v>0</v>
      </c>
      <c r="AL576" s="27">
        <v>0</v>
      </c>
      <c r="AM576" s="27">
        <f t="shared" si="48"/>
        <v>1.8689981</v>
      </c>
      <c r="AN576" s="27">
        <f t="shared" si="47"/>
        <v>1.8689981</v>
      </c>
      <c r="AO576" s="35" t="s">
        <v>1435</v>
      </c>
    </row>
    <row r="577" spans="1:41" ht="31.5" customHeight="1" x14ac:dyDescent="0.25">
      <c r="A577" s="8" t="s">
        <v>96</v>
      </c>
      <c r="B577" s="37" t="s">
        <v>1051</v>
      </c>
      <c r="C577" s="29" t="s">
        <v>1052</v>
      </c>
      <c r="D577" s="38" t="s">
        <v>1483</v>
      </c>
      <c r="E577" s="30">
        <v>2017</v>
      </c>
      <c r="F577" s="30">
        <v>2017</v>
      </c>
      <c r="G577" s="30">
        <v>2017</v>
      </c>
      <c r="H577" s="27">
        <v>0.42924841225626748</v>
      </c>
      <c r="I577" s="27">
        <v>0.21462420612813374</v>
      </c>
      <c r="J577" s="27">
        <v>0</v>
      </c>
      <c r="K577" s="27">
        <v>3.0820036000000002</v>
      </c>
      <c r="L577" s="27">
        <v>0.3452636</v>
      </c>
      <c r="M577" s="27">
        <v>1.6365000000000001</v>
      </c>
      <c r="N577" s="27">
        <v>1.1002400000000001</v>
      </c>
      <c r="O577" s="27">
        <v>0</v>
      </c>
      <c r="P577" s="27">
        <v>1.5410018000000001</v>
      </c>
      <c r="Q577" s="27">
        <v>0.1726318</v>
      </c>
      <c r="R577" s="27">
        <v>0.81825000000000003</v>
      </c>
      <c r="S577" s="27">
        <v>0.55012000000000005</v>
      </c>
      <c r="T577" s="27">
        <v>0</v>
      </c>
      <c r="U577" s="27">
        <v>0.42924841225626748</v>
      </c>
      <c r="V577" s="27">
        <v>3.0820036000000002</v>
      </c>
      <c r="W577" s="27">
        <v>0.21462420612813374</v>
      </c>
      <c r="X577" s="27">
        <f t="shared" si="46"/>
        <v>1.5410018000000001</v>
      </c>
      <c r="Y577" s="27">
        <v>0.21462420612813374</v>
      </c>
      <c r="Z577" s="27">
        <f t="shared" si="45"/>
        <v>1.5410018000000001</v>
      </c>
      <c r="AA577" s="27">
        <v>0</v>
      </c>
      <c r="AB577" s="28">
        <v>0</v>
      </c>
      <c r="AC577" s="27">
        <v>0</v>
      </c>
      <c r="AD577" s="28">
        <v>0</v>
      </c>
      <c r="AE577" s="27">
        <v>0</v>
      </c>
      <c r="AF577" s="28">
        <v>0</v>
      </c>
      <c r="AG577" s="27">
        <f>1.818382124/1.18</f>
        <v>1.5410018000000001</v>
      </c>
      <c r="AH577" s="28">
        <f>1.818382124/1.18</f>
        <v>1.5410018000000001</v>
      </c>
      <c r="AI577" s="27">
        <v>0</v>
      </c>
      <c r="AJ577" s="27">
        <v>0</v>
      </c>
      <c r="AK577" s="27">
        <v>0</v>
      </c>
      <c r="AL577" s="27">
        <v>0</v>
      </c>
      <c r="AM577" s="27">
        <f t="shared" si="48"/>
        <v>1.5410018000000001</v>
      </c>
      <c r="AN577" s="27">
        <f t="shared" si="47"/>
        <v>1.5410018000000001</v>
      </c>
      <c r="AO577" s="35" t="s">
        <v>1435</v>
      </c>
    </row>
    <row r="578" spans="1:41" ht="31.5" customHeight="1" x14ac:dyDescent="0.25">
      <c r="A578" s="8" t="s">
        <v>96</v>
      </c>
      <c r="B578" s="37" t="s">
        <v>1447</v>
      </c>
      <c r="C578" s="29" t="s">
        <v>1448</v>
      </c>
      <c r="D578" s="38" t="s">
        <v>1483</v>
      </c>
      <c r="E578" s="30">
        <v>2017</v>
      </c>
      <c r="F578" s="30">
        <v>2017</v>
      </c>
      <c r="G578" s="30">
        <v>2017</v>
      </c>
      <c r="H578" s="27">
        <v>0.39091679316361955</v>
      </c>
      <c r="I578" s="27">
        <v>0</v>
      </c>
      <c r="J578" s="27">
        <v>0</v>
      </c>
      <c r="K578" s="27">
        <v>2.8067825749147883</v>
      </c>
      <c r="L578" s="27">
        <v>0.16956280000000001</v>
      </c>
      <c r="M578" s="27">
        <v>1.79348977491479</v>
      </c>
      <c r="N578" s="27">
        <v>0.84372999999999998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0.39091679316361955</v>
      </c>
      <c r="V578" s="27">
        <v>2.8067825749147883</v>
      </c>
      <c r="W578" s="27">
        <v>0.39091679316361955</v>
      </c>
      <c r="X578" s="27">
        <f t="shared" si="46"/>
        <v>2.8067825749147883</v>
      </c>
      <c r="Y578" s="27">
        <v>0</v>
      </c>
      <c r="Z578" s="27">
        <f t="shared" si="45"/>
        <v>0</v>
      </c>
      <c r="AA578" s="27">
        <v>0</v>
      </c>
      <c r="AB578" s="28">
        <v>0</v>
      </c>
      <c r="AC578" s="27">
        <v>0</v>
      </c>
      <c r="AD578" s="28">
        <v>0</v>
      </c>
      <c r="AE578" s="27">
        <v>0</v>
      </c>
      <c r="AF578" s="28">
        <v>0</v>
      </c>
      <c r="AG578" s="27">
        <v>2.8067825749147883</v>
      </c>
      <c r="AH578" s="28">
        <v>0</v>
      </c>
      <c r="AI578" s="27">
        <v>0</v>
      </c>
      <c r="AJ578" s="27">
        <v>0</v>
      </c>
      <c r="AK578" s="27">
        <v>0</v>
      </c>
      <c r="AL578" s="27">
        <v>0</v>
      </c>
      <c r="AM578" s="27">
        <f t="shared" si="48"/>
        <v>2.8067825749147883</v>
      </c>
      <c r="AN578" s="27">
        <f t="shared" si="47"/>
        <v>0</v>
      </c>
      <c r="AO578" s="35" t="s">
        <v>1491</v>
      </c>
    </row>
    <row r="579" spans="1:41" ht="31.5" customHeight="1" x14ac:dyDescent="0.25">
      <c r="A579" s="8" t="s">
        <v>96</v>
      </c>
      <c r="B579" s="37" t="s">
        <v>1449</v>
      </c>
      <c r="C579" s="29" t="s">
        <v>1450</v>
      </c>
      <c r="D579" s="38" t="s">
        <v>1483</v>
      </c>
      <c r="E579" s="30">
        <v>2017</v>
      </c>
      <c r="F579" s="30">
        <v>2017</v>
      </c>
      <c r="G579" s="30">
        <v>2017</v>
      </c>
      <c r="H579" s="27">
        <v>0.15118533926397359</v>
      </c>
      <c r="I579" s="27">
        <v>0</v>
      </c>
      <c r="J579" s="27">
        <v>0</v>
      </c>
      <c r="K579" s="27">
        <v>1.0855107359153304</v>
      </c>
      <c r="L579" s="27">
        <v>0.1026696</v>
      </c>
      <c r="M579" s="27">
        <v>0.62672113591532796</v>
      </c>
      <c r="N579" s="27">
        <v>0.35611999999999999</v>
      </c>
      <c r="O579" s="27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0.15118533926397359</v>
      </c>
      <c r="V579" s="27">
        <v>1.0855107359153304</v>
      </c>
      <c r="W579" s="27">
        <v>0.15118533926397359</v>
      </c>
      <c r="X579" s="27">
        <f t="shared" si="46"/>
        <v>1.0855107359153304</v>
      </c>
      <c r="Y579" s="27">
        <v>0</v>
      </c>
      <c r="Z579" s="27">
        <f t="shared" si="45"/>
        <v>0</v>
      </c>
      <c r="AA579" s="27">
        <v>0</v>
      </c>
      <c r="AB579" s="28">
        <v>0</v>
      </c>
      <c r="AC579" s="27">
        <v>0</v>
      </c>
      <c r="AD579" s="28">
        <v>0</v>
      </c>
      <c r="AE579" s="27">
        <v>0</v>
      </c>
      <c r="AF579" s="28">
        <v>0</v>
      </c>
      <c r="AG579" s="27">
        <f>1.28090266838009/1.18</f>
        <v>1.0855107359153304</v>
      </c>
      <c r="AH579" s="28">
        <v>0</v>
      </c>
      <c r="AI579" s="27">
        <v>0</v>
      </c>
      <c r="AJ579" s="27">
        <v>0</v>
      </c>
      <c r="AK579" s="27">
        <v>0</v>
      </c>
      <c r="AL579" s="27">
        <v>0</v>
      </c>
      <c r="AM579" s="27">
        <f t="shared" si="48"/>
        <v>1.0855107359153304</v>
      </c>
      <c r="AN579" s="27">
        <f t="shared" si="47"/>
        <v>0</v>
      </c>
      <c r="AO579" s="35" t="s">
        <v>1491</v>
      </c>
    </row>
    <row r="580" spans="1:41" ht="31.5" customHeight="1" x14ac:dyDescent="0.25">
      <c r="A580" s="59" t="s">
        <v>96</v>
      </c>
      <c r="B580" s="41" t="s">
        <v>1053</v>
      </c>
      <c r="C580" s="29" t="s">
        <v>1054</v>
      </c>
      <c r="D580" s="38" t="s">
        <v>1483</v>
      </c>
      <c r="E580" s="30">
        <v>2018</v>
      </c>
      <c r="F580" s="30">
        <v>2018</v>
      </c>
      <c r="G580" s="30" t="s">
        <v>1435</v>
      </c>
      <c r="H580" s="27">
        <v>1.8302957650165126</v>
      </c>
      <c r="I580" s="27">
        <v>0</v>
      </c>
      <c r="J580" s="27">
        <v>0</v>
      </c>
      <c r="K580" s="27">
        <v>13.14152359281856</v>
      </c>
      <c r="L580" s="27">
        <v>0.2711864406779661</v>
      </c>
      <c r="M580" s="27">
        <v>10.37881172841178</v>
      </c>
      <c r="N580" s="27">
        <v>2.4915254237288136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1.8302957650165126</v>
      </c>
      <c r="V580" s="27">
        <v>13.14152359281856</v>
      </c>
      <c r="W580" s="27">
        <v>1.8302957650165126</v>
      </c>
      <c r="X580" s="27">
        <f t="shared" si="46"/>
        <v>13.14152359281856</v>
      </c>
      <c r="Y580" s="27">
        <v>0</v>
      </c>
      <c r="Z580" s="27">
        <f t="shared" ref="Z580:Z640" si="49">AH580</f>
        <v>0</v>
      </c>
      <c r="AA580" s="27">
        <v>0</v>
      </c>
      <c r="AB580" s="28">
        <v>0</v>
      </c>
      <c r="AC580" s="27">
        <v>0</v>
      </c>
      <c r="AD580" s="28">
        <v>0</v>
      </c>
      <c r="AE580" s="27">
        <v>0</v>
      </c>
      <c r="AF580" s="28">
        <v>0</v>
      </c>
      <c r="AG580" s="27">
        <v>0</v>
      </c>
      <c r="AH580" s="28">
        <v>0</v>
      </c>
      <c r="AI580" s="27">
        <f>15.5069978395259/1.18</f>
        <v>13.14152359281856</v>
      </c>
      <c r="AJ580" s="27">
        <v>0</v>
      </c>
      <c r="AK580" s="27">
        <v>0</v>
      </c>
      <c r="AL580" s="27">
        <v>0</v>
      </c>
      <c r="AM580" s="27">
        <f t="shared" si="48"/>
        <v>13.14152359281856</v>
      </c>
      <c r="AN580" s="27">
        <f t="shared" si="47"/>
        <v>0</v>
      </c>
      <c r="AO580" s="35" t="s">
        <v>1435</v>
      </c>
    </row>
    <row r="581" spans="1:41" ht="31.5" customHeight="1" x14ac:dyDescent="0.25">
      <c r="A581" s="59" t="s">
        <v>96</v>
      </c>
      <c r="B581" s="41" t="s">
        <v>1055</v>
      </c>
      <c r="C581" s="29" t="s">
        <v>1056</v>
      </c>
      <c r="D581" s="38" t="s">
        <v>1483</v>
      </c>
      <c r="E581" s="30">
        <v>2018</v>
      </c>
      <c r="F581" s="30">
        <v>2018</v>
      </c>
      <c r="G581" s="30" t="s">
        <v>1435</v>
      </c>
      <c r="H581" s="27">
        <v>2.0953535642409116</v>
      </c>
      <c r="I581" s="27">
        <v>0</v>
      </c>
      <c r="J581" s="27">
        <v>0</v>
      </c>
      <c r="K581" s="27">
        <v>15.044638591249745</v>
      </c>
      <c r="L581" s="27">
        <v>0.30508474576271188</v>
      </c>
      <c r="M581" s="27">
        <v>11.883621642097204</v>
      </c>
      <c r="N581" s="27">
        <v>2.8559322033898309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0</v>
      </c>
      <c r="U581" s="27">
        <v>2.0953535642409116</v>
      </c>
      <c r="V581" s="27">
        <v>15.044638591249745</v>
      </c>
      <c r="W581" s="27">
        <v>2.0953535642409116</v>
      </c>
      <c r="X581" s="27">
        <f t="shared" si="46"/>
        <v>15.044638591249745</v>
      </c>
      <c r="Y581" s="27">
        <v>0</v>
      </c>
      <c r="Z581" s="27">
        <f t="shared" si="49"/>
        <v>0</v>
      </c>
      <c r="AA581" s="27">
        <v>0</v>
      </c>
      <c r="AB581" s="28">
        <v>0</v>
      </c>
      <c r="AC581" s="27">
        <v>0</v>
      </c>
      <c r="AD581" s="28">
        <v>0</v>
      </c>
      <c r="AE581" s="27">
        <v>0</v>
      </c>
      <c r="AF581" s="28">
        <v>0</v>
      </c>
      <c r="AG581" s="27">
        <v>0</v>
      </c>
      <c r="AH581" s="28">
        <v>0</v>
      </c>
      <c r="AI581" s="27">
        <f>17.7526735376747/1.18</f>
        <v>15.044638591249745</v>
      </c>
      <c r="AJ581" s="27">
        <v>0</v>
      </c>
      <c r="AK581" s="27">
        <v>0</v>
      </c>
      <c r="AL581" s="27">
        <v>0</v>
      </c>
      <c r="AM581" s="27">
        <f t="shared" si="48"/>
        <v>15.044638591249745</v>
      </c>
      <c r="AN581" s="27">
        <f t="shared" si="47"/>
        <v>0</v>
      </c>
      <c r="AO581" s="35" t="s">
        <v>1435</v>
      </c>
    </row>
    <row r="582" spans="1:41" ht="31.5" customHeight="1" x14ac:dyDescent="0.25">
      <c r="A582" s="59" t="s">
        <v>96</v>
      </c>
      <c r="B582" s="41" t="s">
        <v>1057</v>
      </c>
      <c r="C582" s="29" t="s">
        <v>1058</v>
      </c>
      <c r="D582" s="38" t="s">
        <v>1483</v>
      </c>
      <c r="E582" s="30">
        <v>2018</v>
      </c>
      <c r="F582" s="30">
        <v>2018</v>
      </c>
      <c r="G582" s="30" t="s">
        <v>1435</v>
      </c>
      <c r="H582" s="27">
        <v>0.7708682463734563</v>
      </c>
      <c r="I582" s="27">
        <v>0</v>
      </c>
      <c r="J582" s="27">
        <v>0</v>
      </c>
      <c r="K582" s="27">
        <v>5.5348340089614156</v>
      </c>
      <c r="L582" s="27">
        <v>0.1440677966101695</v>
      </c>
      <c r="M582" s="27">
        <v>4.3483933309953136</v>
      </c>
      <c r="N582" s="27">
        <v>1.0423728813559323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0.7708682463734563</v>
      </c>
      <c r="V582" s="27">
        <v>5.5348340089614156</v>
      </c>
      <c r="W582" s="27">
        <v>0.7708682463734563</v>
      </c>
      <c r="X582" s="27">
        <f t="shared" si="46"/>
        <v>5.5348340089614156</v>
      </c>
      <c r="Y582" s="27">
        <v>0</v>
      </c>
      <c r="Z582" s="27">
        <f t="shared" si="49"/>
        <v>0</v>
      </c>
      <c r="AA582" s="27">
        <v>0</v>
      </c>
      <c r="AB582" s="28">
        <v>0</v>
      </c>
      <c r="AC582" s="27">
        <v>0</v>
      </c>
      <c r="AD582" s="28">
        <v>0</v>
      </c>
      <c r="AE582" s="27">
        <v>0</v>
      </c>
      <c r="AF582" s="28">
        <v>0</v>
      </c>
      <c r="AG582" s="27">
        <v>0</v>
      </c>
      <c r="AH582" s="28">
        <v>0</v>
      </c>
      <c r="AI582" s="27">
        <f>6.53110413057447/1.18</f>
        <v>5.5348340089614156</v>
      </c>
      <c r="AJ582" s="27">
        <v>0</v>
      </c>
      <c r="AK582" s="27">
        <v>0</v>
      </c>
      <c r="AL582" s="27">
        <v>0</v>
      </c>
      <c r="AM582" s="27">
        <f t="shared" si="48"/>
        <v>5.5348340089614156</v>
      </c>
      <c r="AN582" s="27">
        <f t="shared" si="47"/>
        <v>0</v>
      </c>
      <c r="AO582" s="35" t="s">
        <v>1435</v>
      </c>
    </row>
    <row r="583" spans="1:41" ht="31.5" customHeight="1" x14ac:dyDescent="0.25">
      <c r="A583" s="59" t="s">
        <v>96</v>
      </c>
      <c r="B583" s="41" t="s">
        <v>1059</v>
      </c>
      <c r="C583" s="29" t="s">
        <v>1060</v>
      </c>
      <c r="D583" s="38" t="s">
        <v>1483</v>
      </c>
      <c r="E583" s="30">
        <v>2018</v>
      </c>
      <c r="F583" s="30">
        <v>2018</v>
      </c>
      <c r="G583" s="30" t="s">
        <v>1435</v>
      </c>
      <c r="H583" s="27">
        <v>0.7622670038735011</v>
      </c>
      <c r="I583" s="27">
        <v>0</v>
      </c>
      <c r="J583" s="27">
        <v>0</v>
      </c>
      <c r="K583" s="27">
        <v>5.4730770878117374</v>
      </c>
      <c r="L583" s="27">
        <v>0.1440677966101695</v>
      </c>
      <c r="M583" s="27">
        <v>4.2781618335744493</v>
      </c>
      <c r="N583" s="27">
        <v>1.0508474576271187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0.7622670038735011</v>
      </c>
      <c r="V583" s="27">
        <v>5.4730770878117374</v>
      </c>
      <c r="W583" s="27">
        <v>0.7622670038735011</v>
      </c>
      <c r="X583" s="27">
        <f t="shared" si="46"/>
        <v>5.4730770878117374</v>
      </c>
      <c r="Y583" s="27">
        <v>0</v>
      </c>
      <c r="Z583" s="27">
        <f t="shared" si="49"/>
        <v>0</v>
      </c>
      <c r="AA583" s="27">
        <v>0</v>
      </c>
      <c r="AB583" s="28">
        <v>0</v>
      </c>
      <c r="AC583" s="27">
        <v>0</v>
      </c>
      <c r="AD583" s="28">
        <v>0</v>
      </c>
      <c r="AE583" s="27">
        <v>0</v>
      </c>
      <c r="AF583" s="28">
        <v>0</v>
      </c>
      <c r="AG583" s="27">
        <v>0</v>
      </c>
      <c r="AH583" s="28">
        <v>0</v>
      </c>
      <c r="AI583" s="27">
        <f>6.45823096361785/1.18</f>
        <v>5.4730770878117374</v>
      </c>
      <c r="AJ583" s="27">
        <v>0</v>
      </c>
      <c r="AK583" s="27">
        <v>0</v>
      </c>
      <c r="AL583" s="27">
        <v>0</v>
      </c>
      <c r="AM583" s="27">
        <f t="shared" si="48"/>
        <v>5.4730770878117374</v>
      </c>
      <c r="AN583" s="27">
        <f t="shared" si="47"/>
        <v>0</v>
      </c>
      <c r="AO583" s="35" t="s">
        <v>1435</v>
      </c>
    </row>
    <row r="584" spans="1:41" ht="31.5" customHeight="1" x14ac:dyDescent="0.25">
      <c r="A584" s="59" t="s">
        <v>96</v>
      </c>
      <c r="B584" s="41" t="s">
        <v>1061</v>
      </c>
      <c r="C584" s="29" t="s">
        <v>1062</v>
      </c>
      <c r="D584" s="38" t="s">
        <v>1483</v>
      </c>
      <c r="E584" s="30">
        <v>2018</v>
      </c>
      <c r="F584" s="30">
        <v>2018</v>
      </c>
      <c r="G584" s="30" t="s">
        <v>1435</v>
      </c>
      <c r="H584" s="27">
        <v>0.71402029128764466</v>
      </c>
      <c r="I584" s="27">
        <v>0</v>
      </c>
      <c r="J584" s="27">
        <v>0</v>
      </c>
      <c r="K584" s="27">
        <v>5.1266656914452886</v>
      </c>
      <c r="L584" s="27">
        <v>0.13559322033898305</v>
      </c>
      <c r="M584" s="27">
        <v>4.0080216236486788</v>
      </c>
      <c r="N584" s="27">
        <v>0.98305084745762705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0.71402029128764466</v>
      </c>
      <c r="V584" s="27">
        <v>5.1266656914452886</v>
      </c>
      <c r="W584" s="27">
        <v>0.71402029128764466</v>
      </c>
      <c r="X584" s="27">
        <f t="shared" si="46"/>
        <v>5.1266656914452886</v>
      </c>
      <c r="Y584" s="27">
        <v>0</v>
      </c>
      <c r="Z584" s="27">
        <f t="shared" si="49"/>
        <v>0</v>
      </c>
      <c r="AA584" s="27">
        <v>0</v>
      </c>
      <c r="AB584" s="28">
        <v>0</v>
      </c>
      <c r="AC584" s="27">
        <v>0</v>
      </c>
      <c r="AD584" s="28">
        <v>0</v>
      </c>
      <c r="AE584" s="27">
        <v>0</v>
      </c>
      <c r="AF584" s="28">
        <v>0</v>
      </c>
      <c r="AG584" s="27">
        <v>0</v>
      </c>
      <c r="AH584" s="28">
        <v>0</v>
      </c>
      <c r="AI584" s="27">
        <f>6.04946551590544/1.18</f>
        <v>5.1266656914452886</v>
      </c>
      <c r="AJ584" s="27">
        <v>0</v>
      </c>
      <c r="AK584" s="27">
        <v>0</v>
      </c>
      <c r="AL584" s="27">
        <v>0</v>
      </c>
      <c r="AM584" s="27">
        <f t="shared" si="48"/>
        <v>5.1266656914452886</v>
      </c>
      <c r="AN584" s="27">
        <f t="shared" si="47"/>
        <v>0</v>
      </c>
      <c r="AO584" s="35" t="s">
        <v>1435</v>
      </c>
    </row>
    <row r="585" spans="1:41" ht="31.5" customHeight="1" x14ac:dyDescent="0.25">
      <c r="A585" s="59" t="s">
        <v>96</v>
      </c>
      <c r="B585" s="41" t="s">
        <v>1063</v>
      </c>
      <c r="C585" s="29" t="s">
        <v>1064</v>
      </c>
      <c r="D585" s="38" t="s">
        <v>1483</v>
      </c>
      <c r="E585" s="30">
        <v>2018</v>
      </c>
      <c r="F585" s="30">
        <v>2018</v>
      </c>
      <c r="G585" s="30" t="s">
        <v>1435</v>
      </c>
      <c r="H585" s="27">
        <v>0.55940111420612815</v>
      </c>
      <c r="I585" s="27">
        <v>0</v>
      </c>
      <c r="J585" s="27">
        <v>0</v>
      </c>
      <c r="K585" s="27">
        <v>4.0164999999999997</v>
      </c>
      <c r="L585" s="27">
        <v>0.1271186440677966</v>
      </c>
      <c r="M585" s="27">
        <v>3.1097203389830512</v>
      </c>
      <c r="N585" s="27">
        <v>0.77966101694915257</v>
      </c>
      <c r="O585" s="27">
        <v>0</v>
      </c>
      <c r="P585" s="27">
        <v>0</v>
      </c>
      <c r="Q585" s="27">
        <v>0</v>
      </c>
      <c r="R585" s="27">
        <v>0</v>
      </c>
      <c r="S585" s="27">
        <v>0</v>
      </c>
      <c r="T585" s="27">
        <v>0</v>
      </c>
      <c r="U585" s="27">
        <v>0.55940111420612815</v>
      </c>
      <c r="V585" s="27">
        <v>4.0164999999999997</v>
      </c>
      <c r="W585" s="27">
        <v>0.55940111420612815</v>
      </c>
      <c r="X585" s="27">
        <f t="shared" ref="X585:X629" si="50">AG585+AI585+AK585</f>
        <v>4.0164999999999997</v>
      </c>
      <c r="Y585" s="27">
        <v>0</v>
      </c>
      <c r="Z585" s="27">
        <f t="shared" si="49"/>
        <v>0</v>
      </c>
      <c r="AA585" s="27">
        <v>0</v>
      </c>
      <c r="AB585" s="28">
        <v>0</v>
      </c>
      <c r="AC585" s="27">
        <v>0</v>
      </c>
      <c r="AD585" s="28">
        <v>0</v>
      </c>
      <c r="AE585" s="27">
        <v>0</v>
      </c>
      <c r="AF585" s="28">
        <v>0</v>
      </c>
      <c r="AG585" s="27">
        <v>0</v>
      </c>
      <c r="AH585" s="28">
        <v>0</v>
      </c>
      <c r="AI585" s="27">
        <f>4.73947/1.18</f>
        <v>4.0164999999999997</v>
      </c>
      <c r="AJ585" s="27">
        <v>0</v>
      </c>
      <c r="AK585" s="27">
        <v>0</v>
      </c>
      <c r="AL585" s="27">
        <v>0</v>
      </c>
      <c r="AM585" s="27">
        <f t="shared" si="48"/>
        <v>4.0164999999999997</v>
      </c>
      <c r="AN585" s="27">
        <f t="shared" si="47"/>
        <v>0</v>
      </c>
      <c r="AO585" s="35" t="s">
        <v>1435</v>
      </c>
    </row>
    <row r="586" spans="1:41" ht="31.5" customHeight="1" x14ac:dyDescent="0.25">
      <c r="A586" s="59" t="s">
        <v>96</v>
      </c>
      <c r="B586" s="41" t="s">
        <v>1065</v>
      </c>
      <c r="C586" s="29" t="s">
        <v>1066</v>
      </c>
      <c r="D586" s="38" t="s">
        <v>1483</v>
      </c>
      <c r="E586" s="30">
        <v>2018</v>
      </c>
      <c r="F586" s="30">
        <v>2018</v>
      </c>
      <c r="G586" s="30" t="s">
        <v>1435</v>
      </c>
      <c r="H586" s="27">
        <v>0.24904456824512533</v>
      </c>
      <c r="I586" s="27">
        <v>0</v>
      </c>
      <c r="J586" s="27">
        <v>0</v>
      </c>
      <c r="K586" s="27">
        <v>1.7881399999999998</v>
      </c>
      <c r="L586" s="27">
        <v>8.4745762711864417E-2</v>
      </c>
      <c r="M586" s="27">
        <v>1.4346122403900257</v>
      </c>
      <c r="N586" s="27">
        <v>0.26878199689811016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>
        <v>0</v>
      </c>
      <c r="U586" s="27">
        <v>0.24904456824512533</v>
      </c>
      <c r="V586" s="27">
        <v>1.7881399999999998</v>
      </c>
      <c r="W586" s="27">
        <v>0.24904456824512533</v>
      </c>
      <c r="X586" s="27">
        <f t="shared" si="50"/>
        <v>1.7881399999999998</v>
      </c>
      <c r="Y586" s="27">
        <v>0</v>
      </c>
      <c r="Z586" s="27">
        <f t="shared" si="49"/>
        <v>0</v>
      </c>
      <c r="AA586" s="27">
        <v>0</v>
      </c>
      <c r="AB586" s="28">
        <v>0</v>
      </c>
      <c r="AC586" s="27">
        <v>0</v>
      </c>
      <c r="AD586" s="28">
        <v>0</v>
      </c>
      <c r="AE586" s="27">
        <v>0</v>
      </c>
      <c r="AF586" s="28">
        <v>0</v>
      </c>
      <c r="AG586" s="27">
        <v>0</v>
      </c>
      <c r="AH586" s="28">
        <v>0</v>
      </c>
      <c r="AI586" s="27">
        <f>2.1100052/1.18</f>
        <v>1.7881399999999998</v>
      </c>
      <c r="AJ586" s="27">
        <v>0</v>
      </c>
      <c r="AK586" s="27">
        <v>0</v>
      </c>
      <c r="AL586" s="27">
        <v>0</v>
      </c>
      <c r="AM586" s="27">
        <f t="shared" si="48"/>
        <v>1.7881399999999998</v>
      </c>
      <c r="AN586" s="27">
        <f t="shared" si="47"/>
        <v>0</v>
      </c>
      <c r="AO586" s="35" t="s">
        <v>1435</v>
      </c>
    </row>
    <row r="587" spans="1:41" ht="31.5" customHeight="1" x14ac:dyDescent="0.25">
      <c r="A587" s="59" t="s">
        <v>96</v>
      </c>
      <c r="B587" s="41" t="s">
        <v>1067</v>
      </c>
      <c r="C587" s="29" t="s">
        <v>1068</v>
      </c>
      <c r="D587" s="38" t="s">
        <v>1483</v>
      </c>
      <c r="E587" s="30">
        <v>2018</v>
      </c>
      <c r="F587" s="30">
        <v>2018</v>
      </c>
      <c r="G587" s="30" t="s">
        <v>1435</v>
      </c>
      <c r="H587" s="27">
        <v>0.14163649025069641</v>
      </c>
      <c r="I587" s="27">
        <v>0</v>
      </c>
      <c r="J587" s="27">
        <v>0</v>
      </c>
      <c r="K587" s="27">
        <v>1.0169500000000002</v>
      </c>
      <c r="L587" s="27">
        <v>6.377350620846356E-2</v>
      </c>
      <c r="M587" s="27">
        <v>0.76185597516614578</v>
      </c>
      <c r="N587" s="27">
        <v>0.19132051862539068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0.14163649025069641</v>
      </c>
      <c r="V587" s="27">
        <v>1.0169500000000002</v>
      </c>
      <c r="W587" s="27">
        <v>0.14163649025069641</v>
      </c>
      <c r="X587" s="27">
        <f t="shared" si="50"/>
        <v>1.0169500000000002</v>
      </c>
      <c r="Y587" s="27">
        <v>0</v>
      </c>
      <c r="Z587" s="27">
        <f t="shared" si="49"/>
        <v>0</v>
      </c>
      <c r="AA587" s="27">
        <v>0</v>
      </c>
      <c r="AB587" s="28">
        <v>0</v>
      </c>
      <c r="AC587" s="27">
        <v>0</v>
      </c>
      <c r="AD587" s="28">
        <v>0</v>
      </c>
      <c r="AE587" s="27">
        <v>0</v>
      </c>
      <c r="AF587" s="28">
        <v>0</v>
      </c>
      <c r="AG587" s="27">
        <v>0</v>
      </c>
      <c r="AH587" s="28">
        <v>0</v>
      </c>
      <c r="AI587" s="27">
        <f>1.200001/1.18</f>
        <v>1.0169500000000002</v>
      </c>
      <c r="AJ587" s="27">
        <v>0</v>
      </c>
      <c r="AK587" s="27">
        <v>0</v>
      </c>
      <c r="AL587" s="27">
        <v>0</v>
      </c>
      <c r="AM587" s="27">
        <f t="shared" si="48"/>
        <v>1.0169500000000002</v>
      </c>
      <c r="AN587" s="27">
        <f t="shared" si="47"/>
        <v>0</v>
      </c>
      <c r="AO587" s="35" t="s">
        <v>1435</v>
      </c>
    </row>
    <row r="588" spans="1:41" ht="31.5" customHeight="1" x14ac:dyDescent="0.25">
      <c r="A588" s="59" t="s">
        <v>96</v>
      </c>
      <c r="B588" s="41" t="s">
        <v>1069</v>
      </c>
      <c r="C588" s="29" t="s">
        <v>1070</v>
      </c>
      <c r="D588" s="38" t="s">
        <v>1483</v>
      </c>
      <c r="E588" s="30">
        <v>2018</v>
      </c>
      <c r="F588" s="30">
        <v>2018</v>
      </c>
      <c r="G588" s="30" t="s">
        <v>1435</v>
      </c>
      <c r="H588" s="27">
        <v>7.9080779944289706E-2</v>
      </c>
      <c r="I588" s="27">
        <v>0</v>
      </c>
      <c r="J588" s="27">
        <v>0</v>
      </c>
      <c r="K588" s="27">
        <v>0.56780000000000008</v>
      </c>
      <c r="L588" s="27">
        <v>3.4842110709014239E-2</v>
      </c>
      <c r="M588" s="27">
        <v>0.42843155716394327</v>
      </c>
      <c r="N588" s="27">
        <v>0.10452633212704238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7.9080779944289706E-2</v>
      </c>
      <c r="V588" s="27">
        <v>0.56780000000000008</v>
      </c>
      <c r="W588" s="27">
        <v>7.9080779944289706E-2</v>
      </c>
      <c r="X588" s="27">
        <f t="shared" si="50"/>
        <v>0.56780000000000008</v>
      </c>
      <c r="Y588" s="27">
        <v>0</v>
      </c>
      <c r="Z588" s="27">
        <f t="shared" si="49"/>
        <v>0</v>
      </c>
      <c r="AA588" s="27">
        <v>0</v>
      </c>
      <c r="AB588" s="28">
        <v>0</v>
      </c>
      <c r="AC588" s="27">
        <v>0</v>
      </c>
      <c r="AD588" s="28">
        <v>0</v>
      </c>
      <c r="AE588" s="27">
        <v>0</v>
      </c>
      <c r="AF588" s="28">
        <v>0</v>
      </c>
      <c r="AG588" s="27">
        <v>0</v>
      </c>
      <c r="AH588" s="28">
        <v>0</v>
      </c>
      <c r="AI588" s="27">
        <f>0.670004/1.18</f>
        <v>0.56780000000000008</v>
      </c>
      <c r="AJ588" s="27">
        <v>0</v>
      </c>
      <c r="AK588" s="27">
        <v>0</v>
      </c>
      <c r="AL588" s="27">
        <v>0</v>
      </c>
      <c r="AM588" s="27">
        <f t="shared" si="48"/>
        <v>0.56780000000000008</v>
      </c>
      <c r="AN588" s="27">
        <f t="shared" si="47"/>
        <v>0</v>
      </c>
      <c r="AO588" s="35" t="s">
        <v>1435</v>
      </c>
    </row>
    <row r="589" spans="1:41" ht="31.5" customHeight="1" x14ac:dyDescent="0.25">
      <c r="A589" s="59" t="s">
        <v>96</v>
      </c>
      <c r="B589" s="41" t="s">
        <v>1071</v>
      </c>
      <c r="C589" s="29" t="s">
        <v>1072</v>
      </c>
      <c r="D589" s="38" t="s">
        <v>1483</v>
      </c>
      <c r="E589" s="30">
        <v>2018</v>
      </c>
      <c r="F589" s="30">
        <v>2018</v>
      </c>
      <c r="G589" s="30" t="s">
        <v>1435</v>
      </c>
      <c r="H589" s="27">
        <v>6.2555710306406692E-2</v>
      </c>
      <c r="I589" s="27">
        <v>0</v>
      </c>
      <c r="J589" s="27">
        <v>0</v>
      </c>
      <c r="K589" s="27">
        <v>0.44915000000000005</v>
      </c>
      <c r="L589" s="27">
        <v>2.2554044878602967E-2</v>
      </c>
      <c r="M589" s="27">
        <v>0.38148786536419071</v>
      </c>
      <c r="N589" s="27">
        <v>4.5108089757205934E-2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6.2555710306406692E-2</v>
      </c>
      <c r="V589" s="27">
        <v>0.44915000000000005</v>
      </c>
      <c r="W589" s="27">
        <v>6.2555710306406692E-2</v>
      </c>
      <c r="X589" s="27">
        <f t="shared" si="50"/>
        <v>0.44915000000000005</v>
      </c>
      <c r="Y589" s="27">
        <v>0</v>
      </c>
      <c r="Z589" s="27">
        <f t="shared" si="49"/>
        <v>0</v>
      </c>
      <c r="AA589" s="27">
        <v>0</v>
      </c>
      <c r="AB589" s="28">
        <v>0</v>
      </c>
      <c r="AC589" s="27">
        <v>0</v>
      </c>
      <c r="AD589" s="28">
        <v>0</v>
      </c>
      <c r="AE589" s="27">
        <v>0</v>
      </c>
      <c r="AF589" s="28">
        <v>0</v>
      </c>
      <c r="AG589" s="27">
        <v>0</v>
      </c>
      <c r="AH589" s="28">
        <v>0</v>
      </c>
      <c r="AI589" s="27">
        <f>0.529997/1.18</f>
        <v>0.44915000000000005</v>
      </c>
      <c r="AJ589" s="27">
        <v>0</v>
      </c>
      <c r="AK589" s="27">
        <v>0</v>
      </c>
      <c r="AL589" s="27">
        <v>0</v>
      </c>
      <c r="AM589" s="27">
        <f t="shared" si="48"/>
        <v>0.44915000000000005</v>
      </c>
      <c r="AN589" s="27">
        <f t="shared" si="47"/>
        <v>0</v>
      </c>
      <c r="AO589" s="35" t="s">
        <v>1435</v>
      </c>
    </row>
    <row r="590" spans="1:41" ht="31.5" customHeight="1" x14ac:dyDescent="0.25">
      <c r="A590" s="59" t="s">
        <v>96</v>
      </c>
      <c r="B590" s="41" t="s">
        <v>1073</v>
      </c>
      <c r="C590" s="29" t="s">
        <v>1074</v>
      </c>
      <c r="D590" s="38" t="s">
        <v>1483</v>
      </c>
      <c r="E590" s="30">
        <v>2018</v>
      </c>
      <c r="F590" s="30">
        <v>2018</v>
      </c>
      <c r="G590" s="30" t="s">
        <v>1435</v>
      </c>
      <c r="H590" s="27">
        <v>5.1933147632311986E-2</v>
      </c>
      <c r="I590" s="27">
        <v>0</v>
      </c>
      <c r="J590" s="27">
        <v>0</v>
      </c>
      <c r="K590" s="27">
        <v>0.37288000000000004</v>
      </c>
      <c r="L590" s="27">
        <v>1.8665416451257629E-2</v>
      </c>
      <c r="M590" s="27">
        <v>0.31688375064622715</v>
      </c>
      <c r="N590" s="27">
        <v>3.7330832902515258E-2</v>
      </c>
      <c r="O590" s="27">
        <v>0</v>
      </c>
      <c r="P590" s="27">
        <v>0</v>
      </c>
      <c r="Q590" s="27">
        <v>0</v>
      </c>
      <c r="R590" s="27">
        <v>0</v>
      </c>
      <c r="S590" s="27">
        <v>0</v>
      </c>
      <c r="T590" s="27">
        <v>0</v>
      </c>
      <c r="U590" s="27">
        <v>5.1933147632311986E-2</v>
      </c>
      <c r="V590" s="27">
        <v>0.37288000000000004</v>
      </c>
      <c r="W590" s="27">
        <v>5.1933147632311986E-2</v>
      </c>
      <c r="X590" s="27">
        <f t="shared" si="50"/>
        <v>0.37288000000000004</v>
      </c>
      <c r="Y590" s="27">
        <v>0</v>
      </c>
      <c r="Z590" s="27">
        <f t="shared" si="49"/>
        <v>0</v>
      </c>
      <c r="AA590" s="27">
        <v>0</v>
      </c>
      <c r="AB590" s="28">
        <v>0</v>
      </c>
      <c r="AC590" s="27">
        <v>0</v>
      </c>
      <c r="AD590" s="28">
        <v>0</v>
      </c>
      <c r="AE590" s="27">
        <v>0</v>
      </c>
      <c r="AF590" s="28">
        <v>0</v>
      </c>
      <c r="AG590" s="27">
        <v>0</v>
      </c>
      <c r="AH590" s="28">
        <v>0</v>
      </c>
      <c r="AI590" s="27">
        <f>0.4399984/1.18</f>
        <v>0.37288000000000004</v>
      </c>
      <c r="AJ590" s="27">
        <v>0</v>
      </c>
      <c r="AK590" s="27">
        <v>0</v>
      </c>
      <c r="AL590" s="27">
        <v>0</v>
      </c>
      <c r="AM590" s="27">
        <f t="shared" si="48"/>
        <v>0.37288000000000004</v>
      </c>
      <c r="AN590" s="27">
        <f t="shared" si="47"/>
        <v>0</v>
      </c>
      <c r="AO590" s="35" t="s">
        <v>1435</v>
      </c>
    </row>
    <row r="591" spans="1:41" ht="31.5" customHeight="1" x14ac:dyDescent="0.25">
      <c r="A591" s="59" t="s">
        <v>96</v>
      </c>
      <c r="B591" s="41" t="s">
        <v>1075</v>
      </c>
      <c r="C591" s="29" t="s">
        <v>1076</v>
      </c>
      <c r="D591" s="38" t="s">
        <v>1483</v>
      </c>
      <c r="E591" s="30">
        <v>2018</v>
      </c>
      <c r="F591" s="30">
        <v>2018</v>
      </c>
      <c r="G591" s="30" t="s">
        <v>1435</v>
      </c>
      <c r="H591" s="27">
        <v>7.5538997214484691E-2</v>
      </c>
      <c r="I591" s="27">
        <v>0</v>
      </c>
      <c r="J591" s="27">
        <v>0</v>
      </c>
      <c r="K591" s="27">
        <v>0.54237000000000002</v>
      </c>
      <c r="L591" s="27">
        <v>3.5775381531577125E-2</v>
      </c>
      <c r="M591" s="27">
        <v>0.41119360105088393</v>
      </c>
      <c r="N591" s="27">
        <v>9.540101741753898E-2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7.5538997214484691E-2</v>
      </c>
      <c r="V591" s="27">
        <v>0.54237000000000002</v>
      </c>
      <c r="W591" s="27">
        <v>7.5538997214484691E-2</v>
      </c>
      <c r="X591" s="27">
        <f t="shared" si="50"/>
        <v>0.54237000000000002</v>
      </c>
      <c r="Y591" s="27">
        <v>0</v>
      </c>
      <c r="Z591" s="27">
        <f t="shared" si="49"/>
        <v>0</v>
      </c>
      <c r="AA591" s="27">
        <v>0</v>
      </c>
      <c r="AB591" s="28">
        <v>0</v>
      </c>
      <c r="AC591" s="27">
        <v>0</v>
      </c>
      <c r="AD591" s="28">
        <v>0</v>
      </c>
      <c r="AE591" s="27">
        <v>0</v>
      </c>
      <c r="AF591" s="28">
        <v>0</v>
      </c>
      <c r="AG591" s="27">
        <v>0</v>
      </c>
      <c r="AH591" s="28">
        <v>0</v>
      </c>
      <c r="AI591" s="27">
        <f>0.6399966/1.18</f>
        <v>0.54237000000000002</v>
      </c>
      <c r="AJ591" s="27">
        <v>0</v>
      </c>
      <c r="AK591" s="27">
        <v>0</v>
      </c>
      <c r="AL591" s="27">
        <v>0</v>
      </c>
      <c r="AM591" s="27">
        <f t="shared" si="48"/>
        <v>0.54237000000000002</v>
      </c>
      <c r="AN591" s="27">
        <f t="shared" si="47"/>
        <v>0</v>
      </c>
      <c r="AO591" s="35" t="s">
        <v>1435</v>
      </c>
    </row>
    <row r="592" spans="1:41" ht="31.5" customHeight="1" x14ac:dyDescent="0.25">
      <c r="A592" s="59" t="s">
        <v>96</v>
      </c>
      <c r="B592" s="41" t="s">
        <v>1077</v>
      </c>
      <c r="C592" s="29" t="s">
        <v>1078</v>
      </c>
      <c r="D592" s="38" t="s">
        <v>1483</v>
      </c>
      <c r="E592" s="30">
        <v>2018</v>
      </c>
      <c r="F592" s="30">
        <v>2018</v>
      </c>
      <c r="G592" s="30" t="s">
        <v>1435</v>
      </c>
      <c r="H592" s="27">
        <v>6.9637883008356549E-2</v>
      </c>
      <c r="I592" s="27">
        <v>0</v>
      </c>
      <c r="J592" s="27">
        <v>0</v>
      </c>
      <c r="K592" s="27">
        <v>0.5</v>
      </c>
      <c r="L592" s="27">
        <v>2.4887221935010171E-2</v>
      </c>
      <c r="M592" s="27">
        <v>0.40874685290496271</v>
      </c>
      <c r="N592" s="27">
        <v>6.6365925160027123E-2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6.9637883008356549E-2</v>
      </c>
      <c r="V592" s="27">
        <v>0.5</v>
      </c>
      <c r="W592" s="27">
        <v>6.9637883008356549E-2</v>
      </c>
      <c r="X592" s="27">
        <f t="shared" si="50"/>
        <v>0.5</v>
      </c>
      <c r="Y592" s="27">
        <v>0</v>
      </c>
      <c r="Z592" s="27">
        <f t="shared" si="49"/>
        <v>0</v>
      </c>
      <c r="AA592" s="27">
        <v>0</v>
      </c>
      <c r="AB592" s="28">
        <v>0</v>
      </c>
      <c r="AC592" s="27">
        <v>0</v>
      </c>
      <c r="AD592" s="28">
        <v>0</v>
      </c>
      <c r="AE592" s="27">
        <v>0</v>
      </c>
      <c r="AF592" s="28">
        <v>0</v>
      </c>
      <c r="AG592" s="27">
        <v>0</v>
      </c>
      <c r="AH592" s="28">
        <v>0</v>
      </c>
      <c r="AI592" s="27">
        <f>0.59/1.18</f>
        <v>0.5</v>
      </c>
      <c r="AJ592" s="27">
        <v>0</v>
      </c>
      <c r="AK592" s="27">
        <v>0</v>
      </c>
      <c r="AL592" s="27">
        <v>0</v>
      </c>
      <c r="AM592" s="27">
        <f t="shared" si="48"/>
        <v>0.5</v>
      </c>
      <c r="AN592" s="27">
        <f t="shared" si="47"/>
        <v>0</v>
      </c>
      <c r="AO592" s="35" t="s">
        <v>1435</v>
      </c>
    </row>
    <row r="593" spans="1:41" ht="31.5" customHeight="1" x14ac:dyDescent="0.25">
      <c r="A593" s="59" t="s">
        <v>96</v>
      </c>
      <c r="B593" s="41" t="s">
        <v>1079</v>
      </c>
      <c r="C593" s="29" t="s">
        <v>1080</v>
      </c>
      <c r="D593" s="38" t="s">
        <v>1483</v>
      </c>
      <c r="E593" s="30">
        <v>2018</v>
      </c>
      <c r="F593" s="30">
        <v>2018</v>
      </c>
      <c r="G593" s="30" t="s">
        <v>1435</v>
      </c>
      <c r="H593" s="27">
        <v>6.1376044568245129E-2</v>
      </c>
      <c r="I593" s="27">
        <v>0</v>
      </c>
      <c r="J593" s="27">
        <v>0</v>
      </c>
      <c r="K593" s="27">
        <v>0.44068000000000002</v>
      </c>
      <c r="L593" s="27">
        <v>2.2087409467321528E-2</v>
      </c>
      <c r="M593" s="27">
        <v>0.35969283195315421</v>
      </c>
      <c r="N593" s="27">
        <v>5.8899758579524071E-2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6.1376044568245129E-2</v>
      </c>
      <c r="V593" s="27">
        <v>0.44068000000000002</v>
      </c>
      <c r="W593" s="27">
        <v>6.1376044568245129E-2</v>
      </c>
      <c r="X593" s="27">
        <f t="shared" si="50"/>
        <v>0.44068000000000002</v>
      </c>
      <c r="Y593" s="27">
        <v>0</v>
      </c>
      <c r="Z593" s="27">
        <f t="shared" si="49"/>
        <v>0</v>
      </c>
      <c r="AA593" s="27">
        <v>0</v>
      </c>
      <c r="AB593" s="28">
        <v>0</v>
      </c>
      <c r="AC593" s="27">
        <v>0</v>
      </c>
      <c r="AD593" s="28">
        <v>0</v>
      </c>
      <c r="AE593" s="27">
        <v>0</v>
      </c>
      <c r="AF593" s="28">
        <v>0</v>
      </c>
      <c r="AG593" s="27">
        <v>0</v>
      </c>
      <c r="AH593" s="28">
        <v>0</v>
      </c>
      <c r="AI593" s="27">
        <f>0.5200024/1.18</f>
        <v>0.44068000000000002</v>
      </c>
      <c r="AJ593" s="27">
        <v>0</v>
      </c>
      <c r="AK593" s="27">
        <v>0</v>
      </c>
      <c r="AL593" s="27">
        <v>0</v>
      </c>
      <c r="AM593" s="27">
        <f t="shared" si="48"/>
        <v>0.44068000000000002</v>
      </c>
      <c r="AN593" s="27">
        <f t="shared" si="47"/>
        <v>0</v>
      </c>
      <c r="AO593" s="35" t="s">
        <v>1435</v>
      </c>
    </row>
    <row r="594" spans="1:41" ht="31.5" customHeight="1" x14ac:dyDescent="0.25">
      <c r="A594" s="59" t="s">
        <v>96</v>
      </c>
      <c r="B594" s="41" t="s">
        <v>1081</v>
      </c>
      <c r="C594" s="29" t="s">
        <v>1082</v>
      </c>
      <c r="D594" s="38" t="s">
        <v>1483</v>
      </c>
      <c r="E594" s="30">
        <v>2018</v>
      </c>
      <c r="F594" s="30">
        <v>2018</v>
      </c>
      <c r="G594" s="30" t="s">
        <v>1435</v>
      </c>
      <c r="H594" s="27">
        <v>3.422841225626741E-2</v>
      </c>
      <c r="I594" s="27">
        <v>0</v>
      </c>
      <c r="J594" s="27">
        <v>0</v>
      </c>
      <c r="K594" s="27">
        <v>0.24576000000000001</v>
      </c>
      <c r="L594" s="27">
        <v>1.2443610967505086E-2</v>
      </c>
      <c r="M594" s="27">
        <v>0.20428129677498308</v>
      </c>
      <c r="N594" s="27">
        <v>2.9035092257511868E-2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3.422841225626741E-2</v>
      </c>
      <c r="V594" s="27">
        <v>0.24576000000000001</v>
      </c>
      <c r="W594" s="27">
        <v>3.422841225626741E-2</v>
      </c>
      <c r="X594" s="27">
        <f t="shared" si="50"/>
        <v>0.24576000000000001</v>
      </c>
      <c r="Y594" s="27">
        <v>0</v>
      </c>
      <c r="Z594" s="27">
        <f t="shared" si="49"/>
        <v>0</v>
      </c>
      <c r="AA594" s="27">
        <v>0</v>
      </c>
      <c r="AB594" s="28">
        <v>0</v>
      </c>
      <c r="AC594" s="27">
        <v>0</v>
      </c>
      <c r="AD594" s="28">
        <v>0</v>
      </c>
      <c r="AE594" s="27">
        <v>0</v>
      </c>
      <c r="AF594" s="28">
        <v>0</v>
      </c>
      <c r="AG594" s="27">
        <v>0</v>
      </c>
      <c r="AH594" s="28">
        <v>0</v>
      </c>
      <c r="AI594" s="27">
        <f>0.2899968/1.18</f>
        <v>0.24576000000000001</v>
      </c>
      <c r="AJ594" s="27">
        <v>0</v>
      </c>
      <c r="AK594" s="27">
        <v>0</v>
      </c>
      <c r="AL594" s="27">
        <v>0</v>
      </c>
      <c r="AM594" s="27">
        <f t="shared" si="48"/>
        <v>0.24576000000000001</v>
      </c>
      <c r="AN594" s="27">
        <f t="shared" si="47"/>
        <v>0</v>
      </c>
      <c r="AO594" s="35" t="s">
        <v>1435</v>
      </c>
    </row>
    <row r="595" spans="1:41" ht="31.5" customHeight="1" x14ac:dyDescent="0.25">
      <c r="A595" s="59" t="s">
        <v>96</v>
      </c>
      <c r="B595" s="41" t="s">
        <v>1083</v>
      </c>
      <c r="C595" s="29" t="s">
        <v>1084</v>
      </c>
      <c r="D595" s="38" t="s">
        <v>1483</v>
      </c>
      <c r="E595" s="30">
        <v>2018</v>
      </c>
      <c r="F595" s="30">
        <v>2018</v>
      </c>
      <c r="G595" s="30" t="s">
        <v>1435</v>
      </c>
      <c r="H595" s="27">
        <v>4.8392757660167131E-2</v>
      </c>
      <c r="I595" s="27">
        <v>0</v>
      </c>
      <c r="J595" s="27">
        <v>0</v>
      </c>
      <c r="K595" s="27">
        <v>0.34745999999999999</v>
      </c>
      <c r="L595" s="27">
        <v>1.7265510217413307E-2</v>
      </c>
      <c r="M595" s="27">
        <v>0.29566346934776017</v>
      </c>
      <c r="N595" s="27">
        <v>3.4531020434826615E-2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4.8392757660167131E-2</v>
      </c>
      <c r="V595" s="27">
        <v>0.34745999999999999</v>
      </c>
      <c r="W595" s="27">
        <v>4.8392757660167131E-2</v>
      </c>
      <c r="X595" s="27">
        <f t="shared" si="50"/>
        <v>0.34745999999999999</v>
      </c>
      <c r="Y595" s="27">
        <v>0</v>
      </c>
      <c r="Z595" s="27">
        <f t="shared" si="49"/>
        <v>0</v>
      </c>
      <c r="AA595" s="27">
        <v>0</v>
      </c>
      <c r="AB595" s="28">
        <v>0</v>
      </c>
      <c r="AC595" s="27">
        <v>0</v>
      </c>
      <c r="AD595" s="28">
        <v>0</v>
      </c>
      <c r="AE595" s="27">
        <v>0</v>
      </c>
      <c r="AF595" s="28">
        <v>0</v>
      </c>
      <c r="AG595" s="27">
        <v>0</v>
      </c>
      <c r="AH595" s="28">
        <v>0</v>
      </c>
      <c r="AI595" s="27">
        <f>0.4100028/1.18</f>
        <v>0.34745999999999999</v>
      </c>
      <c r="AJ595" s="27">
        <v>0</v>
      </c>
      <c r="AK595" s="27">
        <v>0</v>
      </c>
      <c r="AL595" s="27">
        <v>0</v>
      </c>
      <c r="AM595" s="27">
        <f t="shared" si="48"/>
        <v>0.34745999999999999</v>
      </c>
      <c r="AN595" s="27">
        <f t="shared" ref="AN595:AN658" si="51">AD595+AF595+AH595</f>
        <v>0</v>
      </c>
      <c r="AO595" s="35" t="s">
        <v>1435</v>
      </c>
    </row>
    <row r="596" spans="1:41" ht="31.5" customHeight="1" x14ac:dyDescent="0.25">
      <c r="A596" s="59" t="s">
        <v>96</v>
      </c>
      <c r="B596" s="41" t="s">
        <v>1085</v>
      </c>
      <c r="C596" s="29" t="s">
        <v>1086</v>
      </c>
      <c r="D596" s="38" t="s">
        <v>1483</v>
      </c>
      <c r="E596" s="30">
        <v>2018</v>
      </c>
      <c r="F596" s="30">
        <v>2018</v>
      </c>
      <c r="G596" s="30" t="s">
        <v>1435</v>
      </c>
      <c r="H596" s="27">
        <v>0.1546197771587744</v>
      </c>
      <c r="I596" s="27">
        <v>0</v>
      </c>
      <c r="J596" s="27">
        <v>0</v>
      </c>
      <c r="K596" s="27">
        <v>1.1101700000000001</v>
      </c>
      <c r="L596" s="27">
        <v>5.5374068805397629E-2</v>
      </c>
      <c r="M596" s="27">
        <v>0.90713174771354232</v>
      </c>
      <c r="N596" s="27">
        <v>0.14766418348106017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0.1546197771587744</v>
      </c>
      <c r="V596" s="27">
        <v>1.1101700000000001</v>
      </c>
      <c r="W596" s="27">
        <v>0.1546197771587744</v>
      </c>
      <c r="X596" s="27">
        <f t="shared" si="50"/>
        <v>1.1101700000000001</v>
      </c>
      <c r="Y596" s="27">
        <v>0</v>
      </c>
      <c r="Z596" s="27">
        <f t="shared" si="49"/>
        <v>0</v>
      </c>
      <c r="AA596" s="27">
        <v>0</v>
      </c>
      <c r="AB596" s="28">
        <v>0</v>
      </c>
      <c r="AC596" s="27">
        <v>0</v>
      </c>
      <c r="AD596" s="28">
        <v>0</v>
      </c>
      <c r="AE596" s="27">
        <v>0</v>
      </c>
      <c r="AF596" s="28">
        <v>0</v>
      </c>
      <c r="AG596" s="27">
        <v>0</v>
      </c>
      <c r="AH596" s="28">
        <v>0</v>
      </c>
      <c r="AI596" s="27">
        <f>1.3100006/1.18</f>
        <v>1.1101700000000001</v>
      </c>
      <c r="AJ596" s="27">
        <v>0</v>
      </c>
      <c r="AK596" s="27">
        <v>0</v>
      </c>
      <c r="AL596" s="27">
        <v>0</v>
      </c>
      <c r="AM596" s="27">
        <f t="shared" si="48"/>
        <v>1.1101700000000001</v>
      </c>
      <c r="AN596" s="27">
        <f t="shared" si="51"/>
        <v>0</v>
      </c>
      <c r="AO596" s="35" t="s">
        <v>1435</v>
      </c>
    </row>
    <row r="597" spans="1:41" ht="31.5" customHeight="1" x14ac:dyDescent="0.25">
      <c r="A597" s="59" t="s">
        <v>96</v>
      </c>
      <c r="B597" s="41" t="s">
        <v>1087</v>
      </c>
      <c r="C597" s="29" t="s">
        <v>1088</v>
      </c>
      <c r="D597" s="38" t="s">
        <v>1483</v>
      </c>
      <c r="E597" s="30">
        <v>2018</v>
      </c>
      <c r="F597" s="30">
        <v>2018</v>
      </c>
      <c r="G597" s="30" t="s">
        <v>1435</v>
      </c>
      <c r="H597" s="27">
        <v>3.2651810584958217E-2</v>
      </c>
      <c r="I597" s="27">
        <v>0</v>
      </c>
      <c r="J597" s="27">
        <v>0</v>
      </c>
      <c r="K597" s="27">
        <v>0.23443999999999998</v>
      </c>
      <c r="L597" s="27">
        <v>1.617669425775661E-2</v>
      </c>
      <c r="M597" s="27">
        <v>0.19130214864598222</v>
      </c>
      <c r="N597" s="27">
        <v>2.6961157096261016E-2</v>
      </c>
      <c r="O597" s="27">
        <v>0</v>
      </c>
      <c r="P597" s="27">
        <v>0</v>
      </c>
      <c r="Q597" s="27">
        <v>0</v>
      </c>
      <c r="R597" s="27">
        <v>0</v>
      </c>
      <c r="S597" s="27">
        <v>0</v>
      </c>
      <c r="T597" s="27">
        <v>0</v>
      </c>
      <c r="U597" s="27">
        <v>3.2651810584958217E-2</v>
      </c>
      <c r="V597" s="27">
        <v>0.23443999999999998</v>
      </c>
      <c r="W597" s="27">
        <v>3.2651810584958217E-2</v>
      </c>
      <c r="X597" s="27">
        <f t="shared" si="50"/>
        <v>0.23443999999999998</v>
      </c>
      <c r="Y597" s="27">
        <v>0</v>
      </c>
      <c r="Z597" s="27">
        <f t="shared" si="49"/>
        <v>0</v>
      </c>
      <c r="AA597" s="27">
        <v>0</v>
      </c>
      <c r="AB597" s="28">
        <v>0</v>
      </c>
      <c r="AC597" s="27">
        <v>0</v>
      </c>
      <c r="AD597" s="28">
        <v>0</v>
      </c>
      <c r="AE597" s="27">
        <v>0</v>
      </c>
      <c r="AF597" s="28">
        <v>0</v>
      </c>
      <c r="AG597" s="27">
        <v>0</v>
      </c>
      <c r="AH597" s="28">
        <v>0</v>
      </c>
      <c r="AI597" s="27">
        <f>0.2766392/1.18</f>
        <v>0.23443999999999998</v>
      </c>
      <c r="AJ597" s="27">
        <v>0</v>
      </c>
      <c r="AK597" s="27">
        <v>0</v>
      </c>
      <c r="AL597" s="27">
        <v>0</v>
      </c>
      <c r="AM597" s="27">
        <f t="shared" si="48"/>
        <v>0.23443999999999998</v>
      </c>
      <c r="AN597" s="27">
        <f t="shared" si="51"/>
        <v>0</v>
      </c>
      <c r="AO597" s="35" t="s">
        <v>1435</v>
      </c>
    </row>
    <row r="598" spans="1:41" ht="31.5" customHeight="1" x14ac:dyDescent="0.25">
      <c r="A598" s="59" t="s">
        <v>96</v>
      </c>
      <c r="B598" s="41" t="s">
        <v>1089</v>
      </c>
      <c r="C598" s="29" t="s">
        <v>1090</v>
      </c>
      <c r="D598" s="38" t="s">
        <v>1483</v>
      </c>
      <c r="E598" s="30">
        <v>2018</v>
      </c>
      <c r="F598" s="30">
        <v>2018</v>
      </c>
      <c r="G598" s="30" t="s">
        <v>1435</v>
      </c>
      <c r="H598" s="27">
        <v>8.2840651810584975E-2</v>
      </c>
      <c r="I598" s="27">
        <v>0</v>
      </c>
      <c r="J598" s="27">
        <v>0</v>
      </c>
      <c r="K598" s="27">
        <v>0.59479588000000005</v>
      </c>
      <c r="L598" s="27">
        <v>3.3286659338076105E-2</v>
      </c>
      <c r="M598" s="27">
        <v>0.42836258330961946</v>
      </c>
      <c r="N598" s="27">
        <v>0.13314663735230425</v>
      </c>
      <c r="O598" s="27">
        <v>0</v>
      </c>
      <c r="P598" s="27">
        <v>0</v>
      </c>
      <c r="Q598" s="27">
        <v>0</v>
      </c>
      <c r="R598" s="27">
        <v>0</v>
      </c>
      <c r="S598" s="27">
        <v>0</v>
      </c>
      <c r="T598" s="27">
        <v>0</v>
      </c>
      <c r="U598" s="27">
        <v>8.2840651810584975E-2</v>
      </c>
      <c r="V598" s="27">
        <v>0.59479588000000005</v>
      </c>
      <c r="W598" s="27">
        <v>8.2840651810584975E-2</v>
      </c>
      <c r="X598" s="27">
        <f t="shared" si="50"/>
        <v>0.59479588000000005</v>
      </c>
      <c r="Y598" s="27">
        <v>0</v>
      </c>
      <c r="Z598" s="27">
        <f t="shared" si="49"/>
        <v>0</v>
      </c>
      <c r="AA598" s="27">
        <v>0</v>
      </c>
      <c r="AB598" s="28">
        <v>0</v>
      </c>
      <c r="AC598" s="27">
        <v>0</v>
      </c>
      <c r="AD598" s="28">
        <v>0</v>
      </c>
      <c r="AE598" s="27">
        <v>0</v>
      </c>
      <c r="AF598" s="28">
        <v>0</v>
      </c>
      <c r="AG598" s="27">
        <v>0</v>
      </c>
      <c r="AH598" s="28">
        <v>0</v>
      </c>
      <c r="AI598" s="27">
        <f>0.7018591384/1.18</f>
        <v>0.59479588000000005</v>
      </c>
      <c r="AJ598" s="27">
        <v>0</v>
      </c>
      <c r="AK598" s="27">
        <v>0</v>
      </c>
      <c r="AL598" s="27">
        <v>0</v>
      </c>
      <c r="AM598" s="27">
        <f t="shared" si="48"/>
        <v>0.59479588000000005</v>
      </c>
      <c r="AN598" s="27">
        <f t="shared" si="51"/>
        <v>0</v>
      </c>
      <c r="AO598" s="35" t="s">
        <v>1435</v>
      </c>
    </row>
    <row r="599" spans="1:41" ht="31.5" customHeight="1" x14ac:dyDescent="0.25">
      <c r="A599" s="59" t="s">
        <v>96</v>
      </c>
      <c r="B599" s="41" t="s">
        <v>1091</v>
      </c>
      <c r="C599" s="29" t="s">
        <v>1092</v>
      </c>
      <c r="D599" s="38" t="s">
        <v>1483</v>
      </c>
      <c r="E599" s="30">
        <v>2018</v>
      </c>
      <c r="F599" s="30">
        <v>2018</v>
      </c>
      <c r="G599" s="30" t="s">
        <v>1435</v>
      </c>
      <c r="H599" s="27">
        <v>1.0091155988857938</v>
      </c>
      <c r="I599" s="27">
        <v>0</v>
      </c>
      <c r="J599" s="27">
        <v>0</v>
      </c>
      <c r="K599" s="27">
        <v>7.2454499999999999</v>
      </c>
      <c r="L599" s="27">
        <v>0.19491525423728814</v>
      </c>
      <c r="M599" s="27">
        <v>5.2876898586994914</v>
      </c>
      <c r="N599" s="27">
        <v>1.7628448870632205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1.0091155988857938</v>
      </c>
      <c r="V599" s="27">
        <v>7.2454499999999999</v>
      </c>
      <c r="W599" s="27">
        <v>1.0091155988857938</v>
      </c>
      <c r="X599" s="27">
        <f t="shared" si="50"/>
        <v>7.2454499999999999</v>
      </c>
      <c r="Y599" s="27">
        <v>0</v>
      </c>
      <c r="Z599" s="27">
        <f t="shared" si="49"/>
        <v>0</v>
      </c>
      <c r="AA599" s="27">
        <v>0</v>
      </c>
      <c r="AB599" s="28">
        <v>0</v>
      </c>
      <c r="AC599" s="27">
        <v>0</v>
      </c>
      <c r="AD599" s="28">
        <v>0</v>
      </c>
      <c r="AE599" s="27">
        <v>0</v>
      </c>
      <c r="AF599" s="28">
        <v>0</v>
      </c>
      <c r="AG599" s="27">
        <v>0</v>
      </c>
      <c r="AH599" s="28">
        <v>0</v>
      </c>
      <c r="AI599" s="27">
        <f>8.549631/1.18</f>
        <v>7.2454499999999999</v>
      </c>
      <c r="AJ599" s="27">
        <v>0</v>
      </c>
      <c r="AK599" s="27">
        <v>0</v>
      </c>
      <c r="AL599" s="27">
        <v>0</v>
      </c>
      <c r="AM599" s="27">
        <f t="shared" si="48"/>
        <v>7.2454499999999999</v>
      </c>
      <c r="AN599" s="27">
        <f t="shared" si="51"/>
        <v>0</v>
      </c>
      <c r="AO599" s="35" t="s">
        <v>1435</v>
      </c>
    </row>
    <row r="600" spans="1:41" ht="31.5" customHeight="1" x14ac:dyDescent="0.25">
      <c r="A600" s="59" t="s">
        <v>96</v>
      </c>
      <c r="B600" s="41" t="s">
        <v>1093</v>
      </c>
      <c r="C600" s="29" t="s">
        <v>1094</v>
      </c>
      <c r="D600" s="38" t="s">
        <v>1483</v>
      </c>
      <c r="E600" s="30">
        <v>2018</v>
      </c>
      <c r="F600" s="30">
        <v>2018</v>
      </c>
      <c r="G600" s="30" t="s">
        <v>1435</v>
      </c>
      <c r="H600" s="27">
        <v>0.44261420612813374</v>
      </c>
      <c r="I600" s="27">
        <v>0</v>
      </c>
      <c r="J600" s="27">
        <v>0</v>
      </c>
      <c r="K600" s="27">
        <v>3.1779700000000002</v>
      </c>
      <c r="L600" s="27">
        <v>0.11864406779661019</v>
      </c>
      <c r="M600" s="27">
        <v>2.229751867703051</v>
      </c>
      <c r="N600" s="27">
        <v>0.8295740645003391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0.44261420612813374</v>
      </c>
      <c r="V600" s="27">
        <v>3.1779700000000002</v>
      </c>
      <c r="W600" s="27">
        <v>0.44261420612813374</v>
      </c>
      <c r="X600" s="27">
        <f t="shared" si="50"/>
        <v>3.1779700000000002</v>
      </c>
      <c r="Y600" s="27">
        <v>0</v>
      </c>
      <c r="Z600" s="27">
        <f t="shared" si="49"/>
        <v>0</v>
      </c>
      <c r="AA600" s="27">
        <v>0</v>
      </c>
      <c r="AB600" s="28">
        <v>0</v>
      </c>
      <c r="AC600" s="27">
        <v>0</v>
      </c>
      <c r="AD600" s="28">
        <v>0</v>
      </c>
      <c r="AE600" s="27">
        <v>0</v>
      </c>
      <c r="AF600" s="28">
        <v>0</v>
      </c>
      <c r="AG600" s="27">
        <v>0</v>
      </c>
      <c r="AH600" s="28">
        <v>0</v>
      </c>
      <c r="AI600" s="27">
        <f>3.7500046/1.18</f>
        <v>3.1779700000000002</v>
      </c>
      <c r="AJ600" s="27">
        <v>0</v>
      </c>
      <c r="AK600" s="27">
        <v>0</v>
      </c>
      <c r="AL600" s="27">
        <v>0</v>
      </c>
      <c r="AM600" s="27">
        <f t="shared" si="48"/>
        <v>3.1779700000000002</v>
      </c>
      <c r="AN600" s="27">
        <f t="shared" si="51"/>
        <v>0</v>
      </c>
      <c r="AO600" s="35" t="s">
        <v>1435</v>
      </c>
    </row>
    <row r="601" spans="1:41" ht="31.5" customHeight="1" x14ac:dyDescent="0.25">
      <c r="A601" s="59" t="s">
        <v>96</v>
      </c>
      <c r="B601" s="41" t="s">
        <v>1095</v>
      </c>
      <c r="C601" s="29" t="s">
        <v>1096</v>
      </c>
      <c r="D601" s="38" t="s">
        <v>1483</v>
      </c>
      <c r="E601" s="30">
        <v>2018</v>
      </c>
      <c r="F601" s="30">
        <v>2018</v>
      </c>
      <c r="G601" s="30" t="s">
        <v>1435</v>
      </c>
      <c r="H601" s="27">
        <v>0.44261420612813374</v>
      </c>
      <c r="I601" s="27">
        <v>0</v>
      </c>
      <c r="J601" s="27">
        <v>0</v>
      </c>
      <c r="K601" s="27">
        <v>3.1779700000000002</v>
      </c>
      <c r="L601" s="27">
        <v>0.11864406779661019</v>
      </c>
      <c r="M601" s="27">
        <v>2.229751867703051</v>
      </c>
      <c r="N601" s="27">
        <v>0.8295740645003391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0.44261420612813374</v>
      </c>
      <c r="V601" s="27">
        <v>3.1779700000000002</v>
      </c>
      <c r="W601" s="27">
        <v>0.44261420612813374</v>
      </c>
      <c r="X601" s="27">
        <f t="shared" si="50"/>
        <v>3.1779700000000002</v>
      </c>
      <c r="Y601" s="27">
        <v>0</v>
      </c>
      <c r="Z601" s="27">
        <f t="shared" si="49"/>
        <v>0</v>
      </c>
      <c r="AA601" s="27">
        <v>0</v>
      </c>
      <c r="AB601" s="28">
        <v>0</v>
      </c>
      <c r="AC601" s="27">
        <v>0</v>
      </c>
      <c r="AD601" s="28">
        <v>0</v>
      </c>
      <c r="AE601" s="27">
        <v>0</v>
      </c>
      <c r="AF601" s="28">
        <v>0</v>
      </c>
      <c r="AG601" s="27">
        <v>0</v>
      </c>
      <c r="AH601" s="28">
        <v>0</v>
      </c>
      <c r="AI601" s="27">
        <f>3.7500046/1.18</f>
        <v>3.1779700000000002</v>
      </c>
      <c r="AJ601" s="27">
        <v>0</v>
      </c>
      <c r="AK601" s="27">
        <v>0</v>
      </c>
      <c r="AL601" s="27">
        <v>0</v>
      </c>
      <c r="AM601" s="27">
        <f t="shared" si="48"/>
        <v>3.1779700000000002</v>
      </c>
      <c r="AN601" s="27">
        <f t="shared" si="51"/>
        <v>0</v>
      </c>
      <c r="AO601" s="35" t="s">
        <v>1435</v>
      </c>
    </row>
    <row r="602" spans="1:41" ht="31.5" customHeight="1" x14ac:dyDescent="0.25">
      <c r="A602" s="59" t="s">
        <v>96</v>
      </c>
      <c r="B602" s="41" t="s">
        <v>1097</v>
      </c>
      <c r="C602" s="29" t="s">
        <v>1098</v>
      </c>
      <c r="D602" s="38" t="s">
        <v>1483</v>
      </c>
      <c r="E602" s="30">
        <v>2018</v>
      </c>
      <c r="F602" s="30">
        <v>2018</v>
      </c>
      <c r="G602" s="30" t="s">
        <v>1435</v>
      </c>
      <c r="H602" s="27">
        <v>0.7742116991643454</v>
      </c>
      <c r="I602" s="27">
        <v>0</v>
      </c>
      <c r="J602" s="27">
        <v>0</v>
      </c>
      <c r="K602" s="27">
        <v>5.55884</v>
      </c>
      <c r="L602" s="27">
        <v>0.19491525423728814</v>
      </c>
      <c r="M602" s="27">
        <v>3.6010798586994914</v>
      </c>
      <c r="N602" s="27">
        <v>1.7628448870632205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0.7742116991643454</v>
      </c>
      <c r="V602" s="27">
        <v>5.55884</v>
      </c>
      <c r="W602" s="27">
        <v>0.7742116991643454</v>
      </c>
      <c r="X602" s="27">
        <f t="shared" si="50"/>
        <v>5.55884</v>
      </c>
      <c r="Y602" s="27">
        <v>0</v>
      </c>
      <c r="Z602" s="27">
        <f t="shared" si="49"/>
        <v>0</v>
      </c>
      <c r="AA602" s="27">
        <v>0</v>
      </c>
      <c r="AB602" s="28">
        <v>0</v>
      </c>
      <c r="AC602" s="27">
        <v>0</v>
      </c>
      <c r="AD602" s="28">
        <v>0</v>
      </c>
      <c r="AE602" s="27">
        <v>0</v>
      </c>
      <c r="AF602" s="28">
        <v>0</v>
      </c>
      <c r="AG602" s="27">
        <v>0</v>
      </c>
      <c r="AH602" s="28">
        <v>0</v>
      </c>
      <c r="AI602" s="27">
        <f>6.5594312/1.18</f>
        <v>5.55884</v>
      </c>
      <c r="AJ602" s="27">
        <v>0</v>
      </c>
      <c r="AK602" s="27">
        <v>0</v>
      </c>
      <c r="AL602" s="27">
        <v>0</v>
      </c>
      <c r="AM602" s="27">
        <f t="shared" si="48"/>
        <v>5.55884</v>
      </c>
      <c r="AN602" s="27">
        <f t="shared" si="51"/>
        <v>0</v>
      </c>
      <c r="AO602" s="35" t="s">
        <v>1435</v>
      </c>
    </row>
    <row r="603" spans="1:41" ht="31.5" customHeight="1" x14ac:dyDescent="0.25">
      <c r="A603" s="59" t="s">
        <v>96</v>
      </c>
      <c r="B603" s="41" t="s">
        <v>1099</v>
      </c>
      <c r="C603" s="29" t="s">
        <v>1100</v>
      </c>
      <c r="D603" s="38" t="s">
        <v>1483</v>
      </c>
      <c r="E603" s="30">
        <v>2018</v>
      </c>
      <c r="F603" s="30">
        <v>2018</v>
      </c>
      <c r="G603" s="30" t="s">
        <v>1435</v>
      </c>
      <c r="H603" s="27">
        <v>0.12619650696378831</v>
      </c>
      <c r="I603" s="27">
        <v>0</v>
      </c>
      <c r="J603" s="27">
        <v>0</v>
      </c>
      <c r="K603" s="27">
        <v>0.90609092000000002</v>
      </c>
      <c r="L603" s="27">
        <v>5.0707714692583228E-2</v>
      </c>
      <c r="M603" s="27">
        <v>0.65255234653708394</v>
      </c>
      <c r="N603" s="27">
        <v>0.20283085877033308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0.12619650696378831</v>
      </c>
      <c r="V603" s="27">
        <v>0.90609092000000002</v>
      </c>
      <c r="W603" s="27">
        <v>0.12619650696378831</v>
      </c>
      <c r="X603" s="27">
        <f t="shared" si="50"/>
        <v>0.90609092000000002</v>
      </c>
      <c r="Y603" s="27">
        <v>0</v>
      </c>
      <c r="Z603" s="27">
        <f t="shared" si="49"/>
        <v>0</v>
      </c>
      <c r="AA603" s="27">
        <v>0</v>
      </c>
      <c r="AB603" s="28">
        <v>0</v>
      </c>
      <c r="AC603" s="27">
        <v>0</v>
      </c>
      <c r="AD603" s="28">
        <v>0</v>
      </c>
      <c r="AE603" s="27">
        <v>0</v>
      </c>
      <c r="AF603" s="28">
        <v>0</v>
      </c>
      <c r="AG603" s="27">
        <v>0</v>
      </c>
      <c r="AH603" s="28">
        <v>0</v>
      </c>
      <c r="AI603" s="27">
        <f>1.0691872856/1.18</f>
        <v>0.90609092000000002</v>
      </c>
      <c r="AJ603" s="27">
        <v>0</v>
      </c>
      <c r="AK603" s="27">
        <v>0</v>
      </c>
      <c r="AL603" s="27">
        <v>0</v>
      </c>
      <c r="AM603" s="27">
        <f t="shared" ref="AM603:AM666" si="52">AD603+AF603+AG603+AI603+AK603</f>
        <v>0.90609092000000002</v>
      </c>
      <c r="AN603" s="27">
        <f t="shared" si="51"/>
        <v>0</v>
      </c>
      <c r="AO603" s="35" t="s">
        <v>1435</v>
      </c>
    </row>
    <row r="604" spans="1:41" ht="31.5" customHeight="1" x14ac:dyDescent="0.25">
      <c r="A604" s="59" t="s">
        <v>96</v>
      </c>
      <c r="B604" s="41" t="s">
        <v>1101</v>
      </c>
      <c r="C604" s="29" t="s">
        <v>1102</v>
      </c>
      <c r="D604" s="38" t="s">
        <v>1483</v>
      </c>
      <c r="E604" s="30">
        <v>2018</v>
      </c>
      <c r="F604" s="30">
        <v>2018</v>
      </c>
      <c r="G604" s="30" t="s">
        <v>1435</v>
      </c>
      <c r="H604" s="27">
        <v>1.0356657381615599</v>
      </c>
      <c r="I604" s="27">
        <v>0</v>
      </c>
      <c r="J604" s="27">
        <v>0</v>
      </c>
      <c r="K604" s="27">
        <v>7.4360800000000005</v>
      </c>
      <c r="L604" s="27">
        <v>0.25423728813559321</v>
      </c>
      <c r="M604" s="27">
        <v>4.9005140344884746</v>
      </c>
      <c r="N604" s="27">
        <v>2.2813286773759325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1.0356657381615599</v>
      </c>
      <c r="V604" s="27">
        <v>7.4360800000000005</v>
      </c>
      <c r="W604" s="27">
        <v>1.0356657381615599</v>
      </c>
      <c r="X604" s="27">
        <f t="shared" si="50"/>
        <v>7.4360800000000005</v>
      </c>
      <c r="Y604" s="27">
        <v>0</v>
      </c>
      <c r="Z604" s="27">
        <f t="shared" si="49"/>
        <v>0</v>
      </c>
      <c r="AA604" s="27">
        <v>0</v>
      </c>
      <c r="AB604" s="28">
        <v>0</v>
      </c>
      <c r="AC604" s="27">
        <v>0</v>
      </c>
      <c r="AD604" s="28">
        <v>0</v>
      </c>
      <c r="AE604" s="27">
        <v>0</v>
      </c>
      <c r="AF604" s="28">
        <v>0</v>
      </c>
      <c r="AG604" s="27">
        <v>0</v>
      </c>
      <c r="AH604" s="28">
        <v>0</v>
      </c>
      <c r="AI604" s="27">
        <f>8.7745744/1.18</f>
        <v>7.4360800000000005</v>
      </c>
      <c r="AJ604" s="27">
        <v>0</v>
      </c>
      <c r="AK604" s="27">
        <v>0</v>
      </c>
      <c r="AL604" s="27">
        <v>0</v>
      </c>
      <c r="AM604" s="27">
        <f t="shared" si="52"/>
        <v>7.4360800000000005</v>
      </c>
      <c r="AN604" s="27">
        <f t="shared" si="51"/>
        <v>0</v>
      </c>
      <c r="AO604" s="35" t="s">
        <v>1435</v>
      </c>
    </row>
    <row r="605" spans="1:41" ht="31.5" customHeight="1" x14ac:dyDescent="0.25">
      <c r="A605" s="59" t="s">
        <v>96</v>
      </c>
      <c r="B605" s="41" t="s">
        <v>1103</v>
      </c>
      <c r="C605" s="29" t="s">
        <v>1104</v>
      </c>
      <c r="D605" s="38" t="s">
        <v>1483</v>
      </c>
      <c r="E605" s="30">
        <v>2019</v>
      </c>
      <c r="F605" s="30">
        <v>2019</v>
      </c>
      <c r="G605" s="30" t="s">
        <v>1435</v>
      </c>
      <c r="H605" s="27">
        <v>0.77822841225626749</v>
      </c>
      <c r="I605" s="27">
        <v>0</v>
      </c>
      <c r="J605" s="27">
        <v>0</v>
      </c>
      <c r="K605" s="27">
        <v>5.5876800000000006</v>
      </c>
      <c r="L605" s="27">
        <v>0.17023855292424322</v>
      </c>
      <c r="M605" s="27">
        <v>4.2361943451524322</v>
      </c>
      <c r="N605" s="27">
        <v>1.1812471019233222</v>
      </c>
      <c r="O605" s="27">
        <v>0</v>
      </c>
      <c r="P605" s="27">
        <v>0</v>
      </c>
      <c r="Q605" s="27">
        <v>0</v>
      </c>
      <c r="R605" s="27">
        <v>0</v>
      </c>
      <c r="S605" s="27">
        <v>0</v>
      </c>
      <c r="T605" s="27">
        <v>0</v>
      </c>
      <c r="U605" s="27">
        <v>0.77822841225626749</v>
      </c>
      <c r="V605" s="27">
        <v>5.5876800000000006</v>
      </c>
      <c r="W605" s="27">
        <v>0.77822841225626749</v>
      </c>
      <c r="X605" s="27">
        <f t="shared" si="50"/>
        <v>5.5876800000000006</v>
      </c>
      <c r="Y605" s="27">
        <v>0</v>
      </c>
      <c r="Z605" s="27">
        <f t="shared" si="49"/>
        <v>0</v>
      </c>
      <c r="AA605" s="27">
        <v>0</v>
      </c>
      <c r="AB605" s="28">
        <v>0</v>
      </c>
      <c r="AC605" s="27">
        <v>0</v>
      </c>
      <c r="AD605" s="28">
        <v>0</v>
      </c>
      <c r="AE605" s="27">
        <v>0</v>
      </c>
      <c r="AF605" s="28">
        <v>0</v>
      </c>
      <c r="AG605" s="27">
        <v>0</v>
      </c>
      <c r="AH605" s="28">
        <v>0</v>
      </c>
      <c r="AI605" s="27">
        <v>0</v>
      </c>
      <c r="AJ605" s="27">
        <v>0</v>
      </c>
      <c r="AK605" s="27">
        <f>6.5934624/1.18</f>
        <v>5.5876800000000006</v>
      </c>
      <c r="AL605" s="27">
        <v>0</v>
      </c>
      <c r="AM605" s="27">
        <f t="shared" si="52"/>
        <v>5.5876800000000006</v>
      </c>
      <c r="AN605" s="27">
        <f t="shared" si="51"/>
        <v>0</v>
      </c>
      <c r="AO605" s="35" t="s">
        <v>1435</v>
      </c>
    </row>
    <row r="606" spans="1:41" ht="31.5" customHeight="1" x14ac:dyDescent="0.25">
      <c r="A606" s="59" t="s">
        <v>96</v>
      </c>
      <c r="B606" s="41" t="s">
        <v>1105</v>
      </c>
      <c r="C606" s="29" t="s">
        <v>1106</v>
      </c>
      <c r="D606" s="38" t="s">
        <v>1483</v>
      </c>
      <c r="E606" s="30">
        <v>2019</v>
      </c>
      <c r="F606" s="30">
        <v>2019</v>
      </c>
      <c r="G606" s="30" t="s">
        <v>1435</v>
      </c>
      <c r="H606" s="27">
        <v>0.25120496222923849</v>
      </c>
      <c r="I606" s="27">
        <v>0</v>
      </c>
      <c r="J606" s="27">
        <v>0</v>
      </c>
      <c r="K606" s="27">
        <v>1.8036516288059323</v>
      </c>
      <c r="L606" s="27">
        <v>8.3859858596100595E-2</v>
      </c>
      <c r="M606" s="27">
        <v>1.3799660873954915</v>
      </c>
      <c r="N606" s="27">
        <v>0.33982568281433811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>
        <v>0</v>
      </c>
      <c r="U606" s="27">
        <v>0.25120496222923849</v>
      </c>
      <c r="V606" s="27">
        <v>1.8036516288059323</v>
      </c>
      <c r="W606" s="27">
        <v>0.25120496222923849</v>
      </c>
      <c r="X606" s="27">
        <f t="shared" si="50"/>
        <v>1.8036516288059323</v>
      </c>
      <c r="Y606" s="27">
        <v>0</v>
      </c>
      <c r="Z606" s="27">
        <f t="shared" si="49"/>
        <v>0</v>
      </c>
      <c r="AA606" s="27">
        <v>0</v>
      </c>
      <c r="AB606" s="28">
        <v>0</v>
      </c>
      <c r="AC606" s="27">
        <v>0</v>
      </c>
      <c r="AD606" s="28">
        <v>0</v>
      </c>
      <c r="AE606" s="27">
        <v>0</v>
      </c>
      <c r="AF606" s="28">
        <v>0</v>
      </c>
      <c r="AG606" s="27">
        <v>0</v>
      </c>
      <c r="AH606" s="28">
        <v>0</v>
      </c>
      <c r="AI606" s="27">
        <v>0</v>
      </c>
      <c r="AJ606" s="27">
        <v>0</v>
      </c>
      <c r="AK606" s="27">
        <f>2.128308921991/1.18</f>
        <v>1.8036516288059323</v>
      </c>
      <c r="AL606" s="27">
        <v>0</v>
      </c>
      <c r="AM606" s="27">
        <f t="shared" si="52"/>
        <v>1.8036516288059323</v>
      </c>
      <c r="AN606" s="27">
        <f t="shared" si="51"/>
        <v>0</v>
      </c>
      <c r="AO606" s="35" t="s">
        <v>1435</v>
      </c>
    </row>
    <row r="607" spans="1:41" ht="31.5" customHeight="1" x14ac:dyDescent="0.25">
      <c r="A607" s="59" t="s">
        <v>96</v>
      </c>
      <c r="B607" s="41" t="s">
        <v>1107</v>
      </c>
      <c r="C607" s="29" t="s">
        <v>1108</v>
      </c>
      <c r="D607" s="38" t="s">
        <v>1483</v>
      </c>
      <c r="E607" s="30">
        <v>2019</v>
      </c>
      <c r="F607" s="30">
        <v>2019</v>
      </c>
      <c r="G607" s="30" t="s">
        <v>1435</v>
      </c>
      <c r="H607" s="27">
        <v>1.9708051864577925</v>
      </c>
      <c r="I607" s="27">
        <v>0</v>
      </c>
      <c r="J607" s="27">
        <v>0</v>
      </c>
      <c r="K607" s="27">
        <v>14.150381238766949</v>
      </c>
      <c r="L607" s="27">
        <v>0.29661462154912882</v>
      </c>
      <c r="M607" s="27">
        <v>11.159046665955255</v>
      </c>
      <c r="N607" s="27">
        <v>2.6947199512625764</v>
      </c>
      <c r="O607" s="27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1.9708051864577925</v>
      </c>
      <c r="V607" s="27">
        <v>14.150381238766949</v>
      </c>
      <c r="W607" s="27">
        <v>1.9708051864577925</v>
      </c>
      <c r="X607" s="27">
        <f t="shared" si="50"/>
        <v>14.150381238766949</v>
      </c>
      <c r="Y607" s="27">
        <v>0</v>
      </c>
      <c r="Z607" s="27">
        <f t="shared" si="49"/>
        <v>0</v>
      </c>
      <c r="AA607" s="27">
        <v>0</v>
      </c>
      <c r="AB607" s="28">
        <v>0</v>
      </c>
      <c r="AC607" s="27">
        <v>0</v>
      </c>
      <c r="AD607" s="28">
        <v>0</v>
      </c>
      <c r="AE607" s="27">
        <v>0</v>
      </c>
      <c r="AF607" s="28">
        <v>0</v>
      </c>
      <c r="AG607" s="27">
        <v>0</v>
      </c>
      <c r="AH607" s="28">
        <v>0</v>
      </c>
      <c r="AI607" s="27">
        <v>0</v>
      </c>
      <c r="AJ607" s="27">
        <v>0</v>
      </c>
      <c r="AK607" s="27">
        <f>16.697449861745/1.18</f>
        <v>14.150381238766949</v>
      </c>
      <c r="AL607" s="27">
        <v>0</v>
      </c>
      <c r="AM607" s="27">
        <f t="shared" si="52"/>
        <v>14.150381238766949</v>
      </c>
      <c r="AN607" s="27">
        <f t="shared" si="51"/>
        <v>0</v>
      </c>
      <c r="AO607" s="35" t="s">
        <v>1435</v>
      </c>
    </row>
    <row r="608" spans="1:41" ht="31.5" customHeight="1" x14ac:dyDescent="0.25">
      <c r="A608" s="59" t="s">
        <v>96</v>
      </c>
      <c r="B608" s="41" t="s">
        <v>1109</v>
      </c>
      <c r="C608" s="29" t="s">
        <v>1110</v>
      </c>
      <c r="D608" s="38" t="s">
        <v>1483</v>
      </c>
      <c r="E608" s="30">
        <v>2019</v>
      </c>
      <c r="F608" s="30">
        <v>2019</v>
      </c>
      <c r="G608" s="30" t="s">
        <v>1435</v>
      </c>
      <c r="H608" s="27">
        <v>0.10858774373259053</v>
      </c>
      <c r="I608" s="27">
        <v>0</v>
      </c>
      <c r="J608" s="27">
        <v>0</v>
      </c>
      <c r="K608" s="27">
        <v>0.77966000000000002</v>
      </c>
      <c r="L608" s="27">
        <v>3.9085382048933477E-2</v>
      </c>
      <c r="M608" s="27">
        <v>0.63634693248724405</v>
      </c>
      <c r="N608" s="27">
        <v>0.10422768546382288</v>
      </c>
      <c r="O608" s="27">
        <v>0</v>
      </c>
      <c r="P608" s="27">
        <v>0</v>
      </c>
      <c r="Q608" s="27">
        <v>0</v>
      </c>
      <c r="R608" s="27">
        <v>0</v>
      </c>
      <c r="S608" s="27">
        <v>0</v>
      </c>
      <c r="T608" s="27">
        <v>0</v>
      </c>
      <c r="U608" s="27">
        <v>0.10858774373259053</v>
      </c>
      <c r="V608" s="27">
        <v>0.77966000000000002</v>
      </c>
      <c r="W608" s="27">
        <v>0.10858774373259053</v>
      </c>
      <c r="X608" s="27">
        <f t="shared" si="50"/>
        <v>0.77966000000000002</v>
      </c>
      <c r="Y608" s="27">
        <v>0</v>
      </c>
      <c r="Z608" s="27">
        <f t="shared" si="49"/>
        <v>0</v>
      </c>
      <c r="AA608" s="27">
        <v>0</v>
      </c>
      <c r="AB608" s="28">
        <v>0</v>
      </c>
      <c r="AC608" s="27">
        <v>0</v>
      </c>
      <c r="AD608" s="28">
        <v>0</v>
      </c>
      <c r="AE608" s="27">
        <v>0</v>
      </c>
      <c r="AF608" s="28">
        <v>0</v>
      </c>
      <c r="AG608" s="27">
        <v>0</v>
      </c>
      <c r="AH608" s="28">
        <v>0</v>
      </c>
      <c r="AI608" s="27">
        <v>0</v>
      </c>
      <c r="AJ608" s="27">
        <v>0</v>
      </c>
      <c r="AK608" s="27">
        <f>0.9199988/1.18</f>
        <v>0.77966000000000002</v>
      </c>
      <c r="AL608" s="27">
        <v>0</v>
      </c>
      <c r="AM608" s="27">
        <f t="shared" si="52"/>
        <v>0.77966000000000002</v>
      </c>
      <c r="AN608" s="27">
        <f t="shared" si="51"/>
        <v>0</v>
      </c>
      <c r="AO608" s="35" t="s">
        <v>1435</v>
      </c>
    </row>
    <row r="609" spans="1:41" ht="31.5" customHeight="1" x14ac:dyDescent="0.25">
      <c r="A609" s="59" t="s">
        <v>96</v>
      </c>
      <c r="B609" s="41" t="s">
        <v>1111</v>
      </c>
      <c r="C609" s="29" t="s">
        <v>1112</v>
      </c>
      <c r="D609" s="38" t="s">
        <v>1483</v>
      </c>
      <c r="E609" s="30">
        <v>2019</v>
      </c>
      <c r="F609" s="30">
        <v>2019</v>
      </c>
      <c r="G609" s="30" t="s">
        <v>1435</v>
      </c>
      <c r="H609" s="27">
        <v>4.2490250696378837E-2</v>
      </c>
      <c r="I609" s="27">
        <v>0</v>
      </c>
      <c r="J609" s="27">
        <v>0</v>
      </c>
      <c r="K609" s="27">
        <v>0.30508000000000002</v>
      </c>
      <c r="L609" s="27">
        <v>1.53084413024989E-2</v>
      </c>
      <c r="M609" s="27">
        <v>0.25405186232500343</v>
      </c>
      <c r="N609" s="27">
        <v>3.5719696372497542E-2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>
        <v>0</v>
      </c>
      <c r="U609" s="27">
        <v>4.2490250696378837E-2</v>
      </c>
      <c r="V609" s="27">
        <v>0.30508000000000002</v>
      </c>
      <c r="W609" s="27">
        <v>4.2490250696378837E-2</v>
      </c>
      <c r="X609" s="27">
        <f t="shared" si="50"/>
        <v>0.30508000000000002</v>
      </c>
      <c r="Y609" s="27">
        <v>0</v>
      </c>
      <c r="Z609" s="27">
        <f t="shared" si="49"/>
        <v>0</v>
      </c>
      <c r="AA609" s="27">
        <v>0</v>
      </c>
      <c r="AB609" s="28">
        <v>0</v>
      </c>
      <c r="AC609" s="27">
        <v>0</v>
      </c>
      <c r="AD609" s="28">
        <v>0</v>
      </c>
      <c r="AE609" s="27">
        <v>0</v>
      </c>
      <c r="AF609" s="28">
        <v>0</v>
      </c>
      <c r="AG609" s="27">
        <v>0</v>
      </c>
      <c r="AH609" s="28">
        <v>0</v>
      </c>
      <c r="AI609" s="27">
        <v>0</v>
      </c>
      <c r="AJ609" s="27">
        <v>0</v>
      </c>
      <c r="AK609" s="27">
        <f>0.3599944/1.18</f>
        <v>0.30508000000000002</v>
      </c>
      <c r="AL609" s="27">
        <v>0</v>
      </c>
      <c r="AM609" s="27">
        <f t="shared" si="52"/>
        <v>0.30508000000000002</v>
      </c>
      <c r="AN609" s="27">
        <f t="shared" si="51"/>
        <v>0</v>
      </c>
      <c r="AO609" s="35" t="s">
        <v>1435</v>
      </c>
    </row>
    <row r="610" spans="1:41" ht="31.5" customHeight="1" x14ac:dyDescent="0.25">
      <c r="A610" s="59" t="s">
        <v>96</v>
      </c>
      <c r="B610" s="41" t="s">
        <v>1113</v>
      </c>
      <c r="C610" s="29" t="s">
        <v>1114</v>
      </c>
      <c r="D610" s="38" t="s">
        <v>1483</v>
      </c>
      <c r="E610" s="30">
        <v>2019</v>
      </c>
      <c r="F610" s="30">
        <v>2019</v>
      </c>
      <c r="G610" s="30" t="s">
        <v>1435</v>
      </c>
      <c r="H610" s="27">
        <v>2.9165738161559891E-2</v>
      </c>
      <c r="I610" s="27">
        <v>0</v>
      </c>
      <c r="J610" s="27">
        <v>0</v>
      </c>
      <c r="K610" s="27">
        <v>0.20941000000000001</v>
      </c>
      <c r="L610" s="27">
        <v>1.0748480063456696E-2</v>
      </c>
      <c r="M610" s="27">
        <v>0.17716455980962967</v>
      </c>
      <c r="N610" s="27">
        <v>2.1496960126913392E-2</v>
      </c>
      <c r="O610" s="27">
        <v>0</v>
      </c>
      <c r="P610" s="27">
        <v>0</v>
      </c>
      <c r="Q610" s="27">
        <v>0</v>
      </c>
      <c r="R610" s="27">
        <v>0</v>
      </c>
      <c r="S610" s="27">
        <v>0</v>
      </c>
      <c r="T610" s="27">
        <v>0</v>
      </c>
      <c r="U610" s="27">
        <v>2.9165738161559891E-2</v>
      </c>
      <c r="V610" s="27">
        <v>0.20941000000000001</v>
      </c>
      <c r="W610" s="27">
        <v>2.9165738161559891E-2</v>
      </c>
      <c r="X610" s="27">
        <f t="shared" si="50"/>
        <v>0.20941000000000001</v>
      </c>
      <c r="Y610" s="27">
        <v>0</v>
      </c>
      <c r="Z610" s="27">
        <f t="shared" si="49"/>
        <v>0</v>
      </c>
      <c r="AA610" s="27">
        <v>0</v>
      </c>
      <c r="AB610" s="28">
        <v>0</v>
      </c>
      <c r="AC610" s="27">
        <v>0</v>
      </c>
      <c r="AD610" s="28">
        <v>0</v>
      </c>
      <c r="AE610" s="27">
        <v>0</v>
      </c>
      <c r="AF610" s="28">
        <v>0</v>
      </c>
      <c r="AG610" s="27">
        <v>0</v>
      </c>
      <c r="AH610" s="28">
        <v>0</v>
      </c>
      <c r="AI610" s="27">
        <v>0</v>
      </c>
      <c r="AJ610" s="27">
        <v>0</v>
      </c>
      <c r="AK610" s="27">
        <f>0.2471038/1.18</f>
        <v>0.20941000000000001</v>
      </c>
      <c r="AL610" s="27">
        <v>0</v>
      </c>
      <c r="AM610" s="27">
        <f t="shared" si="52"/>
        <v>0.20941000000000001</v>
      </c>
      <c r="AN610" s="27">
        <f t="shared" si="51"/>
        <v>0</v>
      </c>
      <c r="AO610" s="35" t="s">
        <v>1435</v>
      </c>
    </row>
    <row r="611" spans="1:41" ht="31.5" customHeight="1" x14ac:dyDescent="0.25">
      <c r="A611" s="59" t="s">
        <v>96</v>
      </c>
      <c r="B611" s="41" t="s">
        <v>1115</v>
      </c>
      <c r="C611" s="29" t="s">
        <v>1116</v>
      </c>
      <c r="D611" s="38" t="s">
        <v>1483</v>
      </c>
      <c r="E611" s="30">
        <v>2019</v>
      </c>
      <c r="F611" s="30">
        <v>2019</v>
      </c>
      <c r="G611" s="30" t="s">
        <v>1435</v>
      </c>
      <c r="H611" s="27">
        <v>0.14871866295264627</v>
      </c>
      <c r="I611" s="27">
        <v>0</v>
      </c>
      <c r="J611" s="27">
        <v>0</v>
      </c>
      <c r="K611" s="27">
        <v>1.0678000000000001</v>
      </c>
      <c r="L611" s="27">
        <v>6.7747995551484669E-2</v>
      </c>
      <c r="M611" s="27">
        <v>0.81939068297788986</v>
      </c>
      <c r="N611" s="27">
        <v>0.18066132147062544</v>
      </c>
      <c r="O611" s="27">
        <v>0</v>
      </c>
      <c r="P611" s="27">
        <v>0</v>
      </c>
      <c r="Q611" s="27">
        <v>0</v>
      </c>
      <c r="R611" s="27">
        <v>0</v>
      </c>
      <c r="S611" s="27">
        <v>0</v>
      </c>
      <c r="T611" s="27">
        <v>0</v>
      </c>
      <c r="U611" s="27">
        <v>0.14871866295264627</v>
      </c>
      <c r="V611" s="27">
        <v>1.0678000000000001</v>
      </c>
      <c r="W611" s="27">
        <v>0.14871866295264627</v>
      </c>
      <c r="X611" s="27">
        <f t="shared" si="50"/>
        <v>1.0678000000000001</v>
      </c>
      <c r="Y611" s="27">
        <v>0</v>
      </c>
      <c r="Z611" s="27">
        <f t="shared" si="49"/>
        <v>0</v>
      </c>
      <c r="AA611" s="27">
        <v>0</v>
      </c>
      <c r="AB611" s="28">
        <v>0</v>
      </c>
      <c r="AC611" s="27">
        <v>0</v>
      </c>
      <c r="AD611" s="28">
        <v>0</v>
      </c>
      <c r="AE611" s="27">
        <v>0</v>
      </c>
      <c r="AF611" s="28">
        <v>0</v>
      </c>
      <c r="AG611" s="27">
        <v>0</v>
      </c>
      <c r="AH611" s="28">
        <v>0</v>
      </c>
      <c r="AI611" s="27">
        <v>0</v>
      </c>
      <c r="AJ611" s="27">
        <v>0</v>
      </c>
      <c r="AK611" s="27">
        <f>1.260004/1.18</f>
        <v>1.0678000000000001</v>
      </c>
      <c r="AL611" s="27">
        <v>0</v>
      </c>
      <c r="AM611" s="27">
        <f t="shared" si="52"/>
        <v>1.0678000000000001</v>
      </c>
      <c r="AN611" s="27">
        <f t="shared" si="51"/>
        <v>0</v>
      </c>
      <c r="AO611" s="35" t="s">
        <v>1435</v>
      </c>
    </row>
    <row r="612" spans="1:41" ht="31.5" customHeight="1" x14ac:dyDescent="0.25">
      <c r="A612" s="59" t="s">
        <v>96</v>
      </c>
      <c r="B612" s="41" t="s">
        <v>1117</v>
      </c>
      <c r="C612" s="29" t="s">
        <v>1118</v>
      </c>
      <c r="D612" s="38" t="s">
        <v>1483</v>
      </c>
      <c r="E612" s="30">
        <v>2019</v>
      </c>
      <c r="F612" s="30">
        <v>2019</v>
      </c>
      <c r="G612" s="30" t="s">
        <v>1435</v>
      </c>
      <c r="H612" s="27">
        <v>3.0688022284122565E-2</v>
      </c>
      <c r="I612" s="27">
        <v>0</v>
      </c>
      <c r="J612" s="27">
        <v>0</v>
      </c>
      <c r="K612" s="27">
        <v>0.22034000000000001</v>
      </c>
      <c r="L612" s="27">
        <v>1.4657018268350086E-2</v>
      </c>
      <c r="M612" s="27">
        <v>0.18614029070718308</v>
      </c>
      <c r="N612" s="27">
        <v>1.9542691024466693E-2</v>
      </c>
      <c r="O612" s="27">
        <v>0</v>
      </c>
      <c r="P612" s="27">
        <v>0</v>
      </c>
      <c r="Q612" s="27">
        <v>0</v>
      </c>
      <c r="R612" s="27">
        <v>0</v>
      </c>
      <c r="S612" s="27">
        <v>0</v>
      </c>
      <c r="T612" s="27">
        <v>0</v>
      </c>
      <c r="U612" s="27">
        <v>3.0688022284122565E-2</v>
      </c>
      <c r="V612" s="27">
        <v>0.22034000000000001</v>
      </c>
      <c r="W612" s="27">
        <v>3.0688022284122565E-2</v>
      </c>
      <c r="X612" s="27">
        <f t="shared" si="50"/>
        <v>0.22034000000000001</v>
      </c>
      <c r="Y612" s="27">
        <v>0</v>
      </c>
      <c r="Z612" s="27">
        <f t="shared" si="49"/>
        <v>0</v>
      </c>
      <c r="AA612" s="27">
        <v>0</v>
      </c>
      <c r="AB612" s="28">
        <v>0</v>
      </c>
      <c r="AC612" s="27">
        <v>0</v>
      </c>
      <c r="AD612" s="28">
        <v>0</v>
      </c>
      <c r="AE612" s="27">
        <v>0</v>
      </c>
      <c r="AF612" s="28">
        <v>0</v>
      </c>
      <c r="AG612" s="27">
        <v>0</v>
      </c>
      <c r="AH612" s="28">
        <v>0</v>
      </c>
      <c r="AI612" s="27">
        <v>0</v>
      </c>
      <c r="AJ612" s="27">
        <v>0</v>
      </c>
      <c r="AK612" s="27">
        <f>0.2600012/1.18</f>
        <v>0.22034000000000001</v>
      </c>
      <c r="AL612" s="27">
        <v>0</v>
      </c>
      <c r="AM612" s="27">
        <f t="shared" si="52"/>
        <v>0.22034000000000001</v>
      </c>
      <c r="AN612" s="27">
        <f t="shared" si="51"/>
        <v>0</v>
      </c>
      <c r="AO612" s="35" t="s">
        <v>1435</v>
      </c>
    </row>
    <row r="613" spans="1:41" ht="31.5" customHeight="1" x14ac:dyDescent="0.25">
      <c r="A613" s="59" t="s">
        <v>96</v>
      </c>
      <c r="B613" s="41" t="s">
        <v>1119</v>
      </c>
      <c r="C613" s="29" t="s">
        <v>1120</v>
      </c>
      <c r="D613" s="38" t="s">
        <v>1483</v>
      </c>
      <c r="E613" s="30">
        <v>2019</v>
      </c>
      <c r="F613" s="30">
        <v>2019</v>
      </c>
      <c r="G613" s="30" t="s">
        <v>1435</v>
      </c>
      <c r="H613" s="27">
        <v>7.0817548746518119E-2</v>
      </c>
      <c r="I613" s="27">
        <v>0</v>
      </c>
      <c r="J613" s="27">
        <v>0</v>
      </c>
      <c r="K613" s="27">
        <v>0.50847000000000009</v>
      </c>
      <c r="L613" s="27">
        <v>3.2896863224518985E-2</v>
      </c>
      <c r="M613" s="27">
        <v>0.3878481681767636</v>
      </c>
      <c r="N613" s="27">
        <v>8.7724968598716951E-2</v>
      </c>
      <c r="O613" s="27">
        <v>0</v>
      </c>
      <c r="P613" s="27">
        <v>0</v>
      </c>
      <c r="Q613" s="27">
        <v>0</v>
      </c>
      <c r="R613" s="27">
        <v>0</v>
      </c>
      <c r="S613" s="27">
        <v>0</v>
      </c>
      <c r="T613" s="27">
        <v>0</v>
      </c>
      <c r="U613" s="27">
        <v>7.0817548746518119E-2</v>
      </c>
      <c r="V613" s="27">
        <v>0.50847000000000009</v>
      </c>
      <c r="W613" s="27">
        <v>7.0817548746518119E-2</v>
      </c>
      <c r="X613" s="27">
        <f t="shared" si="50"/>
        <v>0.50847000000000009</v>
      </c>
      <c r="Y613" s="27">
        <v>0</v>
      </c>
      <c r="Z613" s="27">
        <f t="shared" si="49"/>
        <v>0</v>
      </c>
      <c r="AA613" s="27">
        <v>0</v>
      </c>
      <c r="AB613" s="28">
        <v>0</v>
      </c>
      <c r="AC613" s="27">
        <v>0</v>
      </c>
      <c r="AD613" s="28">
        <v>0</v>
      </c>
      <c r="AE613" s="27">
        <v>0</v>
      </c>
      <c r="AF613" s="28">
        <v>0</v>
      </c>
      <c r="AG613" s="27">
        <v>0</v>
      </c>
      <c r="AH613" s="28">
        <v>0</v>
      </c>
      <c r="AI613" s="27">
        <v>0</v>
      </c>
      <c r="AJ613" s="27">
        <v>0</v>
      </c>
      <c r="AK613" s="27">
        <f>0.5999946/1.18</f>
        <v>0.50847000000000009</v>
      </c>
      <c r="AL613" s="27">
        <v>0</v>
      </c>
      <c r="AM613" s="27">
        <f t="shared" si="52"/>
        <v>0.50847000000000009</v>
      </c>
      <c r="AN613" s="27">
        <f t="shared" si="51"/>
        <v>0</v>
      </c>
      <c r="AO613" s="35" t="s">
        <v>1435</v>
      </c>
    </row>
    <row r="614" spans="1:41" ht="31.5" customHeight="1" x14ac:dyDescent="0.25">
      <c r="A614" s="59" t="s">
        <v>96</v>
      </c>
      <c r="B614" s="41" t="s">
        <v>1121</v>
      </c>
      <c r="C614" s="29" t="s">
        <v>1122</v>
      </c>
      <c r="D614" s="38" t="s">
        <v>1483</v>
      </c>
      <c r="E614" s="30">
        <v>2019</v>
      </c>
      <c r="F614" s="30">
        <v>2019</v>
      </c>
      <c r="G614" s="30" t="s">
        <v>1435</v>
      </c>
      <c r="H614" s="27">
        <v>5.4293871866295265E-2</v>
      </c>
      <c r="I614" s="27">
        <v>0</v>
      </c>
      <c r="J614" s="27">
        <v>0</v>
      </c>
      <c r="K614" s="27">
        <v>0.38983000000000001</v>
      </c>
      <c r="L614" s="27">
        <v>2.3125517712285597E-2</v>
      </c>
      <c r="M614" s="27">
        <v>0.30503643505495254</v>
      </c>
      <c r="N614" s="27">
        <v>6.1668047232761702E-2</v>
      </c>
      <c r="O614" s="27">
        <v>0</v>
      </c>
      <c r="P614" s="27">
        <v>0</v>
      </c>
      <c r="Q614" s="27">
        <v>0</v>
      </c>
      <c r="R614" s="27">
        <v>0</v>
      </c>
      <c r="S614" s="27">
        <v>0</v>
      </c>
      <c r="T614" s="27">
        <v>0</v>
      </c>
      <c r="U614" s="27">
        <v>5.4293871866295265E-2</v>
      </c>
      <c r="V614" s="27">
        <v>0.38983000000000001</v>
      </c>
      <c r="W614" s="27">
        <v>5.4293871866295265E-2</v>
      </c>
      <c r="X614" s="27">
        <f t="shared" si="50"/>
        <v>0.38983000000000001</v>
      </c>
      <c r="Y614" s="27">
        <v>0</v>
      </c>
      <c r="Z614" s="27">
        <f t="shared" si="49"/>
        <v>0</v>
      </c>
      <c r="AA614" s="27">
        <v>0</v>
      </c>
      <c r="AB614" s="28">
        <v>0</v>
      </c>
      <c r="AC614" s="27">
        <v>0</v>
      </c>
      <c r="AD614" s="28">
        <v>0</v>
      </c>
      <c r="AE614" s="27">
        <v>0</v>
      </c>
      <c r="AF614" s="28">
        <v>0</v>
      </c>
      <c r="AG614" s="27">
        <v>0</v>
      </c>
      <c r="AH614" s="28">
        <v>0</v>
      </c>
      <c r="AI614" s="27">
        <v>0</v>
      </c>
      <c r="AJ614" s="27">
        <v>0</v>
      </c>
      <c r="AK614" s="27">
        <f>0.4599994/1.18</f>
        <v>0.38983000000000001</v>
      </c>
      <c r="AL614" s="27">
        <v>0</v>
      </c>
      <c r="AM614" s="27">
        <f t="shared" si="52"/>
        <v>0.38983000000000001</v>
      </c>
      <c r="AN614" s="27">
        <f t="shared" si="51"/>
        <v>0</v>
      </c>
      <c r="AO614" s="35" t="s">
        <v>1435</v>
      </c>
    </row>
    <row r="615" spans="1:41" ht="31.5" customHeight="1" x14ac:dyDescent="0.25">
      <c r="A615" s="59" t="s">
        <v>96</v>
      </c>
      <c r="B615" s="41" t="s">
        <v>1123</v>
      </c>
      <c r="C615" s="29" t="s">
        <v>1124</v>
      </c>
      <c r="D615" s="38" t="s">
        <v>1483</v>
      </c>
      <c r="E615" s="30">
        <v>2019</v>
      </c>
      <c r="F615" s="30">
        <v>2019</v>
      </c>
      <c r="G615" s="30" t="s">
        <v>1435</v>
      </c>
      <c r="H615" s="27">
        <v>4.2963788300835658E-2</v>
      </c>
      <c r="I615" s="27">
        <v>0</v>
      </c>
      <c r="J615" s="27">
        <v>0</v>
      </c>
      <c r="K615" s="27">
        <v>0.30848000000000003</v>
      </c>
      <c r="L615" s="27">
        <v>1.53084413024989E-2</v>
      </c>
      <c r="M615" s="27">
        <v>0.25234904855750423</v>
      </c>
      <c r="N615" s="27">
        <v>4.0822510139997208E-2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4.2963788300835658E-2</v>
      </c>
      <c r="V615" s="27">
        <v>0.30848000000000003</v>
      </c>
      <c r="W615" s="27">
        <v>4.2963788300835658E-2</v>
      </c>
      <c r="X615" s="27">
        <f t="shared" si="50"/>
        <v>0.30848000000000003</v>
      </c>
      <c r="Y615" s="27">
        <v>0</v>
      </c>
      <c r="Z615" s="27">
        <f t="shared" si="49"/>
        <v>0</v>
      </c>
      <c r="AA615" s="27">
        <v>0</v>
      </c>
      <c r="AB615" s="28">
        <v>0</v>
      </c>
      <c r="AC615" s="27">
        <v>0</v>
      </c>
      <c r="AD615" s="28">
        <v>0</v>
      </c>
      <c r="AE615" s="27">
        <v>0</v>
      </c>
      <c r="AF615" s="28">
        <v>0</v>
      </c>
      <c r="AG615" s="27">
        <v>0</v>
      </c>
      <c r="AH615" s="28">
        <v>0</v>
      </c>
      <c r="AI615" s="27">
        <v>0</v>
      </c>
      <c r="AJ615" s="27">
        <v>0</v>
      </c>
      <c r="AK615" s="27">
        <f>0.3640064/1.18</f>
        <v>0.30848000000000003</v>
      </c>
      <c r="AL615" s="27">
        <v>0</v>
      </c>
      <c r="AM615" s="27">
        <f t="shared" si="52"/>
        <v>0.30848000000000003</v>
      </c>
      <c r="AN615" s="27">
        <f t="shared" si="51"/>
        <v>0</v>
      </c>
      <c r="AO615" s="35" t="s">
        <v>1435</v>
      </c>
    </row>
    <row r="616" spans="1:41" ht="31.5" customHeight="1" x14ac:dyDescent="0.25">
      <c r="A616" s="59" t="s">
        <v>96</v>
      </c>
      <c r="B616" s="41" t="s">
        <v>1125</v>
      </c>
      <c r="C616" s="29" t="s">
        <v>1126</v>
      </c>
      <c r="D616" s="38" t="s">
        <v>1483</v>
      </c>
      <c r="E616" s="30">
        <v>2019</v>
      </c>
      <c r="F616" s="30">
        <v>2019</v>
      </c>
      <c r="G616" s="30" t="s">
        <v>1435</v>
      </c>
      <c r="H616" s="27">
        <v>0.13573537604456826</v>
      </c>
      <c r="I616" s="27">
        <v>0</v>
      </c>
      <c r="J616" s="27">
        <v>0</v>
      </c>
      <c r="K616" s="27">
        <v>0.97458000000000011</v>
      </c>
      <c r="L616" s="27">
        <v>4.8856727561166866E-2</v>
      </c>
      <c r="M616" s="27">
        <v>0.81172424146277711</v>
      </c>
      <c r="N616" s="27">
        <v>0.11399903097605595</v>
      </c>
      <c r="O616" s="27">
        <v>0</v>
      </c>
      <c r="P616" s="27">
        <v>0</v>
      </c>
      <c r="Q616" s="27">
        <v>0</v>
      </c>
      <c r="R616" s="27">
        <v>0</v>
      </c>
      <c r="S616" s="27">
        <v>0</v>
      </c>
      <c r="T616" s="27">
        <v>0</v>
      </c>
      <c r="U616" s="27">
        <v>0.13573537604456826</v>
      </c>
      <c r="V616" s="27">
        <v>0.97458000000000011</v>
      </c>
      <c r="W616" s="27">
        <v>0.13573537604456826</v>
      </c>
      <c r="X616" s="27">
        <f t="shared" si="50"/>
        <v>0.97458000000000011</v>
      </c>
      <c r="Y616" s="27">
        <v>0</v>
      </c>
      <c r="Z616" s="27">
        <f t="shared" si="49"/>
        <v>0</v>
      </c>
      <c r="AA616" s="27">
        <v>0</v>
      </c>
      <c r="AB616" s="28">
        <v>0</v>
      </c>
      <c r="AC616" s="27">
        <v>0</v>
      </c>
      <c r="AD616" s="28">
        <v>0</v>
      </c>
      <c r="AE616" s="27">
        <v>0</v>
      </c>
      <c r="AF616" s="28">
        <v>0</v>
      </c>
      <c r="AG616" s="27">
        <v>0</v>
      </c>
      <c r="AH616" s="28">
        <v>0</v>
      </c>
      <c r="AI616" s="27">
        <v>0</v>
      </c>
      <c r="AJ616" s="27">
        <v>0</v>
      </c>
      <c r="AK616" s="27">
        <f>1.1500044/1.18</f>
        <v>0.97458000000000011</v>
      </c>
      <c r="AL616" s="27">
        <v>0</v>
      </c>
      <c r="AM616" s="27">
        <f t="shared" si="52"/>
        <v>0.97458000000000011</v>
      </c>
      <c r="AN616" s="27">
        <f t="shared" si="51"/>
        <v>0</v>
      </c>
      <c r="AO616" s="35" t="s">
        <v>1435</v>
      </c>
    </row>
    <row r="617" spans="1:41" ht="31.5" customHeight="1" x14ac:dyDescent="0.25">
      <c r="A617" s="59" t="s">
        <v>96</v>
      </c>
      <c r="B617" s="41" t="s">
        <v>1127</v>
      </c>
      <c r="C617" s="29" t="s">
        <v>1128</v>
      </c>
      <c r="D617" s="38" t="s">
        <v>1483</v>
      </c>
      <c r="E617" s="30">
        <v>2019</v>
      </c>
      <c r="F617" s="30">
        <v>2019</v>
      </c>
      <c r="G617" s="30" t="s">
        <v>1435</v>
      </c>
      <c r="H617" s="27">
        <v>6.3736768802228422E-2</v>
      </c>
      <c r="I617" s="27">
        <v>0</v>
      </c>
      <c r="J617" s="27">
        <v>0</v>
      </c>
      <c r="K617" s="27">
        <v>0.45763000000000004</v>
      </c>
      <c r="L617" s="27">
        <v>2.279980619521119E-2</v>
      </c>
      <c r="M617" s="27">
        <v>0.38923058141436612</v>
      </c>
      <c r="N617" s="27">
        <v>4.559961239042238E-2</v>
      </c>
      <c r="O617" s="27">
        <v>0</v>
      </c>
      <c r="P617" s="27">
        <v>0</v>
      </c>
      <c r="Q617" s="27">
        <v>0</v>
      </c>
      <c r="R617" s="27">
        <v>0</v>
      </c>
      <c r="S617" s="27">
        <v>0</v>
      </c>
      <c r="T617" s="27">
        <v>0</v>
      </c>
      <c r="U617" s="27">
        <v>6.3736768802228422E-2</v>
      </c>
      <c r="V617" s="27">
        <v>0.45763000000000004</v>
      </c>
      <c r="W617" s="27">
        <v>6.3736768802228422E-2</v>
      </c>
      <c r="X617" s="27">
        <f t="shared" si="50"/>
        <v>0.45763000000000004</v>
      </c>
      <c r="Y617" s="27">
        <v>0</v>
      </c>
      <c r="Z617" s="27">
        <f t="shared" si="49"/>
        <v>0</v>
      </c>
      <c r="AA617" s="27">
        <v>0</v>
      </c>
      <c r="AB617" s="28">
        <v>0</v>
      </c>
      <c r="AC617" s="27">
        <v>0</v>
      </c>
      <c r="AD617" s="28">
        <v>0</v>
      </c>
      <c r="AE617" s="27">
        <v>0</v>
      </c>
      <c r="AF617" s="28">
        <v>0</v>
      </c>
      <c r="AG617" s="27">
        <v>0</v>
      </c>
      <c r="AH617" s="28">
        <v>0</v>
      </c>
      <c r="AI617" s="27">
        <v>0</v>
      </c>
      <c r="AJ617" s="27">
        <v>0</v>
      </c>
      <c r="AK617" s="27">
        <f>0.5400034/1.18</f>
        <v>0.45763000000000004</v>
      </c>
      <c r="AL617" s="27">
        <v>0</v>
      </c>
      <c r="AM617" s="27">
        <f t="shared" si="52"/>
        <v>0.45763000000000004</v>
      </c>
      <c r="AN617" s="27">
        <f t="shared" si="51"/>
        <v>0</v>
      </c>
      <c r="AO617" s="35" t="s">
        <v>1435</v>
      </c>
    </row>
    <row r="618" spans="1:41" ht="31.5" customHeight="1" x14ac:dyDescent="0.25">
      <c r="A618" s="59" t="s">
        <v>96</v>
      </c>
      <c r="B618" s="41" t="s">
        <v>1129</v>
      </c>
      <c r="C618" s="29" t="s">
        <v>1130</v>
      </c>
      <c r="D618" s="38" t="s">
        <v>1483</v>
      </c>
      <c r="E618" s="30">
        <v>2019</v>
      </c>
      <c r="F618" s="30">
        <v>2019</v>
      </c>
      <c r="G618" s="30" t="s">
        <v>1435</v>
      </c>
      <c r="H618" s="27">
        <v>0.17350417827298054</v>
      </c>
      <c r="I618" s="27">
        <v>0</v>
      </c>
      <c r="J618" s="27">
        <v>0</v>
      </c>
      <c r="K618" s="27">
        <v>1.2457600000000002</v>
      </c>
      <c r="L618" s="27">
        <v>8.0125033200313653E-2</v>
      </c>
      <c r="M618" s="27">
        <v>0.92525986719874576</v>
      </c>
      <c r="N618" s="27">
        <v>0.24037509960094069</v>
      </c>
      <c r="O618" s="27">
        <v>0</v>
      </c>
      <c r="P618" s="27">
        <v>0</v>
      </c>
      <c r="Q618" s="27">
        <v>0</v>
      </c>
      <c r="R618" s="27">
        <v>0</v>
      </c>
      <c r="S618" s="27">
        <v>0</v>
      </c>
      <c r="T618" s="27">
        <v>0</v>
      </c>
      <c r="U618" s="27">
        <v>0.17350417827298054</v>
      </c>
      <c r="V618" s="27">
        <v>1.2457600000000002</v>
      </c>
      <c r="W618" s="27">
        <v>0.17350417827298054</v>
      </c>
      <c r="X618" s="27">
        <f t="shared" si="50"/>
        <v>1.2457600000000002</v>
      </c>
      <c r="Y618" s="27">
        <v>0</v>
      </c>
      <c r="Z618" s="27">
        <f t="shared" si="49"/>
        <v>0</v>
      </c>
      <c r="AA618" s="27">
        <v>0</v>
      </c>
      <c r="AB618" s="28">
        <v>0</v>
      </c>
      <c r="AC618" s="27">
        <v>0</v>
      </c>
      <c r="AD618" s="28">
        <v>0</v>
      </c>
      <c r="AE618" s="27">
        <v>0</v>
      </c>
      <c r="AF618" s="28">
        <v>0</v>
      </c>
      <c r="AG618" s="27">
        <v>0</v>
      </c>
      <c r="AH618" s="28">
        <v>0</v>
      </c>
      <c r="AI618" s="27">
        <v>0</v>
      </c>
      <c r="AJ618" s="27">
        <v>0</v>
      </c>
      <c r="AK618" s="27">
        <f>1.4699968/1.18</f>
        <v>1.2457600000000002</v>
      </c>
      <c r="AL618" s="27">
        <v>0</v>
      </c>
      <c r="AM618" s="27">
        <f t="shared" si="52"/>
        <v>1.2457600000000002</v>
      </c>
      <c r="AN618" s="27">
        <f t="shared" si="51"/>
        <v>0</v>
      </c>
      <c r="AO618" s="35" t="s">
        <v>1435</v>
      </c>
    </row>
    <row r="619" spans="1:41" ht="31.5" customHeight="1" x14ac:dyDescent="0.25">
      <c r="A619" s="59" t="s">
        <v>96</v>
      </c>
      <c r="B619" s="41" t="s">
        <v>1131</v>
      </c>
      <c r="C619" s="29" t="s">
        <v>1132</v>
      </c>
      <c r="D619" s="38" t="s">
        <v>1483</v>
      </c>
      <c r="E619" s="30">
        <v>2019</v>
      </c>
      <c r="F619" s="30">
        <v>2019</v>
      </c>
      <c r="G619" s="30" t="s">
        <v>1435</v>
      </c>
      <c r="H619" s="27">
        <v>9.4424791086350976E-2</v>
      </c>
      <c r="I619" s="27">
        <v>0</v>
      </c>
      <c r="J619" s="27">
        <v>0</v>
      </c>
      <c r="K619" s="27">
        <v>0.67796999999999996</v>
      </c>
      <c r="L619" s="27">
        <v>4.625103542457127E-2</v>
      </c>
      <c r="M619" s="27">
        <v>0.50838287010990513</v>
      </c>
      <c r="N619" s="27">
        <v>0.12333609446552372</v>
      </c>
      <c r="O619" s="27">
        <v>0</v>
      </c>
      <c r="P619" s="27">
        <v>0</v>
      </c>
      <c r="Q619" s="27">
        <v>0</v>
      </c>
      <c r="R619" s="27">
        <v>0</v>
      </c>
      <c r="S619" s="27">
        <v>0</v>
      </c>
      <c r="T619" s="27">
        <v>0</v>
      </c>
      <c r="U619" s="27">
        <v>9.4424791086350976E-2</v>
      </c>
      <c r="V619" s="27">
        <v>0.67796999999999996</v>
      </c>
      <c r="W619" s="27">
        <v>9.4424791086350976E-2</v>
      </c>
      <c r="X619" s="27">
        <f t="shared" si="50"/>
        <v>0.67796999999999996</v>
      </c>
      <c r="Y619" s="27">
        <v>0</v>
      </c>
      <c r="Z619" s="27">
        <f t="shared" si="49"/>
        <v>0</v>
      </c>
      <c r="AA619" s="27">
        <v>0</v>
      </c>
      <c r="AB619" s="28">
        <v>0</v>
      </c>
      <c r="AC619" s="27">
        <v>0</v>
      </c>
      <c r="AD619" s="28">
        <v>0</v>
      </c>
      <c r="AE619" s="27">
        <v>0</v>
      </c>
      <c r="AF619" s="28">
        <v>0</v>
      </c>
      <c r="AG619" s="27">
        <v>0</v>
      </c>
      <c r="AH619" s="28">
        <v>0</v>
      </c>
      <c r="AI619" s="27">
        <v>0</v>
      </c>
      <c r="AJ619" s="27">
        <v>0</v>
      </c>
      <c r="AK619" s="27">
        <f>0.8000046/1.18</f>
        <v>0.67796999999999996</v>
      </c>
      <c r="AL619" s="27">
        <v>0</v>
      </c>
      <c r="AM619" s="27">
        <f t="shared" si="52"/>
        <v>0.67796999999999996</v>
      </c>
      <c r="AN619" s="27">
        <f t="shared" si="51"/>
        <v>0</v>
      </c>
      <c r="AO619" s="35" t="s">
        <v>1435</v>
      </c>
    </row>
    <row r="620" spans="1:41" ht="31.5" customHeight="1" x14ac:dyDescent="0.25">
      <c r="A620" s="59" t="s">
        <v>96</v>
      </c>
      <c r="B620" s="41" t="s">
        <v>1133</v>
      </c>
      <c r="C620" s="29" t="s">
        <v>1134</v>
      </c>
      <c r="D620" s="38" t="s">
        <v>1483</v>
      </c>
      <c r="E620" s="30">
        <v>2019</v>
      </c>
      <c r="F620" s="30">
        <v>2019</v>
      </c>
      <c r="G620" s="30" t="s">
        <v>1435</v>
      </c>
      <c r="H620" s="27">
        <v>1.0837744345403901</v>
      </c>
      <c r="I620" s="27">
        <v>0</v>
      </c>
      <c r="J620" s="27">
        <v>0</v>
      </c>
      <c r="K620" s="27">
        <v>7.7815004400000003</v>
      </c>
      <c r="L620" s="27">
        <v>0.25423728813559321</v>
      </c>
      <c r="M620" s="27">
        <v>5.0595641280027124</v>
      </c>
      <c r="N620" s="27">
        <v>2.4676990238616865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1.0837744345403901</v>
      </c>
      <c r="V620" s="27">
        <v>7.7815004400000003</v>
      </c>
      <c r="W620" s="27">
        <v>1.0837744345403901</v>
      </c>
      <c r="X620" s="27">
        <f t="shared" si="50"/>
        <v>7.7815004400000003</v>
      </c>
      <c r="Y620" s="27">
        <v>0</v>
      </c>
      <c r="Z620" s="27">
        <f t="shared" si="49"/>
        <v>0</v>
      </c>
      <c r="AA620" s="27">
        <v>0</v>
      </c>
      <c r="AB620" s="28">
        <v>0</v>
      </c>
      <c r="AC620" s="27">
        <v>0</v>
      </c>
      <c r="AD620" s="28">
        <v>0</v>
      </c>
      <c r="AE620" s="27">
        <v>0</v>
      </c>
      <c r="AF620" s="28">
        <v>0</v>
      </c>
      <c r="AG620" s="27">
        <v>0</v>
      </c>
      <c r="AH620" s="28">
        <v>0</v>
      </c>
      <c r="AI620" s="27">
        <v>0</v>
      </c>
      <c r="AJ620" s="27">
        <v>0</v>
      </c>
      <c r="AK620" s="27">
        <f>9.1821705192/1.18</f>
        <v>7.7815004400000003</v>
      </c>
      <c r="AL620" s="27">
        <v>0</v>
      </c>
      <c r="AM620" s="27">
        <f t="shared" si="52"/>
        <v>7.7815004400000003</v>
      </c>
      <c r="AN620" s="27">
        <f t="shared" si="51"/>
        <v>0</v>
      </c>
      <c r="AO620" s="35" t="s">
        <v>1435</v>
      </c>
    </row>
    <row r="621" spans="1:41" ht="31.5" customHeight="1" x14ac:dyDescent="0.25">
      <c r="A621" s="59" t="s">
        <v>96</v>
      </c>
      <c r="B621" s="41" t="s">
        <v>1135</v>
      </c>
      <c r="C621" s="29" t="s">
        <v>1136</v>
      </c>
      <c r="D621" s="38" t="s">
        <v>1483</v>
      </c>
      <c r="E621" s="30">
        <v>2019</v>
      </c>
      <c r="F621" s="30">
        <v>2019</v>
      </c>
      <c r="G621" s="30" t="s">
        <v>1435</v>
      </c>
      <c r="H621" s="27">
        <v>0.19332849860724236</v>
      </c>
      <c r="I621" s="27">
        <v>0</v>
      </c>
      <c r="J621" s="27">
        <v>0</v>
      </c>
      <c r="K621" s="27">
        <v>1.3880986200000001</v>
      </c>
      <c r="L621" s="27">
        <v>7.7682196822255259E-2</v>
      </c>
      <c r="M621" s="27">
        <v>0.99968763588872045</v>
      </c>
      <c r="N621" s="27">
        <v>0.3107287872890212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>
        <v>0</v>
      </c>
      <c r="U621" s="27">
        <v>0.19332849860724236</v>
      </c>
      <c r="V621" s="27">
        <v>1.3880986200000001</v>
      </c>
      <c r="W621" s="27">
        <v>0.19332849860724236</v>
      </c>
      <c r="X621" s="27">
        <f t="shared" si="50"/>
        <v>1.3880986200000001</v>
      </c>
      <c r="Y621" s="27">
        <v>0</v>
      </c>
      <c r="Z621" s="27">
        <f t="shared" si="49"/>
        <v>0</v>
      </c>
      <c r="AA621" s="27">
        <v>0</v>
      </c>
      <c r="AB621" s="28">
        <v>0</v>
      </c>
      <c r="AC621" s="27">
        <v>0</v>
      </c>
      <c r="AD621" s="28">
        <v>0</v>
      </c>
      <c r="AE621" s="27">
        <v>0</v>
      </c>
      <c r="AF621" s="28">
        <v>0</v>
      </c>
      <c r="AG621" s="27">
        <v>0</v>
      </c>
      <c r="AH621" s="28">
        <v>0</v>
      </c>
      <c r="AI621" s="27">
        <v>0</v>
      </c>
      <c r="AJ621" s="27">
        <v>0</v>
      </c>
      <c r="AK621" s="27">
        <f>1.6379563716/1.18</f>
        <v>1.3880986200000001</v>
      </c>
      <c r="AL621" s="27">
        <v>0</v>
      </c>
      <c r="AM621" s="27">
        <f t="shared" si="52"/>
        <v>1.3880986200000001</v>
      </c>
      <c r="AN621" s="27">
        <f t="shared" si="51"/>
        <v>0</v>
      </c>
      <c r="AO621" s="35" t="s">
        <v>1435</v>
      </c>
    </row>
    <row r="622" spans="1:41" ht="31.5" customHeight="1" x14ac:dyDescent="0.25">
      <c r="A622" s="59" t="s">
        <v>96</v>
      </c>
      <c r="B622" s="41" t="s">
        <v>1137</v>
      </c>
      <c r="C622" s="29" t="s">
        <v>1138</v>
      </c>
      <c r="D622" s="38" t="s">
        <v>1483</v>
      </c>
      <c r="E622" s="30">
        <v>2019</v>
      </c>
      <c r="F622" s="30">
        <v>2019</v>
      </c>
      <c r="G622" s="30" t="s">
        <v>1435</v>
      </c>
      <c r="H622" s="27">
        <v>0.22575256545961006</v>
      </c>
      <c r="I622" s="27">
        <v>0</v>
      </c>
      <c r="J622" s="27">
        <v>0</v>
      </c>
      <c r="K622" s="27">
        <v>1.6209034200000001</v>
      </c>
      <c r="L622" s="27">
        <v>8.4745762711864417E-2</v>
      </c>
      <c r="M622" s="27">
        <v>1.1733150272672035</v>
      </c>
      <c r="N622" s="27">
        <v>0.36284263002093226</v>
      </c>
      <c r="O622" s="27">
        <v>0</v>
      </c>
      <c r="P622" s="27">
        <v>0</v>
      </c>
      <c r="Q622" s="27">
        <v>0</v>
      </c>
      <c r="R622" s="27">
        <v>0</v>
      </c>
      <c r="S622" s="27">
        <v>0</v>
      </c>
      <c r="T622" s="27">
        <v>0</v>
      </c>
      <c r="U622" s="27">
        <v>0.22575256545961006</v>
      </c>
      <c r="V622" s="27">
        <v>1.6209034200000001</v>
      </c>
      <c r="W622" s="27">
        <v>0.22575256545961006</v>
      </c>
      <c r="X622" s="27">
        <f t="shared" si="50"/>
        <v>1.6209034200000001</v>
      </c>
      <c r="Y622" s="27">
        <v>0</v>
      </c>
      <c r="Z622" s="27">
        <f t="shared" si="49"/>
        <v>0</v>
      </c>
      <c r="AA622" s="27">
        <v>0</v>
      </c>
      <c r="AB622" s="28">
        <v>0</v>
      </c>
      <c r="AC622" s="27">
        <v>0</v>
      </c>
      <c r="AD622" s="28">
        <v>0</v>
      </c>
      <c r="AE622" s="27">
        <v>0</v>
      </c>
      <c r="AF622" s="28">
        <v>0</v>
      </c>
      <c r="AG622" s="27">
        <v>0</v>
      </c>
      <c r="AH622" s="28">
        <v>0</v>
      </c>
      <c r="AI622" s="27">
        <v>0</v>
      </c>
      <c r="AJ622" s="27">
        <v>0</v>
      </c>
      <c r="AK622" s="27">
        <f>1.9126660356/1.18</f>
        <v>1.6209034200000001</v>
      </c>
      <c r="AL622" s="27">
        <v>0</v>
      </c>
      <c r="AM622" s="27">
        <f t="shared" si="52"/>
        <v>1.6209034200000001</v>
      </c>
      <c r="AN622" s="27">
        <f t="shared" si="51"/>
        <v>0</v>
      </c>
      <c r="AO622" s="35" t="s">
        <v>1435</v>
      </c>
    </row>
    <row r="623" spans="1:41" ht="31.5" customHeight="1" x14ac:dyDescent="0.25">
      <c r="A623" s="59" t="s">
        <v>96</v>
      </c>
      <c r="B623" s="41" t="s">
        <v>1139</v>
      </c>
      <c r="C623" s="29" t="s">
        <v>1140</v>
      </c>
      <c r="D623" s="38" t="s">
        <v>1483</v>
      </c>
      <c r="E623" s="30">
        <v>2019</v>
      </c>
      <c r="F623" s="30">
        <v>2019</v>
      </c>
      <c r="G623" s="30" t="s">
        <v>1435</v>
      </c>
      <c r="H623" s="27">
        <v>0.13699168245125348</v>
      </c>
      <c r="I623" s="27">
        <v>0</v>
      </c>
      <c r="J623" s="27">
        <v>0</v>
      </c>
      <c r="K623" s="27">
        <v>0.98360027999999999</v>
      </c>
      <c r="L623" s="27">
        <v>5.5045246385581281E-2</v>
      </c>
      <c r="M623" s="27">
        <v>0.67167721714837292</v>
      </c>
      <c r="N623" s="27">
        <v>0.25687781646604574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0.13699168245125348</v>
      </c>
      <c r="V623" s="27">
        <v>0.98360027999999999</v>
      </c>
      <c r="W623" s="27">
        <v>0.13699168245125348</v>
      </c>
      <c r="X623" s="27">
        <f t="shared" si="50"/>
        <v>0.98360027999999999</v>
      </c>
      <c r="Y623" s="27">
        <v>0</v>
      </c>
      <c r="Z623" s="27">
        <f t="shared" si="49"/>
        <v>0</v>
      </c>
      <c r="AA623" s="27">
        <v>0</v>
      </c>
      <c r="AB623" s="28">
        <v>0</v>
      </c>
      <c r="AC623" s="27">
        <v>0</v>
      </c>
      <c r="AD623" s="28">
        <v>0</v>
      </c>
      <c r="AE623" s="27">
        <v>0</v>
      </c>
      <c r="AF623" s="28">
        <v>0</v>
      </c>
      <c r="AG623" s="27">
        <v>0</v>
      </c>
      <c r="AH623" s="28">
        <v>0</v>
      </c>
      <c r="AI623" s="27">
        <v>0</v>
      </c>
      <c r="AJ623" s="27">
        <v>0</v>
      </c>
      <c r="AK623" s="27">
        <f>1.1606483304/1.18</f>
        <v>0.98360027999999999</v>
      </c>
      <c r="AL623" s="27">
        <v>0</v>
      </c>
      <c r="AM623" s="27">
        <f t="shared" si="52"/>
        <v>0.98360027999999999</v>
      </c>
      <c r="AN623" s="27">
        <f t="shared" si="51"/>
        <v>0</v>
      </c>
      <c r="AO623" s="35" t="s">
        <v>1435</v>
      </c>
    </row>
    <row r="624" spans="1:41" ht="31.5" customHeight="1" x14ac:dyDescent="0.25">
      <c r="A624" s="59" t="s">
        <v>96</v>
      </c>
      <c r="B624" s="41" t="s">
        <v>1141</v>
      </c>
      <c r="C624" s="29" t="s">
        <v>1142</v>
      </c>
      <c r="D624" s="38" t="s">
        <v>1483</v>
      </c>
      <c r="E624" s="30">
        <v>2019</v>
      </c>
      <c r="F624" s="30">
        <v>2019</v>
      </c>
      <c r="G624" s="30" t="s">
        <v>1435</v>
      </c>
      <c r="H624" s="27">
        <v>0.33437318941504185</v>
      </c>
      <c r="I624" s="27">
        <v>0</v>
      </c>
      <c r="J624" s="27">
        <v>0</v>
      </c>
      <c r="K624" s="27">
        <v>2.4007995000000002</v>
      </c>
      <c r="L624" s="27">
        <v>0.10169491525423729</v>
      </c>
      <c r="M624" s="27">
        <v>1.7616805815729237</v>
      </c>
      <c r="N624" s="27">
        <v>0.53742400317283479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0.33437318941504185</v>
      </c>
      <c r="V624" s="27">
        <v>2.4007995000000002</v>
      </c>
      <c r="W624" s="27">
        <v>0.33437318941504185</v>
      </c>
      <c r="X624" s="27">
        <f t="shared" si="50"/>
        <v>2.4007995000000002</v>
      </c>
      <c r="Y624" s="27">
        <v>0</v>
      </c>
      <c r="Z624" s="27">
        <f t="shared" si="49"/>
        <v>0</v>
      </c>
      <c r="AA624" s="27">
        <v>0</v>
      </c>
      <c r="AB624" s="28">
        <v>0</v>
      </c>
      <c r="AC624" s="27">
        <v>0</v>
      </c>
      <c r="AD624" s="28">
        <v>0</v>
      </c>
      <c r="AE624" s="27">
        <v>0</v>
      </c>
      <c r="AF624" s="28">
        <v>0</v>
      </c>
      <c r="AG624" s="27">
        <v>0</v>
      </c>
      <c r="AH624" s="28">
        <v>0</v>
      </c>
      <c r="AI624" s="27">
        <v>0</v>
      </c>
      <c r="AJ624" s="27">
        <v>0</v>
      </c>
      <c r="AK624" s="27">
        <f>2.83294341/1.18</f>
        <v>2.4007995000000002</v>
      </c>
      <c r="AL624" s="27">
        <v>0</v>
      </c>
      <c r="AM624" s="27">
        <f t="shared" si="52"/>
        <v>2.4007995000000002</v>
      </c>
      <c r="AN624" s="27">
        <f t="shared" si="51"/>
        <v>0</v>
      </c>
      <c r="AO624" s="35" t="s">
        <v>1435</v>
      </c>
    </row>
    <row r="625" spans="1:41" ht="31.5" customHeight="1" x14ac:dyDescent="0.25">
      <c r="A625" s="59" t="s">
        <v>96</v>
      </c>
      <c r="B625" s="41" t="s">
        <v>1143</v>
      </c>
      <c r="C625" s="29" t="s">
        <v>1144</v>
      </c>
      <c r="D625" s="38" t="s">
        <v>1483</v>
      </c>
      <c r="E625" s="30">
        <v>2019</v>
      </c>
      <c r="F625" s="30">
        <v>2019</v>
      </c>
      <c r="G625" s="30" t="s">
        <v>1435</v>
      </c>
      <c r="H625" s="27">
        <v>0.11388953481894151</v>
      </c>
      <c r="I625" s="27">
        <v>0</v>
      </c>
      <c r="J625" s="27">
        <v>0</v>
      </c>
      <c r="K625" s="27">
        <v>0.81772686000000006</v>
      </c>
      <c r="L625" s="27">
        <v>4.5762468148959574E-2</v>
      </c>
      <c r="M625" s="27">
        <v>0.58891451925520177</v>
      </c>
      <c r="N625" s="27">
        <v>0.18304987259583813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0.11388953481894151</v>
      </c>
      <c r="V625" s="27">
        <v>0.81772686000000006</v>
      </c>
      <c r="W625" s="27">
        <v>0.11388953481894151</v>
      </c>
      <c r="X625" s="27">
        <f t="shared" si="50"/>
        <v>0.81772686000000006</v>
      </c>
      <c r="Y625" s="27">
        <v>0</v>
      </c>
      <c r="Z625" s="27">
        <f t="shared" si="49"/>
        <v>0</v>
      </c>
      <c r="AA625" s="27">
        <v>0</v>
      </c>
      <c r="AB625" s="28">
        <v>0</v>
      </c>
      <c r="AC625" s="27">
        <v>0</v>
      </c>
      <c r="AD625" s="28">
        <v>0</v>
      </c>
      <c r="AE625" s="27">
        <v>0</v>
      </c>
      <c r="AF625" s="28">
        <v>0</v>
      </c>
      <c r="AG625" s="27">
        <v>0</v>
      </c>
      <c r="AH625" s="28">
        <v>0</v>
      </c>
      <c r="AI625" s="27">
        <v>0</v>
      </c>
      <c r="AJ625" s="27">
        <v>0</v>
      </c>
      <c r="AK625" s="27">
        <f>0.9649176948/1.18</f>
        <v>0.81772686000000006</v>
      </c>
      <c r="AL625" s="27">
        <v>0</v>
      </c>
      <c r="AM625" s="27">
        <f t="shared" si="52"/>
        <v>0.81772686000000006</v>
      </c>
      <c r="AN625" s="27">
        <f t="shared" si="51"/>
        <v>0</v>
      </c>
      <c r="AO625" s="35" t="s">
        <v>1435</v>
      </c>
    </row>
    <row r="626" spans="1:41" ht="31.5" customHeight="1" x14ac:dyDescent="0.25">
      <c r="A626" s="59" t="s">
        <v>96</v>
      </c>
      <c r="B626" s="41" t="s">
        <v>1145</v>
      </c>
      <c r="C626" s="29" t="s">
        <v>1146</v>
      </c>
      <c r="D626" s="38" t="s">
        <v>1483</v>
      </c>
      <c r="E626" s="30">
        <v>2019</v>
      </c>
      <c r="F626" s="30">
        <v>2019</v>
      </c>
      <c r="G626" s="30" t="s">
        <v>1435</v>
      </c>
      <c r="H626" s="27">
        <v>0.37368737047353767</v>
      </c>
      <c r="I626" s="27">
        <v>0</v>
      </c>
      <c r="J626" s="27">
        <v>0</v>
      </c>
      <c r="K626" s="27">
        <v>2.6830753200000004</v>
      </c>
      <c r="L626" s="27">
        <v>0.11016949152542374</v>
      </c>
      <c r="M626" s="27">
        <v>1.8721917847417542</v>
      </c>
      <c r="N626" s="27">
        <v>0.70071404373282375</v>
      </c>
      <c r="O626" s="27">
        <v>0</v>
      </c>
      <c r="P626" s="27">
        <v>0</v>
      </c>
      <c r="Q626" s="27">
        <v>0</v>
      </c>
      <c r="R626" s="27">
        <v>0</v>
      </c>
      <c r="S626" s="27">
        <v>0</v>
      </c>
      <c r="T626" s="27">
        <v>0</v>
      </c>
      <c r="U626" s="27">
        <v>0.37368737047353767</v>
      </c>
      <c r="V626" s="27">
        <v>2.6830753200000004</v>
      </c>
      <c r="W626" s="27">
        <v>0.37368737047353767</v>
      </c>
      <c r="X626" s="27">
        <f t="shared" si="50"/>
        <v>2.6830753200000004</v>
      </c>
      <c r="Y626" s="27">
        <v>0</v>
      </c>
      <c r="Z626" s="27">
        <f t="shared" si="49"/>
        <v>0</v>
      </c>
      <c r="AA626" s="27">
        <v>0</v>
      </c>
      <c r="AB626" s="28">
        <v>0</v>
      </c>
      <c r="AC626" s="27">
        <v>0</v>
      </c>
      <c r="AD626" s="28">
        <v>0</v>
      </c>
      <c r="AE626" s="27">
        <v>0</v>
      </c>
      <c r="AF626" s="28">
        <v>0</v>
      </c>
      <c r="AG626" s="27">
        <v>0</v>
      </c>
      <c r="AH626" s="28">
        <v>0</v>
      </c>
      <c r="AI626" s="27">
        <v>0</v>
      </c>
      <c r="AJ626" s="27">
        <v>0</v>
      </c>
      <c r="AK626" s="27">
        <f>3.1660288776/1.18</f>
        <v>2.6830753200000004</v>
      </c>
      <c r="AL626" s="27">
        <v>0</v>
      </c>
      <c r="AM626" s="27">
        <f t="shared" si="52"/>
        <v>2.6830753200000004</v>
      </c>
      <c r="AN626" s="27">
        <f t="shared" si="51"/>
        <v>0</v>
      </c>
      <c r="AO626" s="35" t="s">
        <v>1435</v>
      </c>
    </row>
    <row r="627" spans="1:41" ht="31.5" customHeight="1" x14ac:dyDescent="0.25">
      <c r="A627" s="59" t="s">
        <v>96</v>
      </c>
      <c r="B627" s="41" t="s">
        <v>1147</v>
      </c>
      <c r="C627" s="29" t="s">
        <v>1148</v>
      </c>
      <c r="D627" s="38" t="s">
        <v>1483</v>
      </c>
      <c r="E627" s="30">
        <v>2019</v>
      </c>
      <c r="F627" s="30">
        <v>2019</v>
      </c>
      <c r="G627" s="30" t="s">
        <v>1435</v>
      </c>
      <c r="H627" s="27">
        <v>3.2018766016713093E-2</v>
      </c>
      <c r="I627" s="27">
        <v>0</v>
      </c>
      <c r="J627" s="27">
        <v>0</v>
      </c>
      <c r="K627" s="27">
        <v>0.22989474000000001</v>
      </c>
      <c r="L627" s="27">
        <v>1.2865604924440594E-2</v>
      </c>
      <c r="M627" s="27">
        <v>0.16556671537779663</v>
      </c>
      <c r="N627" s="27">
        <v>5.1462419697762378E-2</v>
      </c>
      <c r="O627" s="27">
        <v>0</v>
      </c>
      <c r="P627" s="27">
        <v>0</v>
      </c>
      <c r="Q627" s="27">
        <v>0</v>
      </c>
      <c r="R627" s="27">
        <v>0</v>
      </c>
      <c r="S627" s="27">
        <v>0</v>
      </c>
      <c r="T627" s="27">
        <v>0</v>
      </c>
      <c r="U627" s="27">
        <v>3.2018766016713093E-2</v>
      </c>
      <c r="V627" s="27">
        <v>0.22989474000000001</v>
      </c>
      <c r="W627" s="27">
        <v>3.2018766016713093E-2</v>
      </c>
      <c r="X627" s="27">
        <f t="shared" si="50"/>
        <v>0.22989474000000001</v>
      </c>
      <c r="Y627" s="27">
        <v>0</v>
      </c>
      <c r="Z627" s="27">
        <f t="shared" si="49"/>
        <v>0</v>
      </c>
      <c r="AA627" s="27">
        <v>0</v>
      </c>
      <c r="AB627" s="28">
        <v>0</v>
      </c>
      <c r="AC627" s="27">
        <v>0</v>
      </c>
      <c r="AD627" s="28">
        <v>0</v>
      </c>
      <c r="AE627" s="27">
        <v>0</v>
      </c>
      <c r="AF627" s="28">
        <v>0</v>
      </c>
      <c r="AG627" s="27">
        <v>0</v>
      </c>
      <c r="AH627" s="28">
        <v>0</v>
      </c>
      <c r="AI627" s="27">
        <v>0</v>
      </c>
      <c r="AJ627" s="27">
        <v>0</v>
      </c>
      <c r="AK627" s="27">
        <f>0.2712757932/1.18</f>
        <v>0.22989474000000001</v>
      </c>
      <c r="AL627" s="27">
        <v>0</v>
      </c>
      <c r="AM627" s="27">
        <f t="shared" si="52"/>
        <v>0.22989474000000001</v>
      </c>
      <c r="AN627" s="27">
        <f t="shared" si="51"/>
        <v>0</v>
      </c>
      <c r="AO627" s="35" t="s">
        <v>1435</v>
      </c>
    </row>
    <row r="628" spans="1:41" ht="31.5" customHeight="1" x14ac:dyDescent="0.25">
      <c r="A628" s="59" t="s">
        <v>96</v>
      </c>
      <c r="B628" s="41" t="s">
        <v>1149</v>
      </c>
      <c r="C628" s="29" t="s">
        <v>1150</v>
      </c>
      <c r="D628" s="38" t="s">
        <v>1483</v>
      </c>
      <c r="E628" s="30">
        <v>2019</v>
      </c>
      <c r="F628" s="30">
        <v>2019</v>
      </c>
      <c r="G628" s="30" t="s">
        <v>1435</v>
      </c>
      <c r="H628" s="27">
        <v>0.22007835376044571</v>
      </c>
      <c r="I628" s="27">
        <v>0</v>
      </c>
      <c r="J628" s="27">
        <v>0</v>
      </c>
      <c r="K628" s="27">
        <v>1.5801625800000001</v>
      </c>
      <c r="L628" s="27">
        <v>8.4745762711864417E-2</v>
      </c>
      <c r="M628" s="27">
        <v>1.1416941097452882</v>
      </c>
      <c r="N628" s="27">
        <v>0.35372270754284751</v>
      </c>
      <c r="O628" s="27">
        <v>0</v>
      </c>
      <c r="P628" s="27">
        <v>0</v>
      </c>
      <c r="Q628" s="27">
        <v>0</v>
      </c>
      <c r="R628" s="27">
        <v>0</v>
      </c>
      <c r="S628" s="27">
        <v>0</v>
      </c>
      <c r="T628" s="27">
        <v>0</v>
      </c>
      <c r="U628" s="27">
        <v>0.22007835376044571</v>
      </c>
      <c r="V628" s="27">
        <v>1.5801625800000001</v>
      </c>
      <c r="W628" s="27">
        <v>0.22007835376044571</v>
      </c>
      <c r="X628" s="27">
        <f t="shared" si="50"/>
        <v>1.5801625800000001</v>
      </c>
      <c r="Y628" s="27">
        <v>0</v>
      </c>
      <c r="Z628" s="27">
        <f t="shared" si="49"/>
        <v>0</v>
      </c>
      <c r="AA628" s="27">
        <v>0</v>
      </c>
      <c r="AB628" s="28">
        <v>0</v>
      </c>
      <c r="AC628" s="27">
        <v>0</v>
      </c>
      <c r="AD628" s="28">
        <v>0</v>
      </c>
      <c r="AE628" s="27">
        <v>0</v>
      </c>
      <c r="AF628" s="28">
        <v>0</v>
      </c>
      <c r="AG628" s="27">
        <v>0</v>
      </c>
      <c r="AH628" s="28">
        <v>0</v>
      </c>
      <c r="AI628" s="27">
        <v>0</v>
      </c>
      <c r="AJ628" s="27">
        <v>0</v>
      </c>
      <c r="AK628" s="27">
        <f>1.8645918444/1.18</f>
        <v>1.5801625800000001</v>
      </c>
      <c r="AL628" s="27">
        <v>0</v>
      </c>
      <c r="AM628" s="27">
        <f t="shared" si="52"/>
        <v>1.5801625800000001</v>
      </c>
      <c r="AN628" s="27">
        <f t="shared" si="51"/>
        <v>0</v>
      </c>
      <c r="AO628" s="35" t="s">
        <v>1435</v>
      </c>
    </row>
    <row r="629" spans="1:41" ht="31.5" customHeight="1" x14ac:dyDescent="0.25">
      <c r="A629" s="59" t="s">
        <v>96</v>
      </c>
      <c r="B629" s="41" t="s">
        <v>1151</v>
      </c>
      <c r="C629" s="29" t="s">
        <v>1152</v>
      </c>
      <c r="D629" s="38" t="s">
        <v>1483</v>
      </c>
      <c r="E629" s="30">
        <v>2019</v>
      </c>
      <c r="F629" s="30">
        <v>2019</v>
      </c>
      <c r="G629" s="30" t="s">
        <v>1435</v>
      </c>
      <c r="H629" s="27">
        <v>0.74238161559888582</v>
      </c>
      <c r="I629" s="27">
        <v>0</v>
      </c>
      <c r="J629" s="27">
        <v>0</v>
      </c>
      <c r="K629" s="27">
        <v>5.3303000000000003</v>
      </c>
      <c r="L629" s="27">
        <v>0.15254237288135594</v>
      </c>
      <c r="M629" s="27">
        <v>3.9443966824634074</v>
      </c>
      <c r="N629" s="27">
        <v>1.2333609446552374</v>
      </c>
      <c r="O629" s="27">
        <v>0</v>
      </c>
      <c r="P629" s="27">
        <v>0</v>
      </c>
      <c r="Q629" s="27">
        <v>0</v>
      </c>
      <c r="R629" s="27">
        <v>0</v>
      </c>
      <c r="S629" s="27">
        <v>0</v>
      </c>
      <c r="T629" s="27">
        <v>0</v>
      </c>
      <c r="U629" s="27">
        <v>0.74238161559888582</v>
      </c>
      <c r="V629" s="27">
        <v>5.3303000000000003</v>
      </c>
      <c r="W629" s="27">
        <v>0.74238161559888582</v>
      </c>
      <c r="X629" s="27">
        <f t="shared" si="50"/>
        <v>5.3303000000000003</v>
      </c>
      <c r="Y629" s="27">
        <v>0</v>
      </c>
      <c r="Z629" s="27">
        <f t="shared" si="49"/>
        <v>0</v>
      </c>
      <c r="AA629" s="27">
        <v>0</v>
      </c>
      <c r="AB629" s="28">
        <v>0</v>
      </c>
      <c r="AC629" s="27">
        <v>0</v>
      </c>
      <c r="AD629" s="28">
        <v>0</v>
      </c>
      <c r="AE629" s="27">
        <v>0</v>
      </c>
      <c r="AF629" s="28">
        <v>0</v>
      </c>
      <c r="AG629" s="27">
        <v>0</v>
      </c>
      <c r="AH629" s="28">
        <v>0</v>
      </c>
      <c r="AI629" s="27">
        <v>0</v>
      </c>
      <c r="AJ629" s="27">
        <v>0</v>
      </c>
      <c r="AK629" s="27">
        <f>6.289754/1.18</f>
        <v>5.3303000000000003</v>
      </c>
      <c r="AL629" s="27">
        <v>0</v>
      </c>
      <c r="AM629" s="27">
        <f t="shared" si="52"/>
        <v>5.3303000000000003</v>
      </c>
      <c r="AN629" s="27">
        <f t="shared" si="51"/>
        <v>0</v>
      </c>
      <c r="AO629" s="35" t="s">
        <v>1435</v>
      </c>
    </row>
    <row r="630" spans="1:41" ht="31.5" customHeight="1" x14ac:dyDescent="0.25">
      <c r="A630" s="9" t="s">
        <v>98</v>
      </c>
      <c r="B630" s="10" t="s">
        <v>99</v>
      </c>
      <c r="C630" s="23" t="s">
        <v>48</v>
      </c>
      <c r="D630" s="36" t="s">
        <v>1435</v>
      </c>
      <c r="E630" s="24" t="s">
        <v>1435</v>
      </c>
      <c r="F630" s="24" t="s">
        <v>1435</v>
      </c>
      <c r="G630" s="24" t="s">
        <v>1435</v>
      </c>
      <c r="H630" s="25">
        <v>0</v>
      </c>
      <c r="I630" s="25">
        <v>0</v>
      </c>
      <c r="J630" s="25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5">
        <v>0</v>
      </c>
      <c r="V630" s="25">
        <v>0</v>
      </c>
      <c r="W630" s="25">
        <v>0</v>
      </c>
      <c r="X630" s="26">
        <v>0</v>
      </c>
      <c r="Y630" s="25">
        <v>0</v>
      </c>
      <c r="Z630" s="26">
        <v>0</v>
      </c>
      <c r="AA630" s="26">
        <v>0</v>
      </c>
      <c r="AB630" s="26">
        <v>0</v>
      </c>
      <c r="AC630" s="26">
        <v>0</v>
      </c>
      <c r="AD630" s="26">
        <v>0</v>
      </c>
      <c r="AE630" s="26">
        <v>0</v>
      </c>
      <c r="AF630" s="26">
        <v>0</v>
      </c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5">
        <f t="shared" si="52"/>
        <v>0</v>
      </c>
      <c r="AN630" s="25">
        <f t="shared" si="51"/>
        <v>0</v>
      </c>
      <c r="AO630" s="26" t="s">
        <v>1435</v>
      </c>
    </row>
    <row r="631" spans="1:41" ht="31.5" customHeight="1" x14ac:dyDescent="0.25">
      <c r="A631" s="9" t="s">
        <v>100</v>
      </c>
      <c r="B631" s="10" t="s">
        <v>101</v>
      </c>
      <c r="C631" s="23" t="s">
        <v>48</v>
      </c>
      <c r="D631" s="36" t="s">
        <v>1435</v>
      </c>
      <c r="E631" s="24" t="s">
        <v>1435</v>
      </c>
      <c r="F631" s="24" t="s">
        <v>1435</v>
      </c>
      <c r="G631" s="24" t="s">
        <v>1435</v>
      </c>
      <c r="H631" s="25">
        <f>H633</f>
        <v>0.14443788300835655</v>
      </c>
      <c r="I631" s="25">
        <f>I633</f>
        <v>0.35227496100278555</v>
      </c>
      <c r="J631" s="25">
        <v>0</v>
      </c>
      <c r="K631" s="25">
        <v>1.037064</v>
      </c>
      <c r="L631" s="25">
        <v>0</v>
      </c>
      <c r="M631" s="25">
        <v>0.77124448813559321</v>
      </c>
      <c r="N631" s="25">
        <v>0.26888680000000004</v>
      </c>
      <c r="O631" s="25">
        <v>0</v>
      </c>
      <c r="P631" s="25">
        <v>2.52933422</v>
      </c>
      <c r="Q631" s="25">
        <v>0</v>
      </c>
      <c r="R631" s="25">
        <v>3.8300770000000005E-2</v>
      </c>
      <c r="S631" s="25">
        <v>2.4910331700000001</v>
      </c>
      <c r="T631" s="25">
        <v>0</v>
      </c>
      <c r="U631" s="25">
        <f>U633</f>
        <v>0.14443788300835655</v>
      </c>
      <c r="V631" s="25">
        <v>1.037064</v>
      </c>
      <c r="W631" s="25">
        <f>W633</f>
        <v>8.1720055710306411E-2</v>
      </c>
      <c r="X631" s="25">
        <f>AG631+AI631+AK631</f>
        <v>0.5867500000000001</v>
      </c>
      <c r="Y631" s="25">
        <f>Y633</f>
        <v>1.1479108635097494E-2</v>
      </c>
      <c r="Z631" s="25">
        <f t="shared" si="49"/>
        <v>8.2420000000000007E-2</v>
      </c>
      <c r="AA631" s="25">
        <f t="shared" ref="AA631:AI631" si="53">AA633</f>
        <v>0</v>
      </c>
      <c r="AB631" s="26">
        <v>0</v>
      </c>
      <c r="AC631" s="25">
        <f>AC633</f>
        <v>0.22847000000000003</v>
      </c>
      <c r="AD631" s="26">
        <f>AD633</f>
        <v>2.32679495</v>
      </c>
      <c r="AE631" s="25">
        <f t="shared" si="53"/>
        <v>0.13942399999999999</v>
      </c>
      <c r="AF631" s="26">
        <f t="shared" si="53"/>
        <v>0.12011927</v>
      </c>
      <c r="AG631" s="25">
        <f t="shared" si="53"/>
        <v>4.1210000000000004E-2</v>
      </c>
      <c r="AH631" s="26">
        <f t="shared" si="53"/>
        <v>8.2420000000000007E-2</v>
      </c>
      <c r="AI631" s="25">
        <f t="shared" si="53"/>
        <v>0.26650000000000001</v>
      </c>
      <c r="AJ631" s="25">
        <v>0</v>
      </c>
      <c r="AK631" s="25">
        <f>AK633</f>
        <v>0.27904000000000001</v>
      </c>
      <c r="AL631" s="25">
        <v>0</v>
      </c>
      <c r="AM631" s="25">
        <f t="shared" si="52"/>
        <v>3.0336642200000004</v>
      </c>
      <c r="AN631" s="25">
        <f t="shared" si="51"/>
        <v>2.52933422</v>
      </c>
      <c r="AO631" s="26" t="s">
        <v>1435</v>
      </c>
    </row>
    <row r="632" spans="1:41" ht="31.5" customHeight="1" x14ac:dyDescent="0.25">
      <c r="A632" s="9" t="s">
        <v>102</v>
      </c>
      <c r="B632" s="10" t="s">
        <v>103</v>
      </c>
      <c r="C632" s="23" t="s">
        <v>48</v>
      </c>
      <c r="D632" s="36" t="s">
        <v>1435</v>
      </c>
      <c r="E632" s="24" t="s">
        <v>1435</v>
      </c>
      <c r="F632" s="24" t="s">
        <v>1435</v>
      </c>
      <c r="G632" s="24" t="s">
        <v>1435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f t="shared" si="52"/>
        <v>0</v>
      </c>
      <c r="AN632" s="25">
        <f t="shared" si="51"/>
        <v>0</v>
      </c>
      <c r="AO632" s="26" t="s">
        <v>1435</v>
      </c>
    </row>
    <row r="633" spans="1:41" ht="31.5" customHeight="1" x14ac:dyDescent="0.25">
      <c r="A633" s="9" t="s">
        <v>104</v>
      </c>
      <c r="B633" s="10" t="s">
        <v>105</v>
      </c>
      <c r="C633" s="23" t="s">
        <v>48</v>
      </c>
      <c r="D633" s="36" t="s">
        <v>1435</v>
      </c>
      <c r="E633" s="24" t="s">
        <v>1435</v>
      </c>
      <c r="F633" s="24" t="s">
        <v>1435</v>
      </c>
      <c r="G633" s="24" t="s">
        <v>1435</v>
      </c>
      <c r="H633" s="25">
        <f>SUM(H634:H639)</f>
        <v>0.14443788300835655</v>
      </c>
      <c r="I633" s="25">
        <f>SUM(I634:I639)</f>
        <v>0.35227496100278555</v>
      </c>
      <c r="J633" s="25">
        <v>0</v>
      </c>
      <c r="K633" s="25">
        <v>1.037064</v>
      </c>
      <c r="L633" s="25">
        <v>0</v>
      </c>
      <c r="M633" s="25">
        <v>0.77124448813559321</v>
      </c>
      <c r="N633" s="25">
        <v>0.26888680000000004</v>
      </c>
      <c r="O633" s="25">
        <v>0</v>
      </c>
      <c r="P633" s="25">
        <v>2.52933422</v>
      </c>
      <c r="Q633" s="25">
        <v>0</v>
      </c>
      <c r="R633" s="25">
        <v>3.8300770000000005E-2</v>
      </c>
      <c r="S633" s="25">
        <v>2.4910331700000001</v>
      </c>
      <c r="T633" s="25">
        <v>0</v>
      </c>
      <c r="U633" s="25">
        <f>SUM(U634:U639)</f>
        <v>0.14443788300835655</v>
      </c>
      <c r="V633" s="25">
        <v>1.037064</v>
      </c>
      <c r="W633" s="25">
        <f>SUM(W634:W639)</f>
        <v>8.1720055710306411E-2</v>
      </c>
      <c r="X633" s="25">
        <f t="shared" ref="X633:X665" si="54">AG633+AI633+AK633</f>
        <v>0.5867500000000001</v>
      </c>
      <c r="Y633" s="25">
        <f>SUM(Y634:Y639)</f>
        <v>1.1479108635097494E-2</v>
      </c>
      <c r="Z633" s="25">
        <f t="shared" si="49"/>
        <v>8.2420000000000007E-2</v>
      </c>
      <c r="AA633" s="25">
        <f>SUM(AA634:AA636)</f>
        <v>0</v>
      </c>
      <c r="AB633" s="26">
        <v>0</v>
      </c>
      <c r="AC633" s="25">
        <f>SUM(AC634:AC636)</f>
        <v>0.22847000000000003</v>
      </c>
      <c r="AD633" s="26">
        <f>SUM(AD634:AD636)</f>
        <v>2.32679495</v>
      </c>
      <c r="AE633" s="25">
        <f>SUM(AE634:AE636)</f>
        <v>0.13942399999999999</v>
      </c>
      <c r="AF633" s="26">
        <f>SUM(AF634:AF636)</f>
        <v>0.12011927</v>
      </c>
      <c r="AG633" s="25">
        <f>SUM(AG634:AG639)</f>
        <v>4.1210000000000004E-2</v>
      </c>
      <c r="AH633" s="26">
        <f>SUM(AH634:AH637)</f>
        <v>8.2420000000000007E-2</v>
      </c>
      <c r="AI633" s="25">
        <f>SUM(AI634:AI638)</f>
        <v>0.26650000000000001</v>
      </c>
      <c r="AJ633" s="25">
        <v>0</v>
      </c>
      <c r="AK633" s="25">
        <f>SUM(AK634:AK639)</f>
        <v>0.27904000000000001</v>
      </c>
      <c r="AL633" s="25">
        <v>0</v>
      </c>
      <c r="AM633" s="25">
        <f t="shared" si="52"/>
        <v>3.0336642200000004</v>
      </c>
      <c r="AN633" s="25">
        <f t="shared" si="51"/>
        <v>2.52933422</v>
      </c>
      <c r="AO633" s="26" t="s">
        <v>1435</v>
      </c>
    </row>
    <row r="634" spans="1:41" ht="54" customHeight="1" x14ac:dyDescent="0.25">
      <c r="A634" s="8" t="s">
        <v>104</v>
      </c>
      <c r="B634" s="39" t="s">
        <v>1153</v>
      </c>
      <c r="C634" s="29" t="s">
        <v>1154</v>
      </c>
      <c r="D634" s="38" t="s">
        <v>1481</v>
      </c>
      <c r="E634" s="30">
        <v>2015</v>
      </c>
      <c r="F634" s="30">
        <v>2015</v>
      </c>
      <c r="G634" s="30" t="s">
        <v>1435</v>
      </c>
      <c r="H634" s="27">
        <v>3.1820334261838445E-2</v>
      </c>
      <c r="I634" s="27">
        <v>7.7569568245125361E-3</v>
      </c>
      <c r="J634" s="27">
        <v>0</v>
      </c>
      <c r="K634" s="27">
        <v>0.22847000000000003</v>
      </c>
      <c r="L634" s="27">
        <v>0</v>
      </c>
      <c r="M634" s="27">
        <v>0.21071000000000001</v>
      </c>
      <c r="N634" s="27">
        <v>1.7760000000000001E-2</v>
      </c>
      <c r="O634" s="27">
        <v>0</v>
      </c>
      <c r="P634" s="27">
        <v>5.5694950000000007E-2</v>
      </c>
      <c r="Q634" s="27">
        <v>0</v>
      </c>
      <c r="R634" s="27">
        <v>1.523765E-2</v>
      </c>
      <c r="S634" s="27">
        <v>4.0457299999999995E-2</v>
      </c>
      <c r="T634" s="27">
        <v>0</v>
      </c>
      <c r="U634" s="27">
        <v>3.1820334261838445E-2</v>
      </c>
      <c r="V634" s="27">
        <v>0.22847000000000003</v>
      </c>
      <c r="W634" s="27">
        <v>0</v>
      </c>
      <c r="X634" s="27">
        <f t="shared" si="54"/>
        <v>0</v>
      </c>
      <c r="Y634" s="27">
        <v>0</v>
      </c>
      <c r="Z634" s="27">
        <f t="shared" si="49"/>
        <v>0</v>
      </c>
      <c r="AA634" s="27">
        <v>0</v>
      </c>
      <c r="AB634" s="28">
        <v>0</v>
      </c>
      <c r="AC634" s="27">
        <f>0.2695946/1.18</f>
        <v>0.22847000000000003</v>
      </c>
      <c r="AD634" s="28">
        <f>0.065720041/1.18</f>
        <v>5.5694950000000007E-2</v>
      </c>
      <c r="AE634" s="27">
        <v>0</v>
      </c>
      <c r="AF634" s="28">
        <v>0</v>
      </c>
      <c r="AG634" s="27">
        <v>0</v>
      </c>
      <c r="AH634" s="28">
        <v>0</v>
      </c>
      <c r="AI634" s="27">
        <v>0</v>
      </c>
      <c r="AJ634" s="27">
        <v>0</v>
      </c>
      <c r="AK634" s="27">
        <v>0</v>
      </c>
      <c r="AL634" s="27">
        <v>0</v>
      </c>
      <c r="AM634" s="25">
        <f t="shared" si="52"/>
        <v>5.5694950000000007E-2</v>
      </c>
      <c r="AN634" s="27">
        <f t="shared" si="51"/>
        <v>5.5694950000000007E-2</v>
      </c>
      <c r="AO634" s="35" t="s">
        <v>1486</v>
      </c>
    </row>
    <row r="635" spans="1:41" ht="54" customHeight="1" x14ac:dyDescent="0.25">
      <c r="A635" s="8" t="s">
        <v>104</v>
      </c>
      <c r="B635" s="39" t="s">
        <v>1477</v>
      </c>
      <c r="C635" s="29" t="s">
        <v>1478</v>
      </c>
      <c r="D635" s="38" t="s">
        <v>1481</v>
      </c>
      <c r="E635" s="30">
        <v>2015</v>
      </c>
      <c r="F635" s="30" t="s">
        <v>1435</v>
      </c>
      <c r="G635" s="30" t="s">
        <v>1435</v>
      </c>
      <c r="H635" s="27">
        <v>0</v>
      </c>
      <c r="I635" s="27">
        <v>0.31630919220055714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2.2711000000000001</v>
      </c>
      <c r="Q635" s="27">
        <v>0</v>
      </c>
      <c r="R635" s="27">
        <v>0</v>
      </c>
      <c r="S635" s="27">
        <v>2.27109972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8">
        <v>0</v>
      </c>
      <c r="AC635" s="27">
        <v>0</v>
      </c>
      <c r="AD635" s="28">
        <f>2.679898/1.18</f>
        <v>2.2711000000000001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5">
        <f t="shared" si="52"/>
        <v>2.2711000000000001</v>
      </c>
      <c r="AN635" s="27">
        <f t="shared" si="51"/>
        <v>2.2711000000000001</v>
      </c>
      <c r="AO635" s="35" t="s">
        <v>1435</v>
      </c>
    </row>
    <row r="636" spans="1:41" ht="49.5" customHeight="1" x14ac:dyDescent="0.25">
      <c r="A636" s="8" t="s">
        <v>104</v>
      </c>
      <c r="B636" s="39" t="s">
        <v>1155</v>
      </c>
      <c r="C636" s="29" t="s">
        <v>1156</v>
      </c>
      <c r="D636" s="38" t="s">
        <v>1481</v>
      </c>
      <c r="E636" s="30">
        <v>2016</v>
      </c>
      <c r="F636" s="30">
        <v>2016</v>
      </c>
      <c r="G636" s="30" t="s">
        <v>1435</v>
      </c>
      <c r="H636" s="27">
        <v>1.9418384401114205E-2</v>
      </c>
      <c r="I636" s="27">
        <v>1.6729703342618384E-2</v>
      </c>
      <c r="J636" s="27">
        <v>0</v>
      </c>
      <c r="K636" s="27">
        <v>0.13942399999999999</v>
      </c>
      <c r="L636" s="27">
        <v>0</v>
      </c>
      <c r="M636" s="27">
        <v>1.7387E-2</v>
      </c>
      <c r="N636" s="27">
        <v>0.12203700000000001</v>
      </c>
      <c r="O636" s="27">
        <v>0</v>
      </c>
      <c r="P636" s="27">
        <v>0.12011927</v>
      </c>
      <c r="Q636" s="27">
        <v>0</v>
      </c>
      <c r="R636" s="27">
        <v>1.2763120000000001E-2</v>
      </c>
      <c r="S636" s="27">
        <v>0.10735615</v>
      </c>
      <c r="T636" s="27">
        <v>0</v>
      </c>
      <c r="U636" s="27">
        <v>1.9418384401114205E-2</v>
      </c>
      <c r="V636" s="27">
        <v>0.13942399999999999</v>
      </c>
      <c r="W636" s="27">
        <v>0</v>
      </c>
      <c r="X636" s="27">
        <f t="shared" si="54"/>
        <v>0</v>
      </c>
      <c r="Y636" s="27">
        <v>0</v>
      </c>
      <c r="Z636" s="27">
        <f t="shared" si="49"/>
        <v>0</v>
      </c>
      <c r="AA636" s="27">
        <v>0</v>
      </c>
      <c r="AB636" s="28">
        <v>0</v>
      </c>
      <c r="AC636" s="27">
        <v>0</v>
      </c>
      <c r="AD636" s="28">
        <v>0</v>
      </c>
      <c r="AE636" s="27">
        <f>0.16452032/1.18</f>
        <v>0.13942399999999999</v>
      </c>
      <c r="AF636" s="28">
        <f>0.1417407386/1.18</f>
        <v>0.12011927</v>
      </c>
      <c r="AG636" s="27">
        <v>0</v>
      </c>
      <c r="AH636" s="28">
        <v>0</v>
      </c>
      <c r="AI636" s="27">
        <v>0</v>
      </c>
      <c r="AJ636" s="27">
        <v>0</v>
      </c>
      <c r="AK636" s="27">
        <v>0</v>
      </c>
      <c r="AL636" s="27">
        <v>0</v>
      </c>
      <c r="AM636" s="25">
        <f t="shared" si="52"/>
        <v>0.12011927</v>
      </c>
      <c r="AN636" s="27">
        <f t="shared" si="51"/>
        <v>0.12011927</v>
      </c>
      <c r="AO636" s="35" t="s">
        <v>1486</v>
      </c>
    </row>
    <row r="637" spans="1:41" ht="48.75" customHeight="1" x14ac:dyDescent="0.25">
      <c r="A637" s="8" t="s">
        <v>104</v>
      </c>
      <c r="B637" s="39" t="s">
        <v>1157</v>
      </c>
      <c r="C637" s="29" t="s">
        <v>1158</v>
      </c>
      <c r="D637" s="38" t="s">
        <v>1482</v>
      </c>
      <c r="E637" s="30">
        <v>2017</v>
      </c>
      <c r="F637" s="30">
        <v>2017</v>
      </c>
      <c r="G637" s="30">
        <v>2017</v>
      </c>
      <c r="H637" s="27">
        <v>1.7218662952646242E-2</v>
      </c>
      <c r="I637" s="27">
        <v>1.1479108635097494E-2</v>
      </c>
      <c r="J637" s="27">
        <v>0</v>
      </c>
      <c r="K637" s="27">
        <v>0.12363000000000002</v>
      </c>
      <c r="L637" s="27">
        <v>0</v>
      </c>
      <c r="M637" s="27">
        <v>1.5450999999999999E-2</v>
      </c>
      <c r="N637" s="27">
        <v>0.108179</v>
      </c>
      <c r="O637" s="27">
        <v>0</v>
      </c>
      <c r="P637" s="27">
        <v>8.2420000000000007E-2</v>
      </c>
      <c r="Q637" s="27">
        <v>0</v>
      </c>
      <c r="R637" s="27">
        <v>1.03E-2</v>
      </c>
      <c r="S637" s="27">
        <v>7.2120000000000004E-2</v>
      </c>
      <c r="T637" s="27">
        <v>0</v>
      </c>
      <c r="U637" s="27">
        <v>1.7218662952646242E-2</v>
      </c>
      <c r="V637" s="27">
        <v>0.12363000000000002</v>
      </c>
      <c r="W637" s="27">
        <v>5.7395543175487469E-3</v>
      </c>
      <c r="X637" s="27">
        <f t="shared" si="54"/>
        <v>4.1210000000000004E-2</v>
      </c>
      <c r="Y637" s="27">
        <v>1.1479108635097494E-2</v>
      </c>
      <c r="Z637" s="27">
        <f t="shared" si="49"/>
        <v>8.2420000000000007E-2</v>
      </c>
      <c r="AA637" s="27">
        <v>0</v>
      </c>
      <c r="AB637" s="28">
        <v>0</v>
      </c>
      <c r="AC637" s="27">
        <v>0</v>
      </c>
      <c r="AD637" s="28">
        <v>0</v>
      </c>
      <c r="AE637" s="27">
        <v>0</v>
      </c>
      <c r="AF637" s="28">
        <v>0</v>
      </c>
      <c r="AG637" s="27">
        <f>0.0486278/1.18</f>
        <v>4.1210000000000004E-2</v>
      </c>
      <c r="AH637" s="28">
        <f>0.0972556/1.18</f>
        <v>8.2420000000000007E-2</v>
      </c>
      <c r="AI637" s="27">
        <v>0</v>
      </c>
      <c r="AJ637" s="27">
        <v>0</v>
      </c>
      <c r="AK637" s="27">
        <v>0</v>
      </c>
      <c r="AL637" s="27">
        <v>0</v>
      </c>
      <c r="AM637" s="25">
        <f t="shared" si="52"/>
        <v>4.1210000000000004E-2</v>
      </c>
      <c r="AN637" s="27">
        <f t="shared" si="51"/>
        <v>8.2420000000000007E-2</v>
      </c>
      <c r="AO637" s="35" t="s">
        <v>1490</v>
      </c>
    </row>
    <row r="638" spans="1:41" ht="49.5" customHeight="1" x14ac:dyDescent="0.25">
      <c r="A638" s="8" t="s">
        <v>104</v>
      </c>
      <c r="B638" s="39" t="s">
        <v>1153</v>
      </c>
      <c r="C638" s="29" t="s">
        <v>1159</v>
      </c>
      <c r="D638" s="38" t="s">
        <v>1482</v>
      </c>
      <c r="E638" s="30">
        <v>2018</v>
      </c>
      <c r="F638" s="30">
        <v>2018</v>
      </c>
      <c r="G638" s="30" t="s">
        <v>1435</v>
      </c>
      <c r="H638" s="27">
        <v>3.7116991643454042E-2</v>
      </c>
      <c r="I638" s="27">
        <v>0</v>
      </c>
      <c r="J638" s="27">
        <v>0</v>
      </c>
      <c r="K638" s="27">
        <v>0.26650000000000001</v>
      </c>
      <c r="L638" s="27">
        <v>0</v>
      </c>
      <c r="M638" s="27">
        <v>0.25423728813559321</v>
      </c>
      <c r="N638" s="27">
        <v>1.533E-2</v>
      </c>
      <c r="O638" s="27">
        <v>0</v>
      </c>
      <c r="P638" s="27">
        <v>0</v>
      </c>
      <c r="Q638" s="27">
        <v>0</v>
      </c>
      <c r="R638" s="27">
        <v>0</v>
      </c>
      <c r="S638" s="27">
        <v>0</v>
      </c>
      <c r="T638" s="27">
        <v>0</v>
      </c>
      <c r="U638" s="27">
        <v>3.7116991643454042E-2</v>
      </c>
      <c r="V638" s="27">
        <v>0.26650000000000001</v>
      </c>
      <c r="W638" s="27">
        <v>3.7116991643454042E-2</v>
      </c>
      <c r="X638" s="27">
        <f t="shared" si="54"/>
        <v>0.26650000000000001</v>
      </c>
      <c r="Y638" s="27">
        <v>0</v>
      </c>
      <c r="Z638" s="27">
        <f t="shared" si="49"/>
        <v>0</v>
      </c>
      <c r="AA638" s="27">
        <v>0</v>
      </c>
      <c r="AB638" s="28">
        <v>0</v>
      </c>
      <c r="AC638" s="27">
        <v>0</v>
      </c>
      <c r="AD638" s="28">
        <v>0</v>
      </c>
      <c r="AE638" s="27">
        <v>0</v>
      </c>
      <c r="AF638" s="28">
        <v>0</v>
      </c>
      <c r="AG638" s="27">
        <v>0</v>
      </c>
      <c r="AH638" s="28">
        <v>0</v>
      </c>
      <c r="AI638" s="27">
        <f>0.31447/1.18</f>
        <v>0.26650000000000001</v>
      </c>
      <c r="AJ638" s="27">
        <v>0</v>
      </c>
      <c r="AK638" s="27">
        <v>0</v>
      </c>
      <c r="AL638" s="27">
        <v>0</v>
      </c>
      <c r="AM638" s="25">
        <f t="shared" si="52"/>
        <v>0.26650000000000001</v>
      </c>
      <c r="AN638" s="27">
        <f t="shared" si="51"/>
        <v>0</v>
      </c>
      <c r="AO638" s="35" t="s">
        <v>1435</v>
      </c>
    </row>
    <row r="639" spans="1:41" ht="47.25" customHeight="1" x14ac:dyDescent="0.25">
      <c r="A639" s="59" t="s">
        <v>104</v>
      </c>
      <c r="B639" s="41" t="s">
        <v>1153</v>
      </c>
      <c r="C639" s="29" t="s">
        <v>1160</v>
      </c>
      <c r="D639" s="38" t="s">
        <v>1482</v>
      </c>
      <c r="E639" s="30">
        <v>2019</v>
      </c>
      <c r="F639" s="30">
        <v>2019</v>
      </c>
      <c r="G639" s="30" t="s">
        <v>1435</v>
      </c>
      <c r="H639" s="27">
        <v>3.8863509749303624E-2</v>
      </c>
      <c r="I639" s="27">
        <v>0</v>
      </c>
      <c r="J639" s="27">
        <v>0</v>
      </c>
      <c r="K639" s="27">
        <v>0.27904000000000001</v>
      </c>
      <c r="L639" s="27">
        <v>0</v>
      </c>
      <c r="M639" s="27">
        <v>0.27345920000000001</v>
      </c>
      <c r="N639" s="27">
        <v>5.5808000000000003E-3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3.8863509749303624E-2</v>
      </c>
      <c r="V639" s="27">
        <v>0.27904000000000001</v>
      </c>
      <c r="W639" s="27">
        <v>3.8863509749303624E-2</v>
      </c>
      <c r="X639" s="27">
        <f t="shared" si="54"/>
        <v>0.27904000000000001</v>
      </c>
      <c r="Y639" s="27">
        <v>0</v>
      </c>
      <c r="Z639" s="27">
        <f t="shared" si="49"/>
        <v>0</v>
      </c>
      <c r="AA639" s="27">
        <v>0</v>
      </c>
      <c r="AB639" s="28">
        <v>0</v>
      </c>
      <c r="AC639" s="27">
        <v>0</v>
      </c>
      <c r="AD639" s="28">
        <v>0</v>
      </c>
      <c r="AE639" s="27">
        <v>0</v>
      </c>
      <c r="AF639" s="28">
        <v>0</v>
      </c>
      <c r="AG639" s="27">
        <v>0</v>
      </c>
      <c r="AH639" s="28">
        <v>0</v>
      </c>
      <c r="AI639" s="27">
        <v>0</v>
      </c>
      <c r="AJ639" s="27">
        <v>0</v>
      </c>
      <c r="AK639" s="27">
        <f>0.3292672/1.18</f>
        <v>0.27904000000000001</v>
      </c>
      <c r="AL639" s="27">
        <v>0</v>
      </c>
      <c r="AM639" s="25">
        <f t="shared" si="52"/>
        <v>0.27904000000000001</v>
      </c>
      <c r="AN639" s="27">
        <f t="shared" si="51"/>
        <v>0</v>
      </c>
      <c r="AO639" s="35" t="s">
        <v>1435</v>
      </c>
    </row>
    <row r="640" spans="1:41" ht="31.5" customHeight="1" x14ac:dyDescent="0.25">
      <c r="A640" s="9" t="s">
        <v>106</v>
      </c>
      <c r="B640" s="10" t="s">
        <v>107</v>
      </c>
      <c r="C640" s="23" t="s">
        <v>48</v>
      </c>
      <c r="D640" s="36" t="s">
        <v>1435</v>
      </c>
      <c r="E640" s="24" t="s">
        <v>1435</v>
      </c>
      <c r="F640" s="24" t="s">
        <v>1435</v>
      </c>
      <c r="G640" s="24" t="s">
        <v>1435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f t="shared" si="54"/>
        <v>0</v>
      </c>
      <c r="Y640" s="25">
        <v>0</v>
      </c>
      <c r="Z640" s="25">
        <f t="shared" si="49"/>
        <v>0</v>
      </c>
      <c r="AA640" s="25">
        <v>0</v>
      </c>
      <c r="AB640" s="26">
        <v>0</v>
      </c>
      <c r="AC640" s="25">
        <v>0</v>
      </c>
      <c r="AD640" s="26">
        <v>0</v>
      </c>
      <c r="AE640" s="25">
        <v>0</v>
      </c>
      <c r="AF640" s="26">
        <v>0</v>
      </c>
      <c r="AG640" s="25">
        <v>0</v>
      </c>
      <c r="AH640" s="26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f t="shared" si="52"/>
        <v>0</v>
      </c>
      <c r="AN640" s="25">
        <f t="shared" si="51"/>
        <v>0</v>
      </c>
      <c r="AO640" s="3" t="s">
        <v>1435</v>
      </c>
    </row>
    <row r="641" spans="1:41" ht="31.5" customHeight="1" x14ac:dyDescent="0.25">
      <c r="A641" s="9" t="s">
        <v>108</v>
      </c>
      <c r="B641" s="10" t="s">
        <v>109</v>
      </c>
      <c r="C641" s="23" t="s">
        <v>48</v>
      </c>
      <c r="D641" s="36" t="s">
        <v>1435</v>
      </c>
      <c r="E641" s="24" t="s">
        <v>1435</v>
      </c>
      <c r="F641" s="24" t="s">
        <v>1435</v>
      </c>
      <c r="G641" s="24" t="s">
        <v>1435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f t="shared" si="54"/>
        <v>0</v>
      </c>
      <c r="Y641" s="25">
        <v>0</v>
      </c>
      <c r="Z641" s="25">
        <f t="shared" ref="Z641:Z704" si="55">AH641</f>
        <v>0</v>
      </c>
      <c r="AA641" s="25">
        <v>0</v>
      </c>
      <c r="AB641" s="33">
        <v>0</v>
      </c>
      <c r="AC641" s="25">
        <v>0</v>
      </c>
      <c r="AD641" s="33">
        <v>0</v>
      </c>
      <c r="AE641" s="25">
        <v>0</v>
      </c>
      <c r="AF641" s="33">
        <v>0</v>
      </c>
      <c r="AG641" s="25">
        <v>0</v>
      </c>
      <c r="AH641" s="26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f t="shared" si="52"/>
        <v>0</v>
      </c>
      <c r="AN641" s="25">
        <f t="shared" si="51"/>
        <v>0</v>
      </c>
      <c r="AO641" s="3" t="s">
        <v>1435</v>
      </c>
    </row>
    <row r="642" spans="1:41" ht="31.5" customHeight="1" x14ac:dyDescent="0.25">
      <c r="A642" s="9" t="s">
        <v>110</v>
      </c>
      <c r="B642" s="10" t="s">
        <v>111</v>
      </c>
      <c r="C642" s="23" t="s">
        <v>48</v>
      </c>
      <c r="D642" s="36" t="s">
        <v>1435</v>
      </c>
      <c r="E642" s="24" t="s">
        <v>1435</v>
      </c>
      <c r="F642" s="24" t="s">
        <v>1435</v>
      </c>
      <c r="G642" s="24" t="s">
        <v>1435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f t="shared" si="54"/>
        <v>0</v>
      </c>
      <c r="Y642" s="25">
        <v>0</v>
      </c>
      <c r="Z642" s="25">
        <f t="shared" si="55"/>
        <v>0</v>
      </c>
      <c r="AA642" s="25">
        <v>0</v>
      </c>
      <c r="AB642" s="33">
        <v>0</v>
      </c>
      <c r="AC642" s="25">
        <v>0</v>
      </c>
      <c r="AD642" s="33">
        <v>0</v>
      </c>
      <c r="AE642" s="25">
        <v>0</v>
      </c>
      <c r="AF642" s="33">
        <v>0</v>
      </c>
      <c r="AG642" s="25">
        <v>0</v>
      </c>
      <c r="AH642" s="26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f t="shared" si="52"/>
        <v>0</v>
      </c>
      <c r="AN642" s="25">
        <f t="shared" si="51"/>
        <v>0</v>
      </c>
      <c r="AO642" s="3" t="s">
        <v>1435</v>
      </c>
    </row>
    <row r="643" spans="1:41" ht="31.5" customHeight="1" x14ac:dyDescent="0.25">
      <c r="A643" s="9" t="s">
        <v>112</v>
      </c>
      <c r="B643" s="10" t="s">
        <v>113</v>
      </c>
      <c r="C643" s="23" t="s">
        <v>48</v>
      </c>
      <c r="D643" s="36" t="s">
        <v>1435</v>
      </c>
      <c r="E643" s="24" t="s">
        <v>1435</v>
      </c>
      <c r="F643" s="24" t="s">
        <v>1435</v>
      </c>
      <c r="G643" s="24" t="s">
        <v>1435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f t="shared" si="54"/>
        <v>0</v>
      </c>
      <c r="Y643" s="25">
        <v>0</v>
      </c>
      <c r="Z643" s="25">
        <f t="shared" si="55"/>
        <v>0</v>
      </c>
      <c r="AA643" s="25">
        <v>0</v>
      </c>
      <c r="AB643" s="33">
        <v>0</v>
      </c>
      <c r="AC643" s="25">
        <v>0</v>
      </c>
      <c r="AD643" s="33">
        <v>0</v>
      </c>
      <c r="AE643" s="25">
        <v>0</v>
      </c>
      <c r="AF643" s="33">
        <v>0</v>
      </c>
      <c r="AG643" s="25">
        <v>0</v>
      </c>
      <c r="AH643" s="26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f t="shared" si="52"/>
        <v>0</v>
      </c>
      <c r="AN643" s="25">
        <f t="shared" si="51"/>
        <v>0</v>
      </c>
      <c r="AO643" s="3" t="s">
        <v>1435</v>
      </c>
    </row>
    <row r="644" spans="1:41" ht="31.5" customHeight="1" x14ac:dyDescent="0.25">
      <c r="A644" s="9" t="s">
        <v>114</v>
      </c>
      <c r="B644" s="10" t="s">
        <v>115</v>
      </c>
      <c r="C644" s="23" t="s">
        <v>48</v>
      </c>
      <c r="D644" s="36" t="s">
        <v>1435</v>
      </c>
      <c r="E644" s="24" t="s">
        <v>1435</v>
      </c>
      <c r="F644" s="24" t="s">
        <v>1435</v>
      </c>
      <c r="G644" s="24" t="s">
        <v>1435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f t="shared" si="54"/>
        <v>0</v>
      </c>
      <c r="Y644" s="25">
        <v>0</v>
      </c>
      <c r="Z644" s="25">
        <f t="shared" si="55"/>
        <v>0</v>
      </c>
      <c r="AA644" s="25">
        <v>0</v>
      </c>
      <c r="AB644" s="33">
        <v>0</v>
      </c>
      <c r="AC644" s="25">
        <v>0</v>
      </c>
      <c r="AD644" s="33">
        <v>0</v>
      </c>
      <c r="AE644" s="25">
        <v>0</v>
      </c>
      <c r="AF644" s="33">
        <v>0</v>
      </c>
      <c r="AG644" s="25">
        <v>0</v>
      </c>
      <c r="AH644" s="26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f t="shared" si="52"/>
        <v>0</v>
      </c>
      <c r="AN644" s="25">
        <f t="shared" si="51"/>
        <v>0</v>
      </c>
      <c r="AO644" s="3" t="s">
        <v>1435</v>
      </c>
    </row>
    <row r="645" spans="1:41" ht="31.5" customHeight="1" x14ac:dyDescent="0.25">
      <c r="A645" s="9" t="s">
        <v>116</v>
      </c>
      <c r="B645" s="10" t="s">
        <v>117</v>
      </c>
      <c r="C645" s="23" t="s">
        <v>48</v>
      </c>
      <c r="D645" s="36" t="s">
        <v>1435</v>
      </c>
      <c r="E645" s="24" t="s">
        <v>1435</v>
      </c>
      <c r="F645" s="24" t="s">
        <v>1435</v>
      </c>
      <c r="G645" s="24" t="s">
        <v>1435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f t="shared" si="54"/>
        <v>0</v>
      </c>
      <c r="Y645" s="25">
        <v>0</v>
      </c>
      <c r="Z645" s="25">
        <f t="shared" si="55"/>
        <v>0</v>
      </c>
      <c r="AA645" s="25">
        <v>0</v>
      </c>
      <c r="AB645" s="33">
        <v>0</v>
      </c>
      <c r="AC645" s="25">
        <v>0</v>
      </c>
      <c r="AD645" s="33">
        <v>0</v>
      </c>
      <c r="AE645" s="25">
        <v>0</v>
      </c>
      <c r="AF645" s="33">
        <v>0</v>
      </c>
      <c r="AG645" s="25">
        <v>0</v>
      </c>
      <c r="AH645" s="26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f t="shared" si="52"/>
        <v>0</v>
      </c>
      <c r="AN645" s="25">
        <f t="shared" si="51"/>
        <v>0</v>
      </c>
      <c r="AO645" s="3" t="s">
        <v>1435</v>
      </c>
    </row>
    <row r="646" spans="1:41" ht="31.5" customHeight="1" x14ac:dyDescent="0.25">
      <c r="A646" s="9" t="s">
        <v>118</v>
      </c>
      <c r="B646" s="10" t="s">
        <v>119</v>
      </c>
      <c r="C646" s="23" t="s">
        <v>48</v>
      </c>
      <c r="D646" s="36" t="s">
        <v>1435</v>
      </c>
      <c r="E646" s="24" t="s">
        <v>1435</v>
      </c>
      <c r="F646" s="24" t="s">
        <v>1435</v>
      </c>
      <c r="G646" s="24" t="s">
        <v>1435</v>
      </c>
      <c r="H646" s="25">
        <f>H647</f>
        <v>0</v>
      </c>
      <c r="I646" s="25">
        <f>I647</f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0.129</v>
      </c>
      <c r="Q646" s="25">
        <v>0</v>
      </c>
      <c r="R646" s="25">
        <v>0.129</v>
      </c>
      <c r="S646" s="25">
        <v>0</v>
      </c>
      <c r="T646" s="25">
        <v>0</v>
      </c>
      <c r="U646" s="25">
        <f>U647</f>
        <v>0</v>
      </c>
      <c r="V646" s="25">
        <v>0</v>
      </c>
      <c r="W646" s="25">
        <f>W647</f>
        <v>0</v>
      </c>
      <c r="X646" s="25">
        <f t="shared" si="54"/>
        <v>0</v>
      </c>
      <c r="Y646" s="25">
        <f>Y647</f>
        <v>0</v>
      </c>
      <c r="Z646" s="25">
        <f t="shared" si="55"/>
        <v>0</v>
      </c>
      <c r="AA646" s="25">
        <v>0</v>
      </c>
      <c r="AB646" s="26">
        <v>0</v>
      </c>
      <c r="AC646" s="25">
        <v>0</v>
      </c>
      <c r="AD646" s="26">
        <f>AD647</f>
        <v>0.129</v>
      </c>
      <c r="AE646" s="25">
        <v>0</v>
      </c>
      <c r="AF646" s="26">
        <f>AF647</f>
        <v>0</v>
      </c>
      <c r="AG646" s="25">
        <v>0</v>
      </c>
      <c r="AH646" s="26">
        <v>0</v>
      </c>
      <c r="AI646" s="25">
        <f>AI647</f>
        <v>0</v>
      </c>
      <c r="AJ646" s="25">
        <v>0</v>
      </c>
      <c r="AK646" s="25">
        <f>AK647</f>
        <v>0</v>
      </c>
      <c r="AL646" s="25">
        <v>0</v>
      </c>
      <c r="AM646" s="25">
        <f t="shared" si="52"/>
        <v>0.129</v>
      </c>
      <c r="AN646" s="25">
        <f t="shared" si="51"/>
        <v>0.129</v>
      </c>
      <c r="AO646" s="3" t="s">
        <v>1435</v>
      </c>
    </row>
    <row r="647" spans="1:41" ht="31.5" customHeight="1" x14ac:dyDescent="0.25">
      <c r="A647" s="9" t="s">
        <v>120</v>
      </c>
      <c r="B647" s="10" t="s">
        <v>121</v>
      </c>
      <c r="C647" s="23" t="s">
        <v>48</v>
      </c>
      <c r="D647" s="36" t="s">
        <v>1435</v>
      </c>
      <c r="E647" s="24" t="s">
        <v>1435</v>
      </c>
      <c r="F647" s="24" t="s">
        <v>1435</v>
      </c>
      <c r="G647" s="24" t="s">
        <v>1435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0.129</v>
      </c>
      <c r="Q647" s="25">
        <v>0</v>
      </c>
      <c r="R647" s="25">
        <v>0.129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f t="shared" si="54"/>
        <v>0</v>
      </c>
      <c r="Y647" s="25">
        <v>0</v>
      </c>
      <c r="Z647" s="25">
        <f t="shared" si="55"/>
        <v>0</v>
      </c>
      <c r="AA647" s="25">
        <v>0</v>
      </c>
      <c r="AB647" s="33">
        <v>0</v>
      </c>
      <c r="AC647" s="25">
        <v>0</v>
      </c>
      <c r="AD647" s="33">
        <f>0.15222/1.18</f>
        <v>0.129</v>
      </c>
      <c r="AE647" s="25">
        <v>0</v>
      </c>
      <c r="AF647" s="33">
        <v>0</v>
      </c>
      <c r="AG647" s="25">
        <v>0</v>
      </c>
      <c r="AH647" s="26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f t="shared" si="52"/>
        <v>0.129</v>
      </c>
      <c r="AN647" s="25">
        <f t="shared" si="51"/>
        <v>0.129</v>
      </c>
      <c r="AO647" s="3" t="s">
        <v>1435</v>
      </c>
    </row>
    <row r="648" spans="1:41" ht="31.5" customHeight="1" x14ac:dyDescent="0.25">
      <c r="A648" s="9" t="s">
        <v>122</v>
      </c>
      <c r="B648" s="10" t="s">
        <v>123</v>
      </c>
      <c r="C648" s="23" t="s">
        <v>48</v>
      </c>
      <c r="D648" s="36" t="s">
        <v>1435</v>
      </c>
      <c r="E648" s="24" t="s">
        <v>1435</v>
      </c>
      <c r="F648" s="24" t="s">
        <v>1435</v>
      </c>
      <c r="G648" s="24" t="s">
        <v>1435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f t="shared" si="54"/>
        <v>0</v>
      </c>
      <c r="Y648" s="25">
        <v>0</v>
      </c>
      <c r="Z648" s="25">
        <f t="shared" si="55"/>
        <v>0</v>
      </c>
      <c r="AA648" s="25">
        <v>0</v>
      </c>
      <c r="AB648" s="33">
        <v>0</v>
      </c>
      <c r="AC648" s="25">
        <v>0</v>
      </c>
      <c r="AD648" s="33">
        <v>0</v>
      </c>
      <c r="AE648" s="25">
        <v>0</v>
      </c>
      <c r="AF648" s="33">
        <v>0</v>
      </c>
      <c r="AG648" s="25">
        <v>0</v>
      </c>
      <c r="AH648" s="26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f t="shared" si="52"/>
        <v>0</v>
      </c>
      <c r="AN648" s="25">
        <f t="shared" si="51"/>
        <v>0</v>
      </c>
      <c r="AO648" s="3" t="s">
        <v>1435</v>
      </c>
    </row>
    <row r="649" spans="1:41" ht="31.5" customHeight="1" x14ac:dyDescent="0.25">
      <c r="A649" s="9" t="s">
        <v>124</v>
      </c>
      <c r="B649" s="10" t="s">
        <v>125</v>
      </c>
      <c r="C649" s="23" t="s">
        <v>48</v>
      </c>
      <c r="D649" s="36" t="s">
        <v>1435</v>
      </c>
      <c r="E649" s="24" t="s">
        <v>1435</v>
      </c>
      <c r="F649" s="24" t="s">
        <v>1435</v>
      </c>
      <c r="G649" s="24" t="s">
        <v>1435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f t="shared" si="54"/>
        <v>0</v>
      </c>
      <c r="Y649" s="25">
        <v>0</v>
      </c>
      <c r="Z649" s="25">
        <f t="shared" si="55"/>
        <v>0</v>
      </c>
      <c r="AA649" s="25">
        <v>0</v>
      </c>
      <c r="AB649" s="33">
        <v>0</v>
      </c>
      <c r="AC649" s="25">
        <v>0</v>
      </c>
      <c r="AD649" s="33">
        <v>0</v>
      </c>
      <c r="AE649" s="25">
        <v>0</v>
      </c>
      <c r="AF649" s="33">
        <v>0</v>
      </c>
      <c r="AG649" s="25">
        <v>0</v>
      </c>
      <c r="AH649" s="26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f t="shared" si="52"/>
        <v>0</v>
      </c>
      <c r="AN649" s="25">
        <f t="shared" si="51"/>
        <v>0</v>
      </c>
      <c r="AO649" s="3" t="s">
        <v>1435</v>
      </c>
    </row>
    <row r="650" spans="1:41" ht="31.5" customHeight="1" x14ac:dyDescent="0.25">
      <c r="A650" s="9" t="s">
        <v>126</v>
      </c>
      <c r="B650" s="10" t="s">
        <v>127</v>
      </c>
      <c r="C650" s="23" t="s">
        <v>48</v>
      </c>
      <c r="D650" s="36" t="s">
        <v>1435</v>
      </c>
      <c r="E650" s="24" t="s">
        <v>1435</v>
      </c>
      <c r="F650" s="24" t="s">
        <v>1435</v>
      </c>
      <c r="G650" s="24" t="s">
        <v>1435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f t="shared" si="54"/>
        <v>0</v>
      </c>
      <c r="Y650" s="25">
        <v>0</v>
      </c>
      <c r="Z650" s="25">
        <f t="shared" si="55"/>
        <v>0</v>
      </c>
      <c r="AA650" s="25">
        <v>0</v>
      </c>
      <c r="AB650" s="33">
        <v>0</v>
      </c>
      <c r="AC650" s="25">
        <v>0</v>
      </c>
      <c r="AD650" s="33">
        <v>0</v>
      </c>
      <c r="AE650" s="25">
        <v>0</v>
      </c>
      <c r="AF650" s="33">
        <v>0</v>
      </c>
      <c r="AG650" s="25">
        <v>0</v>
      </c>
      <c r="AH650" s="26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f t="shared" si="52"/>
        <v>0</v>
      </c>
      <c r="AN650" s="25">
        <f t="shared" si="51"/>
        <v>0</v>
      </c>
      <c r="AO650" s="3" t="s">
        <v>1435</v>
      </c>
    </row>
    <row r="651" spans="1:41" ht="31.5" customHeight="1" x14ac:dyDescent="0.25">
      <c r="A651" s="9" t="s">
        <v>128</v>
      </c>
      <c r="B651" s="10" t="s">
        <v>129</v>
      </c>
      <c r="C651" s="23" t="s">
        <v>48</v>
      </c>
      <c r="D651" s="36" t="s">
        <v>1435</v>
      </c>
      <c r="E651" s="24" t="s">
        <v>1435</v>
      </c>
      <c r="F651" s="24" t="s">
        <v>1435</v>
      </c>
      <c r="G651" s="24" t="s">
        <v>1435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f t="shared" si="54"/>
        <v>0</v>
      </c>
      <c r="Y651" s="25">
        <v>0</v>
      </c>
      <c r="Z651" s="25">
        <f t="shared" si="55"/>
        <v>0</v>
      </c>
      <c r="AA651" s="25">
        <v>0</v>
      </c>
      <c r="AB651" s="33">
        <v>0</v>
      </c>
      <c r="AC651" s="25">
        <v>0</v>
      </c>
      <c r="AD651" s="33">
        <v>0</v>
      </c>
      <c r="AE651" s="25">
        <v>0</v>
      </c>
      <c r="AF651" s="33">
        <v>0</v>
      </c>
      <c r="AG651" s="25">
        <v>0</v>
      </c>
      <c r="AH651" s="26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f t="shared" si="52"/>
        <v>0</v>
      </c>
      <c r="AN651" s="25">
        <f t="shared" si="51"/>
        <v>0</v>
      </c>
      <c r="AO651" s="3" t="s">
        <v>1435</v>
      </c>
    </row>
    <row r="652" spans="1:41" ht="31.5" customHeight="1" x14ac:dyDescent="0.25">
      <c r="A652" s="9" t="s">
        <v>130</v>
      </c>
      <c r="B652" s="10" t="s">
        <v>131</v>
      </c>
      <c r="C652" s="23" t="s">
        <v>48</v>
      </c>
      <c r="D652" s="36" t="s">
        <v>1435</v>
      </c>
      <c r="E652" s="24" t="s">
        <v>1435</v>
      </c>
      <c r="F652" s="24" t="s">
        <v>1435</v>
      </c>
      <c r="G652" s="24" t="s">
        <v>1435</v>
      </c>
      <c r="H652" s="25">
        <f>SUM(H653:H765)</f>
        <v>97.291066536869849</v>
      </c>
      <c r="I652" s="25">
        <f>SUM(I653:I765)</f>
        <v>36.595227061528924</v>
      </c>
      <c r="J652" s="25">
        <v>0</v>
      </c>
      <c r="K652" s="25">
        <v>698.54985773472515</v>
      </c>
      <c r="L652" s="25">
        <v>17.732857023011473</v>
      </c>
      <c r="M652" s="25">
        <v>343.68463729927356</v>
      </c>
      <c r="N652" s="25">
        <v>337.13450539701216</v>
      </c>
      <c r="O652" s="25">
        <v>0</v>
      </c>
      <c r="P652" s="25">
        <v>262.75373030177752</v>
      </c>
      <c r="Q652" s="25">
        <v>6.523486589152542</v>
      </c>
      <c r="R652" s="25">
        <v>132.286779749</v>
      </c>
      <c r="S652" s="25">
        <v>123.94346375000001</v>
      </c>
      <c r="T652" s="25">
        <v>0</v>
      </c>
      <c r="U652" s="25">
        <f>SUM(U653:U765)</f>
        <v>97.291066536869849</v>
      </c>
      <c r="V652" s="25">
        <v>698.54985773472515</v>
      </c>
      <c r="W652" s="25">
        <f>SUM(W653:W765)</f>
        <v>54.786981916705749</v>
      </c>
      <c r="X652" s="25">
        <f t="shared" si="54"/>
        <v>393.3705301619475</v>
      </c>
      <c r="Y652" s="25">
        <f>SUM(Y653:Y765)</f>
        <v>15.74820996835342</v>
      </c>
      <c r="Z652" s="25">
        <f t="shared" si="55"/>
        <v>113.07214757277755</v>
      </c>
      <c r="AA652" s="25">
        <f>SUM(AA653:AA702)</f>
        <v>0</v>
      </c>
      <c r="AB652" s="26">
        <v>0</v>
      </c>
      <c r="AC652" s="25">
        <f>SUM(AC653:AC702)</f>
        <v>85.883987000000019</v>
      </c>
      <c r="AD652" s="26">
        <f>SUM(AD653:AD683)</f>
        <v>90.862884568999974</v>
      </c>
      <c r="AE652" s="25">
        <f>SUM(AE653:AE702)</f>
        <v>106.22319300000002</v>
      </c>
      <c r="AF652" s="26">
        <f>SUM(AF653:AF702)</f>
        <v>58.818698160000018</v>
      </c>
      <c r="AG652" s="25">
        <f>SUM(AG653:AG765)</f>
        <v>121.04572510194741</v>
      </c>
      <c r="AH652" s="26">
        <f>SUM(AH653:AH715)</f>
        <v>113.07214757277755</v>
      </c>
      <c r="AI652" s="25">
        <f>SUM(AI653:AI741)</f>
        <v>117.17517210000001</v>
      </c>
      <c r="AJ652" s="25">
        <v>0</v>
      </c>
      <c r="AK652" s="25">
        <f>SUM(AK653:AK765)</f>
        <v>155.14963296000008</v>
      </c>
      <c r="AL652" s="25">
        <v>0</v>
      </c>
      <c r="AM652" s="25">
        <f t="shared" si="52"/>
        <v>543.05211289094746</v>
      </c>
      <c r="AN652" s="25">
        <f t="shared" si="51"/>
        <v>262.75373030177752</v>
      </c>
      <c r="AO652" s="3" t="s">
        <v>1435</v>
      </c>
    </row>
    <row r="653" spans="1:41" ht="31.5" customHeight="1" x14ac:dyDescent="0.25">
      <c r="A653" s="9" t="s">
        <v>130</v>
      </c>
      <c r="B653" s="39" t="s">
        <v>1161</v>
      </c>
      <c r="C653" s="29" t="s">
        <v>1162</v>
      </c>
      <c r="D653" s="38" t="s">
        <v>1481</v>
      </c>
      <c r="E653" s="30">
        <v>2015</v>
      </c>
      <c r="F653" s="30">
        <v>2015</v>
      </c>
      <c r="G653" s="30" t="s">
        <v>1435</v>
      </c>
      <c r="H653" s="27">
        <v>0</v>
      </c>
      <c r="I653" s="27">
        <v>1.3712701949860726E-3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9.8457200000000005E-3</v>
      </c>
      <c r="Q653" s="27">
        <v>0</v>
      </c>
      <c r="R653" s="27">
        <v>3.6117800000000002E-3</v>
      </c>
      <c r="S653" s="27">
        <v>6.2339399999999994E-3</v>
      </c>
      <c r="T653" s="27">
        <v>0</v>
      </c>
      <c r="U653" s="27">
        <v>0</v>
      </c>
      <c r="V653" s="27">
        <v>0</v>
      </c>
      <c r="W653" s="27">
        <v>0</v>
      </c>
      <c r="X653" s="27">
        <f t="shared" si="54"/>
        <v>0</v>
      </c>
      <c r="Y653" s="27">
        <v>0</v>
      </c>
      <c r="Z653" s="27">
        <f t="shared" si="55"/>
        <v>0</v>
      </c>
      <c r="AA653" s="27">
        <v>0</v>
      </c>
      <c r="AB653" s="28">
        <v>0</v>
      </c>
      <c r="AC653" s="27">
        <v>0</v>
      </c>
      <c r="AD653" s="28">
        <f>0.0116179496/1.18</f>
        <v>9.8457200000000005E-3</v>
      </c>
      <c r="AE653" s="27">
        <v>0</v>
      </c>
      <c r="AF653" s="28">
        <v>0</v>
      </c>
      <c r="AG653" s="27">
        <v>0</v>
      </c>
      <c r="AH653" s="28">
        <v>0</v>
      </c>
      <c r="AI653" s="27">
        <v>0</v>
      </c>
      <c r="AJ653" s="27">
        <v>0</v>
      </c>
      <c r="AK653" s="27">
        <v>0</v>
      </c>
      <c r="AL653" s="27">
        <v>0</v>
      </c>
      <c r="AM653" s="27">
        <f t="shared" si="52"/>
        <v>9.8457200000000005E-3</v>
      </c>
      <c r="AN653" s="27">
        <f t="shared" si="51"/>
        <v>9.8457200000000005E-3</v>
      </c>
      <c r="AO653" s="35" t="s">
        <v>1488</v>
      </c>
    </row>
    <row r="654" spans="1:41" ht="31.5" customHeight="1" x14ac:dyDescent="0.25">
      <c r="A654" s="8" t="s">
        <v>130</v>
      </c>
      <c r="B654" s="39" t="s">
        <v>1163</v>
      </c>
      <c r="C654" s="29" t="s">
        <v>1164</v>
      </c>
      <c r="D654" s="38" t="s">
        <v>1482</v>
      </c>
      <c r="E654" s="30">
        <v>2015</v>
      </c>
      <c r="F654" s="30">
        <v>2016</v>
      </c>
      <c r="G654" s="30" t="s">
        <v>1435</v>
      </c>
      <c r="H654" s="27">
        <v>0.42195612813370481</v>
      </c>
      <c r="I654" s="27">
        <v>0.39374372980501399</v>
      </c>
      <c r="J654" s="27">
        <v>0</v>
      </c>
      <c r="K654" s="27">
        <v>3.0296450000000004</v>
      </c>
      <c r="L654" s="27">
        <v>8.3900000000000002E-2</v>
      </c>
      <c r="M654" s="27">
        <v>1.5656020000000002</v>
      </c>
      <c r="N654" s="27">
        <v>1.3801430000000001</v>
      </c>
      <c r="O654" s="27">
        <v>0</v>
      </c>
      <c r="P654" s="27">
        <v>2.8270799800000002</v>
      </c>
      <c r="Q654" s="27">
        <v>8.390032E-2</v>
      </c>
      <c r="R654" s="27">
        <v>0</v>
      </c>
      <c r="S654" s="27">
        <v>2.7431796599999996</v>
      </c>
      <c r="T654" s="27">
        <v>0</v>
      </c>
      <c r="U654" s="27">
        <v>0.42195612813370481</v>
      </c>
      <c r="V654" s="27">
        <v>3.0296450000000004</v>
      </c>
      <c r="W654" s="27">
        <v>0</v>
      </c>
      <c r="X654" s="27">
        <f t="shared" si="54"/>
        <v>0</v>
      </c>
      <c r="Y654" s="27">
        <v>0</v>
      </c>
      <c r="Z654" s="27">
        <f t="shared" si="55"/>
        <v>0</v>
      </c>
      <c r="AA654" s="27">
        <v>0</v>
      </c>
      <c r="AB654" s="28">
        <v>0</v>
      </c>
      <c r="AC654" s="27">
        <f>3.5749811/1.18</f>
        <v>3.0296450000000004</v>
      </c>
      <c r="AD654" s="28">
        <v>0</v>
      </c>
      <c r="AE654" s="27">
        <v>0</v>
      </c>
      <c r="AF654" s="28">
        <v>2.8270799800000002</v>
      </c>
      <c r="AG654" s="27">
        <v>0</v>
      </c>
      <c r="AH654" s="28">
        <v>0</v>
      </c>
      <c r="AI654" s="27">
        <v>0</v>
      </c>
      <c r="AJ654" s="27">
        <v>0</v>
      </c>
      <c r="AK654" s="27">
        <v>0</v>
      </c>
      <c r="AL654" s="27">
        <v>0</v>
      </c>
      <c r="AM654" s="27">
        <f t="shared" si="52"/>
        <v>2.8270799800000002</v>
      </c>
      <c r="AN654" s="27">
        <f t="shared" si="51"/>
        <v>2.8270799800000002</v>
      </c>
      <c r="AO654" s="35" t="s">
        <v>1486</v>
      </c>
    </row>
    <row r="655" spans="1:41" ht="31.5" customHeight="1" x14ac:dyDescent="0.25">
      <c r="A655" s="8" t="s">
        <v>130</v>
      </c>
      <c r="B655" s="39" t="s">
        <v>1165</v>
      </c>
      <c r="C655" s="29" t="s">
        <v>1166</v>
      </c>
      <c r="D655" s="38" t="s">
        <v>1481</v>
      </c>
      <c r="E655" s="30">
        <v>2015</v>
      </c>
      <c r="F655" s="30">
        <v>2015</v>
      </c>
      <c r="G655" s="30" t="s">
        <v>1435</v>
      </c>
      <c r="H655" s="27">
        <v>0.11096545961002786</v>
      </c>
      <c r="I655" s="27">
        <v>9.866535376044569E-2</v>
      </c>
      <c r="J655" s="27">
        <v>0</v>
      </c>
      <c r="K655" s="27">
        <v>0.796732</v>
      </c>
      <c r="L655" s="27">
        <v>2.8268000000000001E-2</v>
      </c>
      <c r="M655" s="27">
        <v>0.55680700000000005</v>
      </c>
      <c r="N655" s="27">
        <v>0.21165700000000001</v>
      </c>
      <c r="O655" s="27">
        <v>0</v>
      </c>
      <c r="P655" s="27">
        <v>0.70841724000000006</v>
      </c>
      <c r="Q655" s="27">
        <v>3.8926420000000003E-2</v>
      </c>
      <c r="R655" s="27">
        <v>0.66949082000000004</v>
      </c>
      <c r="S655" s="27">
        <v>0</v>
      </c>
      <c r="T655" s="27">
        <v>0</v>
      </c>
      <c r="U655" s="27">
        <v>0.11096545961002786</v>
      </c>
      <c r="V655" s="27">
        <v>0.796732</v>
      </c>
      <c r="W655" s="27">
        <v>0</v>
      </c>
      <c r="X655" s="27">
        <f t="shared" si="54"/>
        <v>0</v>
      </c>
      <c r="Y655" s="27">
        <v>0</v>
      </c>
      <c r="Z655" s="27">
        <f t="shared" si="55"/>
        <v>0</v>
      </c>
      <c r="AA655" s="27">
        <v>0</v>
      </c>
      <c r="AB655" s="28">
        <v>0</v>
      </c>
      <c r="AC655" s="27">
        <f>0.94014376/1.18</f>
        <v>0.796732</v>
      </c>
      <c r="AD655" s="28">
        <f>0.8241798972/1.18</f>
        <v>0.69845754000000004</v>
      </c>
      <c r="AE655" s="27">
        <v>0</v>
      </c>
      <c r="AF655" s="28">
        <f>0.011752446/1.18</f>
        <v>9.9597000000000002E-3</v>
      </c>
      <c r="AG655" s="27">
        <v>0</v>
      </c>
      <c r="AH655" s="28">
        <v>0</v>
      </c>
      <c r="AI655" s="27">
        <v>0</v>
      </c>
      <c r="AJ655" s="27">
        <v>0</v>
      </c>
      <c r="AK655" s="27">
        <v>0</v>
      </c>
      <c r="AL655" s="27">
        <v>0</v>
      </c>
      <c r="AM655" s="27">
        <f t="shared" si="52"/>
        <v>0.70841724000000006</v>
      </c>
      <c r="AN655" s="27">
        <f t="shared" si="51"/>
        <v>0.70841724000000006</v>
      </c>
      <c r="AO655" s="35" t="s">
        <v>1486</v>
      </c>
    </row>
    <row r="656" spans="1:41" ht="31.5" customHeight="1" x14ac:dyDescent="0.25">
      <c r="A656" s="8" t="s">
        <v>130</v>
      </c>
      <c r="B656" s="39" t="s">
        <v>1467</v>
      </c>
      <c r="C656" s="29" t="s">
        <v>1408</v>
      </c>
      <c r="D656" s="38" t="s">
        <v>1481</v>
      </c>
      <c r="E656" s="30">
        <v>2015</v>
      </c>
      <c r="F656" s="30">
        <v>2015</v>
      </c>
      <c r="G656" s="30" t="s">
        <v>1435</v>
      </c>
      <c r="H656" s="27">
        <v>0</v>
      </c>
      <c r="I656" s="27">
        <v>8.1702130919220056E-3</v>
      </c>
      <c r="J656" s="27">
        <v>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5.866213E-2</v>
      </c>
      <c r="Q656" s="27">
        <v>0</v>
      </c>
      <c r="R656" s="27">
        <v>5.866213E-2</v>
      </c>
      <c r="S656" s="27">
        <v>0</v>
      </c>
      <c r="T656" s="27">
        <v>0</v>
      </c>
      <c r="U656" s="27">
        <v>0</v>
      </c>
      <c r="V656" s="27">
        <v>0</v>
      </c>
      <c r="W656" s="27">
        <v>0</v>
      </c>
      <c r="X656" s="27">
        <f t="shared" si="54"/>
        <v>0</v>
      </c>
      <c r="Y656" s="27">
        <v>0</v>
      </c>
      <c r="Z656" s="27">
        <f t="shared" si="55"/>
        <v>0</v>
      </c>
      <c r="AA656" s="27">
        <v>0</v>
      </c>
      <c r="AB656" s="28">
        <v>0</v>
      </c>
      <c r="AC656" s="27">
        <v>0</v>
      </c>
      <c r="AD656" s="28">
        <f>0.0692213134/1.18</f>
        <v>5.866213E-2</v>
      </c>
      <c r="AE656" s="27">
        <v>0</v>
      </c>
      <c r="AF656" s="28">
        <v>0</v>
      </c>
      <c r="AG656" s="27">
        <v>0</v>
      </c>
      <c r="AH656" s="28">
        <v>0</v>
      </c>
      <c r="AI656" s="27">
        <v>0</v>
      </c>
      <c r="AJ656" s="27">
        <v>0</v>
      </c>
      <c r="AK656" s="27">
        <v>0</v>
      </c>
      <c r="AL656" s="27">
        <v>0</v>
      </c>
      <c r="AM656" s="27">
        <f t="shared" si="52"/>
        <v>5.866213E-2</v>
      </c>
      <c r="AN656" s="27">
        <f t="shared" si="51"/>
        <v>5.866213E-2</v>
      </c>
      <c r="AO656" s="35" t="s">
        <v>1489</v>
      </c>
    </row>
    <row r="657" spans="1:41" ht="31.5" customHeight="1" x14ac:dyDescent="0.25">
      <c r="A657" s="8" t="s">
        <v>130</v>
      </c>
      <c r="B657" s="39" t="s">
        <v>1167</v>
      </c>
      <c r="C657" s="29" t="s">
        <v>1168</v>
      </c>
      <c r="D657" s="38" t="s">
        <v>1481</v>
      </c>
      <c r="E657" s="30">
        <v>2015</v>
      </c>
      <c r="F657" s="30">
        <v>2015</v>
      </c>
      <c r="G657" s="30" t="s">
        <v>1435</v>
      </c>
      <c r="H657" s="27">
        <v>1.0286899721448468</v>
      </c>
      <c r="I657" s="27">
        <v>1.0505662019498609</v>
      </c>
      <c r="J657" s="27">
        <v>0</v>
      </c>
      <c r="K657" s="27">
        <v>7.3859940000000002</v>
      </c>
      <c r="L657" s="27">
        <v>0.17437</v>
      </c>
      <c r="M657" s="27">
        <v>0.18334</v>
      </c>
      <c r="N657" s="27">
        <v>7.0282839999999993</v>
      </c>
      <c r="O657" s="27">
        <v>0</v>
      </c>
      <c r="P657" s="27">
        <v>7.543065330000001</v>
      </c>
      <c r="Q657" s="27">
        <v>0</v>
      </c>
      <c r="R657" s="27">
        <v>1.0138370000000001E-2</v>
      </c>
      <c r="S657" s="27">
        <v>7.5329269600000002</v>
      </c>
      <c r="T657" s="27">
        <v>0</v>
      </c>
      <c r="U657" s="27">
        <v>1.0286899721448468</v>
      </c>
      <c r="V657" s="27">
        <v>7.3859940000000002</v>
      </c>
      <c r="W657" s="27">
        <v>0</v>
      </c>
      <c r="X657" s="27">
        <f t="shared" si="54"/>
        <v>0</v>
      </c>
      <c r="Y657" s="27">
        <v>0</v>
      </c>
      <c r="Z657" s="27">
        <f t="shared" si="55"/>
        <v>0</v>
      </c>
      <c r="AA657" s="27">
        <v>0</v>
      </c>
      <c r="AB657" s="28">
        <v>0</v>
      </c>
      <c r="AC657" s="27">
        <f>8.71547292/1.18</f>
        <v>7.3859940000000002</v>
      </c>
      <c r="AD657" s="28">
        <f>8.9008170894/1.18</f>
        <v>7.543065330000001</v>
      </c>
      <c r="AE657" s="27">
        <v>0</v>
      </c>
      <c r="AF657" s="28">
        <v>0</v>
      </c>
      <c r="AG657" s="27">
        <v>0</v>
      </c>
      <c r="AH657" s="28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f t="shared" si="52"/>
        <v>7.543065330000001</v>
      </c>
      <c r="AN657" s="27">
        <f t="shared" si="51"/>
        <v>7.543065330000001</v>
      </c>
      <c r="AO657" s="35" t="s">
        <v>1489</v>
      </c>
    </row>
    <row r="658" spans="1:41" ht="31.5" customHeight="1" x14ac:dyDescent="0.25">
      <c r="A658" s="8" t="s">
        <v>130</v>
      </c>
      <c r="B658" s="39" t="s">
        <v>1169</v>
      </c>
      <c r="C658" s="29" t="s">
        <v>1170</v>
      </c>
      <c r="D658" s="38" t="s">
        <v>1481</v>
      </c>
      <c r="E658" s="30">
        <v>2015</v>
      </c>
      <c r="F658" s="30">
        <v>2015</v>
      </c>
      <c r="G658" s="30" t="s">
        <v>1435</v>
      </c>
      <c r="H658" s="27">
        <v>4.6037289693593317</v>
      </c>
      <c r="I658" s="27">
        <v>5.1274538328690822</v>
      </c>
      <c r="J658" s="27">
        <v>0</v>
      </c>
      <c r="K658" s="27">
        <v>33.054774000000002</v>
      </c>
      <c r="L658" s="27">
        <v>0.43180000000000002</v>
      </c>
      <c r="M658" s="27">
        <v>15.318486999999999</v>
      </c>
      <c r="N658" s="27">
        <v>17.304487000000002</v>
      </c>
      <c r="O658" s="27">
        <v>0</v>
      </c>
      <c r="P658" s="27">
        <v>36.815118520000006</v>
      </c>
      <c r="Q658" s="27">
        <v>0.43179895000000001</v>
      </c>
      <c r="R658" s="27">
        <v>36.383319569999998</v>
      </c>
      <c r="S658" s="27">
        <v>0</v>
      </c>
      <c r="T658" s="27">
        <v>0</v>
      </c>
      <c r="U658" s="27">
        <v>4.6037289693593317</v>
      </c>
      <c r="V658" s="27">
        <v>33.054774000000002</v>
      </c>
      <c r="W658" s="27">
        <v>0</v>
      </c>
      <c r="X658" s="27">
        <f t="shared" si="54"/>
        <v>0</v>
      </c>
      <c r="Y658" s="27">
        <v>0</v>
      </c>
      <c r="Z658" s="27">
        <f t="shared" si="55"/>
        <v>0</v>
      </c>
      <c r="AA658" s="27">
        <v>0</v>
      </c>
      <c r="AB658" s="28">
        <v>0</v>
      </c>
      <c r="AC658" s="27">
        <f>39.00463332/1.18</f>
        <v>33.054774000000002</v>
      </c>
      <c r="AD658" s="28">
        <f>43.4418398536/1.18</f>
        <v>36.815118520000006</v>
      </c>
      <c r="AE658" s="27">
        <v>0</v>
      </c>
      <c r="AF658" s="28">
        <v>0</v>
      </c>
      <c r="AG658" s="27">
        <v>0</v>
      </c>
      <c r="AH658" s="28">
        <v>0</v>
      </c>
      <c r="AI658" s="27">
        <v>0</v>
      </c>
      <c r="AJ658" s="27">
        <v>0</v>
      </c>
      <c r="AK658" s="27">
        <v>0</v>
      </c>
      <c r="AL658" s="27">
        <v>0</v>
      </c>
      <c r="AM658" s="27">
        <f t="shared" si="52"/>
        <v>36.815118520000006</v>
      </c>
      <c r="AN658" s="27">
        <f t="shared" si="51"/>
        <v>36.815118520000006</v>
      </c>
      <c r="AO658" s="35" t="s">
        <v>1486</v>
      </c>
    </row>
    <row r="659" spans="1:41" ht="31.5" customHeight="1" x14ac:dyDescent="0.25">
      <c r="A659" s="8" t="s">
        <v>130</v>
      </c>
      <c r="B659" s="39" t="s">
        <v>1171</v>
      </c>
      <c r="C659" s="29" t="s">
        <v>1172</v>
      </c>
      <c r="D659" s="38" t="s">
        <v>1481</v>
      </c>
      <c r="E659" s="30">
        <v>2015</v>
      </c>
      <c r="F659" s="30">
        <v>2015</v>
      </c>
      <c r="G659" s="30" t="s">
        <v>1435</v>
      </c>
      <c r="H659" s="27">
        <v>2.8788857938718663E-2</v>
      </c>
      <c r="I659" s="27">
        <v>2.8788618384401114E-2</v>
      </c>
      <c r="J659" s="27">
        <v>0</v>
      </c>
      <c r="K659" s="27">
        <v>0.206704</v>
      </c>
      <c r="L659" s="27">
        <v>2.9960000000000001E-2</v>
      </c>
      <c r="M659" s="27">
        <v>8.7206999999999993E-2</v>
      </c>
      <c r="N659" s="27">
        <v>8.9537000000000005E-2</v>
      </c>
      <c r="O659" s="27">
        <v>0</v>
      </c>
      <c r="P659" s="27">
        <v>0.20670227999999999</v>
      </c>
      <c r="Q659" s="27">
        <v>2.9959800000000002E-2</v>
      </c>
      <c r="R659" s="27">
        <v>8.720696E-2</v>
      </c>
      <c r="S659" s="27">
        <v>8.9535520000000007E-2</v>
      </c>
      <c r="T659" s="27">
        <v>0</v>
      </c>
      <c r="U659" s="27">
        <v>2.8788857938718663E-2</v>
      </c>
      <c r="V659" s="27">
        <v>0.206704</v>
      </c>
      <c r="W659" s="27">
        <v>0</v>
      </c>
      <c r="X659" s="27">
        <f t="shared" si="54"/>
        <v>0</v>
      </c>
      <c r="Y659" s="27">
        <v>0</v>
      </c>
      <c r="Z659" s="27">
        <f t="shared" si="55"/>
        <v>0</v>
      </c>
      <c r="AA659" s="27">
        <v>0</v>
      </c>
      <c r="AB659" s="28">
        <v>0</v>
      </c>
      <c r="AC659" s="27">
        <f>0.24391072/1.18</f>
        <v>0.206704</v>
      </c>
      <c r="AD659" s="28">
        <f>0.2439086904/1.18</f>
        <v>0.20670227999999999</v>
      </c>
      <c r="AE659" s="27">
        <v>0</v>
      </c>
      <c r="AF659" s="28">
        <v>0</v>
      </c>
      <c r="AG659" s="27">
        <v>0</v>
      </c>
      <c r="AH659" s="28">
        <v>0</v>
      </c>
      <c r="AI659" s="27">
        <v>0</v>
      </c>
      <c r="AJ659" s="27">
        <v>0</v>
      </c>
      <c r="AK659" s="27">
        <v>0</v>
      </c>
      <c r="AL659" s="27">
        <v>0</v>
      </c>
      <c r="AM659" s="27">
        <f t="shared" si="52"/>
        <v>0.20670227999999999</v>
      </c>
      <c r="AN659" s="27">
        <f t="shared" ref="AN659:AN722" si="56">AD659+AF659+AH659</f>
        <v>0.20670227999999999</v>
      </c>
      <c r="AO659" s="35" t="s">
        <v>1486</v>
      </c>
    </row>
    <row r="660" spans="1:41" ht="31.5" customHeight="1" x14ac:dyDescent="0.25">
      <c r="A660" s="8" t="s">
        <v>130</v>
      </c>
      <c r="B660" s="39" t="s">
        <v>1173</v>
      </c>
      <c r="C660" s="29" t="s">
        <v>1174</v>
      </c>
      <c r="D660" s="38" t="s">
        <v>1481</v>
      </c>
      <c r="E660" s="30">
        <v>2015</v>
      </c>
      <c r="F660" s="30">
        <v>2015</v>
      </c>
      <c r="G660" s="30" t="s">
        <v>1435</v>
      </c>
      <c r="H660" s="27">
        <v>1.9950635097493037</v>
      </c>
      <c r="I660" s="27">
        <v>1.8790245919220059</v>
      </c>
      <c r="J660" s="27">
        <v>0</v>
      </c>
      <c r="K660" s="27">
        <v>14.324555999999999</v>
      </c>
      <c r="L660" s="27">
        <v>0.28931000000000001</v>
      </c>
      <c r="M660" s="27">
        <v>7.6496629999999994</v>
      </c>
      <c r="N660" s="27">
        <v>6.3855829999999996</v>
      </c>
      <c r="O660" s="27">
        <v>0</v>
      </c>
      <c r="P660" s="27">
        <v>13.491396570000001</v>
      </c>
      <c r="Q660" s="27">
        <v>0.28886149</v>
      </c>
      <c r="R660" s="27">
        <v>6.6593969699999995</v>
      </c>
      <c r="S660" s="27">
        <v>6.5431381100000001</v>
      </c>
      <c r="T660" s="27">
        <v>0</v>
      </c>
      <c r="U660" s="27">
        <v>1.9950635097493037</v>
      </c>
      <c r="V660" s="27">
        <v>14.324555999999999</v>
      </c>
      <c r="W660" s="27">
        <v>0</v>
      </c>
      <c r="X660" s="27">
        <f t="shared" si="54"/>
        <v>0</v>
      </c>
      <c r="Y660" s="27">
        <v>0</v>
      </c>
      <c r="Z660" s="27">
        <f t="shared" si="55"/>
        <v>0</v>
      </c>
      <c r="AA660" s="27">
        <v>0</v>
      </c>
      <c r="AB660" s="28">
        <v>0</v>
      </c>
      <c r="AC660" s="27">
        <f>16.90297608/1.18</f>
        <v>14.324555999999999</v>
      </c>
      <c r="AD660" s="28">
        <f>15.9198479526/1.18</f>
        <v>13.491396570000001</v>
      </c>
      <c r="AE660" s="27">
        <v>0</v>
      </c>
      <c r="AF660" s="28">
        <v>0</v>
      </c>
      <c r="AG660" s="27">
        <v>0</v>
      </c>
      <c r="AH660" s="28">
        <v>0</v>
      </c>
      <c r="AI660" s="27">
        <v>0</v>
      </c>
      <c r="AJ660" s="27">
        <v>0</v>
      </c>
      <c r="AK660" s="27">
        <v>0</v>
      </c>
      <c r="AL660" s="27">
        <v>0</v>
      </c>
      <c r="AM660" s="27">
        <f t="shared" si="52"/>
        <v>13.491396570000001</v>
      </c>
      <c r="AN660" s="27">
        <f t="shared" si="56"/>
        <v>13.491396570000001</v>
      </c>
      <c r="AO660" s="35" t="s">
        <v>1486</v>
      </c>
    </row>
    <row r="661" spans="1:41" ht="47.25" customHeight="1" x14ac:dyDescent="0.25">
      <c r="A661" s="8" t="s">
        <v>130</v>
      </c>
      <c r="B661" s="39" t="s">
        <v>1175</v>
      </c>
      <c r="C661" s="29" t="s">
        <v>1176</v>
      </c>
      <c r="D661" s="38" t="s">
        <v>1481</v>
      </c>
      <c r="E661" s="30">
        <v>2015</v>
      </c>
      <c r="F661" s="30">
        <v>2015</v>
      </c>
      <c r="G661" s="30" t="s">
        <v>1435</v>
      </c>
      <c r="H661" s="27">
        <v>0.15869289693593316</v>
      </c>
      <c r="I661" s="27">
        <v>0.32445137883008363</v>
      </c>
      <c r="J661" s="27">
        <v>0</v>
      </c>
      <c r="K661" s="27">
        <v>1.1394150000000001</v>
      </c>
      <c r="L661" s="27">
        <v>3.4853000000000002E-2</v>
      </c>
      <c r="M661" s="27">
        <v>0.26248200000000005</v>
      </c>
      <c r="N661" s="27">
        <v>0.84208000000000005</v>
      </c>
      <c r="O661" s="27">
        <v>0</v>
      </c>
      <c r="P661" s="27">
        <v>2.3295609000000002</v>
      </c>
      <c r="Q661" s="27">
        <v>3.3114449999999997E-2</v>
      </c>
      <c r="R661" s="27">
        <v>2.2964464499999999</v>
      </c>
      <c r="S661" s="27">
        <v>0</v>
      </c>
      <c r="T661" s="27">
        <v>0</v>
      </c>
      <c r="U661" s="27">
        <v>0.15869289693593316</v>
      </c>
      <c r="V661" s="27">
        <v>1.1394150000000001</v>
      </c>
      <c r="W661" s="27">
        <v>0</v>
      </c>
      <c r="X661" s="27">
        <f t="shared" si="54"/>
        <v>0</v>
      </c>
      <c r="Y661" s="27">
        <v>0</v>
      </c>
      <c r="Z661" s="27">
        <f t="shared" si="55"/>
        <v>0</v>
      </c>
      <c r="AA661" s="27">
        <v>0</v>
      </c>
      <c r="AB661" s="28">
        <v>0</v>
      </c>
      <c r="AC661" s="27">
        <f>1.3445097/1.18</f>
        <v>1.1394150000000001</v>
      </c>
      <c r="AD661" s="28">
        <v>0</v>
      </c>
      <c r="AE661" s="27">
        <v>0</v>
      </c>
      <c r="AF661" s="28">
        <v>2.3295609000000002</v>
      </c>
      <c r="AG661" s="27">
        <v>0</v>
      </c>
      <c r="AH661" s="28">
        <v>0</v>
      </c>
      <c r="AI661" s="27">
        <v>0</v>
      </c>
      <c r="AJ661" s="27">
        <v>0</v>
      </c>
      <c r="AK661" s="27">
        <v>0</v>
      </c>
      <c r="AL661" s="27">
        <v>0</v>
      </c>
      <c r="AM661" s="27">
        <f t="shared" si="52"/>
        <v>2.3295609000000002</v>
      </c>
      <c r="AN661" s="27">
        <f t="shared" si="56"/>
        <v>2.3295609000000002</v>
      </c>
      <c r="AO661" s="35" t="s">
        <v>1486</v>
      </c>
    </row>
    <row r="662" spans="1:41" ht="47.25" customHeight="1" x14ac:dyDescent="0.25">
      <c r="A662" s="8" t="s">
        <v>130</v>
      </c>
      <c r="B662" s="39" t="s">
        <v>1177</v>
      </c>
      <c r="C662" s="29" t="s">
        <v>1178</v>
      </c>
      <c r="D662" s="38" t="s">
        <v>1481</v>
      </c>
      <c r="E662" s="30">
        <v>2015</v>
      </c>
      <c r="F662" s="30">
        <v>2015</v>
      </c>
      <c r="G662" s="30" t="s">
        <v>1435</v>
      </c>
      <c r="H662" s="27">
        <v>0.13619080779944293</v>
      </c>
      <c r="I662" s="27">
        <v>0.13054183286908078</v>
      </c>
      <c r="J662" s="27">
        <v>0</v>
      </c>
      <c r="K662" s="27">
        <v>0.97785000000000011</v>
      </c>
      <c r="L662" s="27">
        <v>0</v>
      </c>
      <c r="M662" s="27">
        <v>0.22785</v>
      </c>
      <c r="N662" s="27">
        <v>0.75</v>
      </c>
      <c r="O662" s="27">
        <v>0</v>
      </c>
      <c r="P662" s="27">
        <v>0.93729035999999999</v>
      </c>
      <c r="Q662" s="27">
        <v>1.2693360000000001E-2</v>
      </c>
      <c r="R662" s="27">
        <v>0.22078344000000003</v>
      </c>
      <c r="S662" s="27">
        <v>0.70381356000000006</v>
      </c>
      <c r="T662" s="27">
        <v>0</v>
      </c>
      <c r="U662" s="27">
        <v>0.13619080779944293</v>
      </c>
      <c r="V662" s="27">
        <v>0.97785000000000011</v>
      </c>
      <c r="W662" s="27">
        <v>0</v>
      </c>
      <c r="X662" s="27">
        <f t="shared" si="54"/>
        <v>0</v>
      </c>
      <c r="Y662" s="27">
        <v>0</v>
      </c>
      <c r="Z662" s="27">
        <f t="shared" si="55"/>
        <v>0</v>
      </c>
      <c r="AA662" s="27">
        <v>0</v>
      </c>
      <c r="AB662" s="28">
        <v>0</v>
      </c>
      <c r="AC662" s="27">
        <f>1.153863/1.18</f>
        <v>0.97785000000000011</v>
      </c>
      <c r="AD662" s="28">
        <f>1.1060026248/1.18</f>
        <v>0.93729035999999999</v>
      </c>
      <c r="AE662" s="27">
        <v>0</v>
      </c>
      <c r="AF662" s="28">
        <v>0</v>
      </c>
      <c r="AG662" s="27">
        <v>0</v>
      </c>
      <c r="AH662" s="28">
        <v>0</v>
      </c>
      <c r="AI662" s="27">
        <v>0</v>
      </c>
      <c r="AJ662" s="27">
        <v>0</v>
      </c>
      <c r="AK662" s="27">
        <v>0</v>
      </c>
      <c r="AL662" s="27">
        <v>0</v>
      </c>
      <c r="AM662" s="27">
        <f t="shared" si="52"/>
        <v>0.93729035999999999</v>
      </c>
      <c r="AN662" s="27">
        <f t="shared" si="56"/>
        <v>0.93729035999999999</v>
      </c>
      <c r="AO662" s="35" t="s">
        <v>1490</v>
      </c>
    </row>
    <row r="663" spans="1:41" ht="47.25" customHeight="1" x14ac:dyDescent="0.25">
      <c r="A663" s="8" t="s">
        <v>130</v>
      </c>
      <c r="B663" s="39" t="s">
        <v>1179</v>
      </c>
      <c r="C663" s="29" t="s">
        <v>1180</v>
      </c>
      <c r="D663" s="38" t="s">
        <v>1481</v>
      </c>
      <c r="E663" s="30">
        <v>2015</v>
      </c>
      <c r="F663" s="30">
        <v>2015</v>
      </c>
      <c r="G663" s="30" t="s">
        <v>1435</v>
      </c>
      <c r="H663" s="27">
        <v>0.13550445682451254</v>
      </c>
      <c r="I663" s="27">
        <v>0.12639761559888579</v>
      </c>
      <c r="J663" s="27">
        <v>0</v>
      </c>
      <c r="K663" s="27">
        <v>0.97292200000000006</v>
      </c>
      <c r="L663" s="27">
        <v>7.9280000000000003E-2</v>
      </c>
      <c r="M663" s="27">
        <v>0.22456999999999999</v>
      </c>
      <c r="N663" s="27">
        <v>0.669072</v>
      </c>
      <c r="O663" s="27">
        <v>0</v>
      </c>
      <c r="P663" s="27">
        <v>0.90753488000000004</v>
      </c>
      <c r="Q663" s="27">
        <v>1.0389600000000001E-2</v>
      </c>
      <c r="R663" s="27">
        <v>0.22807748</v>
      </c>
      <c r="S663" s="27">
        <v>0.66906779999999999</v>
      </c>
      <c r="T663" s="27">
        <v>0</v>
      </c>
      <c r="U663" s="27">
        <v>0.13550445682451254</v>
      </c>
      <c r="V663" s="27">
        <v>0.97292200000000006</v>
      </c>
      <c r="W663" s="27">
        <v>0</v>
      </c>
      <c r="X663" s="27">
        <f t="shared" si="54"/>
        <v>0</v>
      </c>
      <c r="Y663" s="27">
        <v>0</v>
      </c>
      <c r="Z663" s="27">
        <f t="shared" si="55"/>
        <v>0</v>
      </c>
      <c r="AA663" s="27">
        <v>0</v>
      </c>
      <c r="AB663" s="28">
        <v>0</v>
      </c>
      <c r="AC663" s="27">
        <f>1.14804796/1.18</f>
        <v>0.97292200000000006</v>
      </c>
      <c r="AD663" s="28">
        <f>1.0708911584/1.18</f>
        <v>0.90753488000000004</v>
      </c>
      <c r="AE663" s="27">
        <v>0</v>
      </c>
      <c r="AF663" s="28">
        <v>0</v>
      </c>
      <c r="AG663" s="27">
        <v>0</v>
      </c>
      <c r="AH663" s="28">
        <v>0</v>
      </c>
      <c r="AI663" s="27">
        <v>0</v>
      </c>
      <c r="AJ663" s="27">
        <v>0</v>
      </c>
      <c r="AK663" s="27">
        <v>0</v>
      </c>
      <c r="AL663" s="27">
        <v>0</v>
      </c>
      <c r="AM663" s="27">
        <f t="shared" si="52"/>
        <v>0.90753488000000004</v>
      </c>
      <c r="AN663" s="27">
        <f t="shared" si="56"/>
        <v>0.90753488000000004</v>
      </c>
      <c r="AO663" s="35" t="s">
        <v>1490</v>
      </c>
    </row>
    <row r="664" spans="1:41" ht="47.25" customHeight="1" x14ac:dyDescent="0.25">
      <c r="A664" s="8" t="s">
        <v>130</v>
      </c>
      <c r="B664" s="39" t="s">
        <v>1181</v>
      </c>
      <c r="C664" s="29" t="s">
        <v>1182</v>
      </c>
      <c r="D664" s="38" t="s">
        <v>1481</v>
      </c>
      <c r="E664" s="30">
        <v>2015</v>
      </c>
      <c r="F664" s="30">
        <v>2015</v>
      </c>
      <c r="G664" s="30" t="s">
        <v>1435</v>
      </c>
      <c r="H664" s="27">
        <v>0.15858816155988859</v>
      </c>
      <c r="I664" s="27">
        <v>0.12908352924791089</v>
      </c>
      <c r="J664" s="27">
        <v>0</v>
      </c>
      <c r="K664" s="27">
        <v>1.138663</v>
      </c>
      <c r="L664" s="27">
        <v>0</v>
      </c>
      <c r="M664" s="27">
        <v>0.32658999999999999</v>
      </c>
      <c r="N664" s="27">
        <v>0.81207299999999993</v>
      </c>
      <c r="O664" s="27">
        <v>0</v>
      </c>
      <c r="P664" s="27">
        <v>0.92681974000000011</v>
      </c>
      <c r="Q664" s="27">
        <v>4.3533720000000005E-2</v>
      </c>
      <c r="R664" s="27">
        <v>0.22057416000000002</v>
      </c>
      <c r="S664" s="27">
        <v>0.66271186000000004</v>
      </c>
      <c r="T664" s="27">
        <v>0</v>
      </c>
      <c r="U664" s="27">
        <v>0.15858816155988859</v>
      </c>
      <c r="V664" s="27">
        <v>1.138663</v>
      </c>
      <c r="W664" s="27">
        <v>0</v>
      </c>
      <c r="X664" s="27">
        <f t="shared" si="54"/>
        <v>0</v>
      </c>
      <c r="Y664" s="27">
        <v>0</v>
      </c>
      <c r="Z664" s="27">
        <f t="shared" si="55"/>
        <v>0</v>
      </c>
      <c r="AA664" s="27">
        <v>0</v>
      </c>
      <c r="AB664" s="28">
        <v>0</v>
      </c>
      <c r="AC664" s="27">
        <f>1.34362234/1.18</f>
        <v>1.138663</v>
      </c>
      <c r="AD664" s="28">
        <f>1.0936472932/1.18</f>
        <v>0.92681974000000011</v>
      </c>
      <c r="AE664" s="27">
        <v>0</v>
      </c>
      <c r="AF664" s="28">
        <v>0</v>
      </c>
      <c r="AG664" s="27">
        <v>0</v>
      </c>
      <c r="AH664" s="28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f t="shared" si="52"/>
        <v>0.92681974000000011</v>
      </c>
      <c r="AN664" s="27">
        <f t="shared" si="56"/>
        <v>0.92681974000000011</v>
      </c>
      <c r="AO664" s="35" t="s">
        <v>1490</v>
      </c>
    </row>
    <row r="665" spans="1:41" ht="47.25" customHeight="1" x14ac:dyDescent="0.25">
      <c r="A665" s="8" t="s">
        <v>130</v>
      </c>
      <c r="B665" s="39" t="s">
        <v>1183</v>
      </c>
      <c r="C665" s="29" t="s">
        <v>1184</v>
      </c>
      <c r="D665" s="38" t="s">
        <v>1481</v>
      </c>
      <c r="E665" s="30">
        <v>2015</v>
      </c>
      <c r="F665" s="30">
        <v>2015</v>
      </c>
      <c r="G665" s="30" t="s">
        <v>1435</v>
      </c>
      <c r="H665" s="27">
        <v>0.14431559888579387</v>
      </c>
      <c r="I665" s="27">
        <v>0.12380740111420613</v>
      </c>
      <c r="J665" s="27">
        <v>0</v>
      </c>
      <c r="K665" s="27">
        <v>1.0361860000000001</v>
      </c>
      <c r="L665" s="27">
        <v>0.17721700000000001</v>
      </c>
      <c r="M665" s="27">
        <v>0.191167</v>
      </c>
      <c r="N665" s="27">
        <v>0.66780200000000001</v>
      </c>
      <c r="O665" s="27">
        <v>0</v>
      </c>
      <c r="P665" s="27">
        <v>0.88893714000000001</v>
      </c>
      <c r="Q665" s="27">
        <v>2.997E-2</v>
      </c>
      <c r="R665" s="27">
        <v>0.19117053000000001</v>
      </c>
      <c r="S665" s="27">
        <v>0.66779661000000001</v>
      </c>
      <c r="T665" s="27">
        <v>0</v>
      </c>
      <c r="U665" s="27">
        <v>0.14431559888579387</v>
      </c>
      <c r="V665" s="27">
        <v>1.0361860000000001</v>
      </c>
      <c r="W665" s="27">
        <v>0</v>
      </c>
      <c r="X665" s="27">
        <f t="shared" si="54"/>
        <v>0</v>
      </c>
      <c r="Y665" s="27">
        <v>0</v>
      </c>
      <c r="Z665" s="27">
        <f t="shared" si="55"/>
        <v>0</v>
      </c>
      <c r="AA665" s="27">
        <v>0</v>
      </c>
      <c r="AB665" s="28">
        <v>0</v>
      </c>
      <c r="AC665" s="27">
        <f>1.22269948/1.18</f>
        <v>1.0361860000000001</v>
      </c>
      <c r="AD665" s="28">
        <f>1.0489458252/1.18</f>
        <v>0.88893714000000001</v>
      </c>
      <c r="AE665" s="27">
        <v>0</v>
      </c>
      <c r="AF665" s="28">
        <v>0</v>
      </c>
      <c r="AG665" s="27">
        <v>0</v>
      </c>
      <c r="AH665" s="28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f t="shared" si="52"/>
        <v>0.88893714000000001</v>
      </c>
      <c r="AN665" s="27">
        <f t="shared" si="56"/>
        <v>0.88893714000000001</v>
      </c>
      <c r="AO665" s="35" t="s">
        <v>1490</v>
      </c>
    </row>
    <row r="666" spans="1:41" ht="47.25" customHeight="1" x14ac:dyDescent="0.25">
      <c r="A666" s="8" t="s">
        <v>130</v>
      </c>
      <c r="B666" s="39" t="s">
        <v>1185</v>
      </c>
      <c r="C666" s="29" t="s">
        <v>1186</v>
      </c>
      <c r="D666" s="38" t="s">
        <v>1481</v>
      </c>
      <c r="E666" s="30">
        <v>2015</v>
      </c>
      <c r="F666" s="30">
        <v>2015</v>
      </c>
      <c r="G666" s="30" t="s">
        <v>1435</v>
      </c>
      <c r="H666" s="27">
        <v>6.8168802228412262E-2</v>
      </c>
      <c r="I666" s="27">
        <v>5.8273717270194994E-2</v>
      </c>
      <c r="J666" s="27">
        <v>0</v>
      </c>
      <c r="K666" s="27">
        <v>0.48945200000000005</v>
      </c>
      <c r="L666" s="27">
        <v>0</v>
      </c>
      <c r="M666" s="27">
        <v>6.4399999999999999E-2</v>
      </c>
      <c r="N666" s="27">
        <v>0.42505200000000004</v>
      </c>
      <c r="O666" s="27">
        <v>0</v>
      </c>
      <c r="P666" s="27">
        <v>0.41840529000000004</v>
      </c>
      <c r="Q666" s="27">
        <v>0</v>
      </c>
      <c r="R666" s="27">
        <v>1.560872E-2</v>
      </c>
      <c r="S666" s="27">
        <v>0.40279656999999996</v>
      </c>
      <c r="T666" s="27">
        <v>0</v>
      </c>
      <c r="U666" s="27">
        <v>6.8168802228412262E-2</v>
      </c>
      <c r="V666" s="27">
        <v>0.48945200000000005</v>
      </c>
      <c r="W666" s="27">
        <v>0</v>
      </c>
      <c r="X666" s="27">
        <f t="shared" ref="X666:X697" si="57">AG666+AI666+AK666</f>
        <v>0</v>
      </c>
      <c r="Y666" s="27">
        <v>0</v>
      </c>
      <c r="Z666" s="27">
        <f t="shared" si="55"/>
        <v>0</v>
      </c>
      <c r="AA666" s="27">
        <v>0</v>
      </c>
      <c r="AB666" s="28">
        <v>0</v>
      </c>
      <c r="AC666" s="27">
        <f>0.57755336/1.18</f>
        <v>0.48945200000000005</v>
      </c>
      <c r="AD666" s="28">
        <f>0.4937182422/1.18</f>
        <v>0.41840529000000004</v>
      </c>
      <c r="AE666" s="27">
        <v>0</v>
      </c>
      <c r="AF666" s="28">
        <v>0</v>
      </c>
      <c r="AG666" s="27">
        <v>0</v>
      </c>
      <c r="AH666" s="28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f t="shared" si="52"/>
        <v>0.41840529000000004</v>
      </c>
      <c r="AN666" s="27">
        <f t="shared" si="56"/>
        <v>0.41840529000000004</v>
      </c>
      <c r="AO666" s="35" t="s">
        <v>1490</v>
      </c>
    </row>
    <row r="667" spans="1:41" ht="47.25" customHeight="1" x14ac:dyDescent="0.25">
      <c r="A667" s="8" t="s">
        <v>130</v>
      </c>
      <c r="B667" s="39" t="s">
        <v>1187</v>
      </c>
      <c r="C667" s="29" t="s">
        <v>1188</v>
      </c>
      <c r="D667" s="38" t="s">
        <v>1481</v>
      </c>
      <c r="E667" s="30">
        <v>2015</v>
      </c>
      <c r="F667" s="30">
        <v>2015</v>
      </c>
      <c r="G667" s="30" t="s">
        <v>1435</v>
      </c>
      <c r="H667" s="27">
        <v>7.8256267409470767E-2</v>
      </c>
      <c r="I667" s="27">
        <v>6.5165991643454046E-2</v>
      </c>
      <c r="J667" s="27">
        <v>0</v>
      </c>
      <c r="K667" s="27">
        <v>0.56188000000000005</v>
      </c>
      <c r="L667" s="27">
        <v>0</v>
      </c>
      <c r="M667" s="27">
        <v>6.8540000000000004E-2</v>
      </c>
      <c r="N667" s="27">
        <v>0.49334</v>
      </c>
      <c r="O667" s="27">
        <v>0</v>
      </c>
      <c r="P667" s="27">
        <v>0.46789182000000007</v>
      </c>
      <c r="Q667" s="27">
        <v>0</v>
      </c>
      <c r="R667" s="27">
        <v>2.9977759999999999E-2</v>
      </c>
      <c r="S667" s="27">
        <v>0.43791405999999999</v>
      </c>
      <c r="T667" s="27">
        <v>0</v>
      </c>
      <c r="U667" s="27">
        <v>7.8256267409470767E-2</v>
      </c>
      <c r="V667" s="27">
        <v>0.56188000000000005</v>
      </c>
      <c r="W667" s="27">
        <v>0</v>
      </c>
      <c r="X667" s="27">
        <f t="shared" si="57"/>
        <v>0</v>
      </c>
      <c r="Y667" s="27">
        <v>0</v>
      </c>
      <c r="Z667" s="27">
        <f t="shared" si="55"/>
        <v>0</v>
      </c>
      <c r="AA667" s="27">
        <v>0</v>
      </c>
      <c r="AB667" s="28">
        <v>0</v>
      </c>
      <c r="AC667" s="27">
        <f>0.6630184/1.18</f>
        <v>0.56188000000000005</v>
      </c>
      <c r="AD667" s="28">
        <f>0.5521123476/1.18</f>
        <v>0.46789182000000007</v>
      </c>
      <c r="AE667" s="27">
        <v>0</v>
      </c>
      <c r="AF667" s="28">
        <v>0</v>
      </c>
      <c r="AG667" s="27">
        <v>0</v>
      </c>
      <c r="AH667" s="28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f t="shared" ref="AM667:AM730" si="58">AD667+AF667+AG667+AI667+AK667</f>
        <v>0.46789182000000007</v>
      </c>
      <c r="AN667" s="27">
        <f t="shared" si="56"/>
        <v>0.46789182000000007</v>
      </c>
      <c r="AO667" s="35" t="s">
        <v>1490</v>
      </c>
    </row>
    <row r="668" spans="1:41" ht="47.25" customHeight="1" x14ac:dyDescent="0.25">
      <c r="A668" s="8" t="s">
        <v>130</v>
      </c>
      <c r="B668" s="39" t="s">
        <v>1189</v>
      </c>
      <c r="C668" s="29" t="s">
        <v>1190</v>
      </c>
      <c r="D668" s="38" t="s">
        <v>1481</v>
      </c>
      <c r="E668" s="30">
        <v>2015</v>
      </c>
      <c r="F668" s="30">
        <v>2015</v>
      </c>
      <c r="G668" s="30" t="s">
        <v>1435</v>
      </c>
      <c r="H668" s="27">
        <v>6.8168802228412262E-2</v>
      </c>
      <c r="I668" s="27">
        <v>5.886571587743733E-2</v>
      </c>
      <c r="J668" s="27">
        <v>0</v>
      </c>
      <c r="K668" s="27">
        <v>0.48945200000000005</v>
      </c>
      <c r="L668" s="27">
        <v>0</v>
      </c>
      <c r="M668" s="27">
        <v>6.4399999999999999E-2</v>
      </c>
      <c r="N668" s="27">
        <v>0.42505200000000004</v>
      </c>
      <c r="O668" s="27">
        <v>0</v>
      </c>
      <c r="P668" s="27">
        <v>0.42265584</v>
      </c>
      <c r="Q668" s="27">
        <v>0</v>
      </c>
      <c r="R668" s="27">
        <v>2.0814800000000001E-2</v>
      </c>
      <c r="S668" s="27">
        <v>0.40184104000000004</v>
      </c>
      <c r="T668" s="27">
        <v>0</v>
      </c>
      <c r="U668" s="27">
        <v>6.8168802228412262E-2</v>
      </c>
      <c r="V668" s="27">
        <v>0.48945200000000005</v>
      </c>
      <c r="W668" s="27">
        <v>0</v>
      </c>
      <c r="X668" s="27">
        <f t="shared" si="57"/>
        <v>0</v>
      </c>
      <c r="Y668" s="27">
        <v>0</v>
      </c>
      <c r="Z668" s="27">
        <f t="shared" si="55"/>
        <v>0</v>
      </c>
      <c r="AA668" s="27">
        <v>0</v>
      </c>
      <c r="AB668" s="28">
        <v>0</v>
      </c>
      <c r="AC668" s="27">
        <f>0.57755336/1.18</f>
        <v>0.48945200000000005</v>
      </c>
      <c r="AD668" s="28">
        <f>0.4987338912/1.18</f>
        <v>0.42265584</v>
      </c>
      <c r="AE668" s="27">
        <v>0</v>
      </c>
      <c r="AF668" s="28">
        <v>0</v>
      </c>
      <c r="AG668" s="27">
        <v>0</v>
      </c>
      <c r="AH668" s="28">
        <v>0</v>
      </c>
      <c r="AI668" s="27">
        <v>0</v>
      </c>
      <c r="AJ668" s="27">
        <v>0</v>
      </c>
      <c r="AK668" s="27">
        <v>0</v>
      </c>
      <c r="AL668" s="27">
        <v>0</v>
      </c>
      <c r="AM668" s="27">
        <f t="shared" si="58"/>
        <v>0.42265584</v>
      </c>
      <c r="AN668" s="27">
        <f t="shared" si="56"/>
        <v>0.42265584</v>
      </c>
      <c r="AO668" s="35" t="s">
        <v>1490</v>
      </c>
    </row>
    <row r="669" spans="1:41" ht="47.25" customHeight="1" x14ac:dyDescent="0.25">
      <c r="A669" s="8" t="s">
        <v>130</v>
      </c>
      <c r="B669" s="39" t="s">
        <v>1191</v>
      </c>
      <c r="C669" s="29" t="s">
        <v>1192</v>
      </c>
      <c r="D669" s="38" t="s">
        <v>1481</v>
      </c>
      <c r="E669" s="30">
        <v>2015</v>
      </c>
      <c r="F669" s="30">
        <v>2015</v>
      </c>
      <c r="G669" s="30" t="s">
        <v>1435</v>
      </c>
      <c r="H669" s="27">
        <v>6.8168523676880227E-2</v>
      </c>
      <c r="I669" s="27">
        <v>6.0687374651810587E-2</v>
      </c>
      <c r="J669" s="27">
        <v>0</v>
      </c>
      <c r="K669" s="27">
        <v>0.48945000000000005</v>
      </c>
      <c r="L669" s="27">
        <v>0</v>
      </c>
      <c r="M669" s="27">
        <v>6.4399999999999999E-2</v>
      </c>
      <c r="N669" s="27">
        <v>0.42505000000000004</v>
      </c>
      <c r="O669" s="27">
        <v>0</v>
      </c>
      <c r="P669" s="27">
        <v>0.43573535000000002</v>
      </c>
      <c r="Q669" s="27">
        <v>0</v>
      </c>
      <c r="R669" s="27">
        <v>1.2842639999999999E-2</v>
      </c>
      <c r="S669" s="27">
        <v>0.42289271</v>
      </c>
      <c r="T669" s="27">
        <v>0</v>
      </c>
      <c r="U669" s="27">
        <v>6.8168523676880227E-2</v>
      </c>
      <c r="V669" s="27">
        <v>0.48945000000000005</v>
      </c>
      <c r="W669" s="27">
        <v>0</v>
      </c>
      <c r="X669" s="27">
        <f t="shared" si="57"/>
        <v>0</v>
      </c>
      <c r="Y669" s="27">
        <v>0</v>
      </c>
      <c r="Z669" s="27">
        <f t="shared" si="55"/>
        <v>0</v>
      </c>
      <c r="AA669" s="27">
        <v>0</v>
      </c>
      <c r="AB669" s="28">
        <v>0</v>
      </c>
      <c r="AC669" s="27">
        <f>0.577551/1.18</f>
        <v>0.48945000000000005</v>
      </c>
      <c r="AD669" s="28">
        <f>0.514167713/1.18</f>
        <v>0.43573535000000002</v>
      </c>
      <c r="AE669" s="27">
        <v>0</v>
      </c>
      <c r="AF669" s="28">
        <v>0</v>
      </c>
      <c r="AG669" s="27">
        <v>0</v>
      </c>
      <c r="AH669" s="28">
        <v>0</v>
      </c>
      <c r="AI669" s="27">
        <v>0</v>
      </c>
      <c r="AJ669" s="27">
        <v>0</v>
      </c>
      <c r="AK669" s="27">
        <v>0</v>
      </c>
      <c r="AL669" s="27">
        <v>0</v>
      </c>
      <c r="AM669" s="27">
        <f t="shared" si="58"/>
        <v>0.43573535000000002</v>
      </c>
      <c r="AN669" s="27">
        <f t="shared" si="56"/>
        <v>0.43573535000000002</v>
      </c>
      <c r="AO669" s="35" t="s">
        <v>1490</v>
      </c>
    </row>
    <row r="670" spans="1:41" ht="47.25" customHeight="1" x14ac:dyDescent="0.25">
      <c r="A670" s="8" t="s">
        <v>130</v>
      </c>
      <c r="B670" s="39" t="s">
        <v>1193</v>
      </c>
      <c r="C670" s="29" t="s">
        <v>1194</v>
      </c>
      <c r="D670" s="38" t="s">
        <v>1481</v>
      </c>
      <c r="E670" s="30">
        <v>2015</v>
      </c>
      <c r="F670" s="30">
        <v>2015</v>
      </c>
      <c r="G670" s="30" t="s">
        <v>1435</v>
      </c>
      <c r="H670" s="27">
        <v>7.1245403899721463E-2</v>
      </c>
      <c r="I670" s="27">
        <v>6.1000825905292495E-2</v>
      </c>
      <c r="J670" s="27">
        <v>0</v>
      </c>
      <c r="K670" s="27">
        <v>0.51154200000000005</v>
      </c>
      <c r="L670" s="27">
        <v>0</v>
      </c>
      <c r="M670" s="27">
        <v>6.659000000000001E-2</v>
      </c>
      <c r="N670" s="27">
        <v>0.44495200000000001</v>
      </c>
      <c r="O670" s="27">
        <v>0</v>
      </c>
      <c r="P670" s="27">
        <v>0.43798593000000008</v>
      </c>
      <c r="Q670" s="27">
        <v>0</v>
      </c>
      <c r="R670" s="27">
        <v>1.8696879999999999E-2</v>
      </c>
      <c r="S670" s="27">
        <v>0.41928905</v>
      </c>
      <c r="T670" s="27">
        <v>0</v>
      </c>
      <c r="U670" s="27">
        <v>7.1245403899721463E-2</v>
      </c>
      <c r="V670" s="27">
        <v>0.51154200000000005</v>
      </c>
      <c r="W670" s="27">
        <v>0</v>
      </c>
      <c r="X670" s="27">
        <f t="shared" si="57"/>
        <v>0</v>
      </c>
      <c r="Y670" s="27">
        <v>0</v>
      </c>
      <c r="Z670" s="27">
        <f t="shared" si="55"/>
        <v>0</v>
      </c>
      <c r="AA670" s="27">
        <v>0</v>
      </c>
      <c r="AB670" s="28">
        <v>0</v>
      </c>
      <c r="AC670" s="27">
        <f>0.60361956/1.18</f>
        <v>0.51154200000000005</v>
      </c>
      <c r="AD670" s="28">
        <f>0.5168233974/1.18</f>
        <v>0.43798593000000008</v>
      </c>
      <c r="AE670" s="27">
        <v>0</v>
      </c>
      <c r="AF670" s="28">
        <v>0</v>
      </c>
      <c r="AG670" s="27">
        <v>0</v>
      </c>
      <c r="AH670" s="28">
        <v>0</v>
      </c>
      <c r="AI670" s="27">
        <v>0</v>
      </c>
      <c r="AJ670" s="27">
        <v>0</v>
      </c>
      <c r="AK670" s="27">
        <v>0</v>
      </c>
      <c r="AL670" s="27">
        <v>0</v>
      </c>
      <c r="AM670" s="27">
        <f t="shared" si="58"/>
        <v>0.43798593000000008</v>
      </c>
      <c r="AN670" s="27">
        <f t="shared" si="56"/>
        <v>0.43798593000000008</v>
      </c>
      <c r="AO670" s="35" t="s">
        <v>1490</v>
      </c>
    </row>
    <row r="671" spans="1:41" ht="47.25" customHeight="1" x14ac:dyDescent="0.25">
      <c r="A671" s="8" t="s">
        <v>130</v>
      </c>
      <c r="B671" s="39" t="s">
        <v>1195</v>
      </c>
      <c r="C671" s="29" t="s">
        <v>1196</v>
      </c>
      <c r="D671" s="38" t="s">
        <v>1481</v>
      </c>
      <c r="E671" s="30">
        <v>2015</v>
      </c>
      <c r="F671" s="30">
        <v>2015</v>
      </c>
      <c r="G671" s="30" t="s">
        <v>1435</v>
      </c>
      <c r="H671" s="27">
        <v>6.8168523676880227E-2</v>
      </c>
      <c r="I671" s="27">
        <v>5.0024398328690815E-2</v>
      </c>
      <c r="J671" s="27">
        <v>0</v>
      </c>
      <c r="K671" s="27">
        <v>0.48945000000000005</v>
      </c>
      <c r="L671" s="27">
        <v>0</v>
      </c>
      <c r="M671" s="27">
        <v>6.4399999999999999E-2</v>
      </c>
      <c r="N671" s="27">
        <v>0.42505000000000004</v>
      </c>
      <c r="O671" s="27">
        <v>0</v>
      </c>
      <c r="P671" s="27">
        <v>0.35917518000000004</v>
      </c>
      <c r="Q671" s="27">
        <v>0</v>
      </c>
      <c r="R671" s="27">
        <v>2.7852740000000001E-2</v>
      </c>
      <c r="S671" s="27">
        <v>0.33132244</v>
      </c>
      <c r="T671" s="27">
        <v>0</v>
      </c>
      <c r="U671" s="27">
        <v>6.8168523676880227E-2</v>
      </c>
      <c r="V671" s="27">
        <v>0.48945000000000005</v>
      </c>
      <c r="W671" s="27">
        <v>0</v>
      </c>
      <c r="X671" s="27">
        <f t="shared" si="57"/>
        <v>0</v>
      </c>
      <c r="Y671" s="27">
        <v>0</v>
      </c>
      <c r="Z671" s="27">
        <f t="shared" si="55"/>
        <v>0</v>
      </c>
      <c r="AA671" s="27">
        <v>0</v>
      </c>
      <c r="AB671" s="28">
        <v>0</v>
      </c>
      <c r="AC671" s="27">
        <f>0.577551/1.18</f>
        <v>0.48945000000000005</v>
      </c>
      <c r="AD671" s="28">
        <f>0.4238267124/1.18</f>
        <v>0.35917518000000004</v>
      </c>
      <c r="AE671" s="27">
        <v>0</v>
      </c>
      <c r="AF671" s="28">
        <v>0</v>
      </c>
      <c r="AG671" s="27">
        <v>0</v>
      </c>
      <c r="AH671" s="28">
        <v>0</v>
      </c>
      <c r="AI671" s="27">
        <v>0</v>
      </c>
      <c r="AJ671" s="27">
        <v>0</v>
      </c>
      <c r="AK671" s="27">
        <v>0</v>
      </c>
      <c r="AL671" s="27">
        <v>0</v>
      </c>
      <c r="AM671" s="27">
        <f t="shared" si="58"/>
        <v>0.35917518000000004</v>
      </c>
      <c r="AN671" s="27">
        <f t="shared" si="56"/>
        <v>0.35917518000000004</v>
      </c>
      <c r="AO671" s="35" t="s">
        <v>1490</v>
      </c>
    </row>
    <row r="672" spans="1:41" ht="47.25" customHeight="1" x14ac:dyDescent="0.25">
      <c r="A672" s="8" t="s">
        <v>130</v>
      </c>
      <c r="B672" s="39" t="s">
        <v>1197</v>
      </c>
      <c r="C672" s="29" t="s">
        <v>1198</v>
      </c>
      <c r="D672" s="38" t="s">
        <v>1481</v>
      </c>
      <c r="E672" s="30">
        <v>2015</v>
      </c>
      <c r="F672" s="30">
        <v>2015</v>
      </c>
      <c r="G672" s="30" t="s">
        <v>1435</v>
      </c>
      <c r="H672" s="27">
        <v>6.8168802228412262E-2</v>
      </c>
      <c r="I672" s="27">
        <v>6.0035144846796666E-2</v>
      </c>
      <c r="J672" s="27">
        <v>0</v>
      </c>
      <c r="K672" s="27">
        <v>0.48945200000000005</v>
      </c>
      <c r="L672" s="27">
        <v>0</v>
      </c>
      <c r="M672" s="27">
        <v>6.4399999999999999E-2</v>
      </c>
      <c r="N672" s="27">
        <v>0.42505200000000004</v>
      </c>
      <c r="O672" s="27">
        <v>0</v>
      </c>
      <c r="P672" s="27">
        <v>0.43105234000000003</v>
      </c>
      <c r="Q672" s="27">
        <v>0</v>
      </c>
      <c r="R672" s="27">
        <v>2.9089830000000001E-2</v>
      </c>
      <c r="S672" s="27">
        <v>0.40196251</v>
      </c>
      <c r="T672" s="27">
        <v>0</v>
      </c>
      <c r="U672" s="27">
        <v>6.8168802228412262E-2</v>
      </c>
      <c r="V672" s="27">
        <v>0.48945200000000005</v>
      </c>
      <c r="W672" s="27">
        <v>0</v>
      </c>
      <c r="X672" s="27">
        <f t="shared" si="57"/>
        <v>0</v>
      </c>
      <c r="Y672" s="27">
        <v>0</v>
      </c>
      <c r="Z672" s="27">
        <f t="shared" si="55"/>
        <v>0</v>
      </c>
      <c r="AA672" s="27">
        <v>0</v>
      </c>
      <c r="AB672" s="28">
        <v>0</v>
      </c>
      <c r="AC672" s="27">
        <f>0.57755336/1.18</f>
        <v>0.48945200000000005</v>
      </c>
      <c r="AD672" s="28">
        <f>0.5086417612/1.18</f>
        <v>0.43105234000000003</v>
      </c>
      <c r="AE672" s="27">
        <v>0</v>
      </c>
      <c r="AF672" s="28">
        <v>0</v>
      </c>
      <c r="AG672" s="27">
        <v>0</v>
      </c>
      <c r="AH672" s="28">
        <v>0</v>
      </c>
      <c r="AI672" s="27">
        <v>0</v>
      </c>
      <c r="AJ672" s="27">
        <v>0</v>
      </c>
      <c r="AK672" s="27">
        <v>0</v>
      </c>
      <c r="AL672" s="27">
        <v>0</v>
      </c>
      <c r="AM672" s="27">
        <f t="shared" si="58"/>
        <v>0.43105234000000003</v>
      </c>
      <c r="AN672" s="27">
        <f t="shared" si="56"/>
        <v>0.43105234000000003</v>
      </c>
      <c r="AO672" s="35" t="s">
        <v>1490</v>
      </c>
    </row>
    <row r="673" spans="1:41" ht="47.25" customHeight="1" x14ac:dyDescent="0.25">
      <c r="A673" s="8" t="s">
        <v>130</v>
      </c>
      <c r="B673" s="39" t="s">
        <v>1199</v>
      </c>
      <c r="C673" s="29" t="s">
        <v>1200</v>
      </c>
      <c r="D673" s="38" t="s">
        <v>1481</v>
      </c>
      <c r="E673" s="30">
        <v>2015</v>
      </c>
      <c r="F673" s="30">
        <v>2015</v>
      </c>
      <c r="G673" s="30" t="s">
        <v>1435</v>
      </c>
      <c r="H673" s="27">
        <v>0.77900013927576617</v>
      </c>
      <c r="I673" s="27">
        <v>1.7981774261838441</v>
      </c>
      <c r="J673" s="27">
        <v>0</v>
      </c>
      <c r="K673" s="27">
        <v>5.5932210000000007</v>
      </c>
      <c r="L673" s="27">
        <v>6.3868999999999995E-2</v>
      </c>
      <c r="M673" s="27">
        <v>2.729352</v>
      </c>
      <c r="N673" s="27">
        <v>2.8</v>
      </c>
      <c r="O673" s="27">
        <v>0</v>
      </c>
      <c r="P673" s="27">
        <v>12.91091392</v>
      </c>
      <c r="Q673" s="27">
        <v>0.1257016</v>
      </c>
      <c r="R673" s="27">
        <v>6.3812236000000002</v>
      </c>
      <c r="S673" s="27">
        <v>6.4039887200000001</v>
      </c>
      <c r="T673" s="27">
        <v>0</v>
      </c>
      <c r="U673" s="27">
        <v>0.77900013927576617</v>
      </c>
      <c r="V673" s="27">
        <v>5.5932210000000007</v>
      </c>
      <c r="W673" s="27">
        <v>0</v>
      </c>
      <c r="X673" s="27">
        <f t="shared" si="57"/>
        <v>0</v>
      </c>
      <c r="Y673" s="27">
        <v>0</v>
      </c>
      <c r="Z673" s="27">
        <f t="shared" si="55"/>
        <v>0</v>
      </c>
      <c r="AA673" s="27">
        <v>0</v>
      </c>
      <c r="AB673" s="28">
        <v>0</v>
      </c>
      <c r="AC673" s="27">
        <f>6.60000078/1.18</f>
        <v>5.5932210000000007</v>
      </c>
      <c r="AD673" s="28">
        <f>15.2348784256/1.18</f>
        <v>12.91091392</v>
      </c>
      <c r="AE673" s="27">
        <v>0</v>
      </c>
      <c r="AF673" s="28">
        <v>0</v>
      </c>
      <c r="AG673" s="27">
        <v>0</v>
      </c>
      <c r="AH673" s="28">
        <v>0</v>
      </c>
      <c r="AI673" s="27">
        <v>0</v>
      </c>
      <c r="AJ673" s="27">
        <v>0</v>
      </c>
      <c r="AK673" s="27">
        <v>0</v>
      </c>
      <c r="AL673" s="27">
        <v>0</v>
      </c>
      <c r="AM673" s="27">
        <f t="shared" si="58"/>
        <v>12.91091392</v>
      </c>
      <c r="AN673" s="27">
        <f t="shared" si="56"/>
        <v>12.91091392</v>
      </c>
      <c r="AO673" s="35" t="s">
        <v>1486</v>
      </c>
    </row>
    <row r="674" spans="1:41" ht="47.25" customHeight="1" x14ac:dyDescent="0.25">
      <c r="A674" s="8" t="s">
        <v>130</v>
      </c>
      <c r="B674" s="39" t="s">
        <v>1201</v>
      </c>
      <c r="C674" s="29" t="s">
        <v>1202</v>
      </c>
      <c r="D674" s="38" t="s">
        <v>1481</v>
      </c>
      <c r="E674" s="30">
        <v>2015</v>
      </c>
      <c r="F674" s="30">
        <v>2015</v>
      </c>
      <c r="G674" s="30" t="s">
        <v>1435</v>
      </c>
      <c r="H674" s="27">
        <v>0.10005362116991645</v>
      </c>
      <c r="I674" s="27">
        <v>0.10975879665738163</v>
      </c>
      <c r="J674" s="27">
        <v>0</v>
      </c>
      <c r="K674" s="27">
        <v>0.71838500000000005</v>
      </c>
      <c r="L674" s="27">
        <v>3.4877999999999999E-2</v>
      </c>
      <c r="M674" s="27">
        <v>0.51678999999999997</v>
      </c>
      <c r="N674" s="27">
        <v>0.166717</v>
      </c>
      <c r="O674" s="27">
        <v>0</v>
      </c>
      <c r="P674" s="27">
        <v>0.78806816000000002</v>
      </c>
      <c r="Q674" s="27">
        <v>3.3302990000000005E-2</v>
      </c>
      <c r="R674" s="27">
        <v>0.59504061999999991</v>
      </c>
      <c r="S674" s="27">
        <v>0.15972454999999999</v>
      </c>
      <c r="T674" s="27">
        <v>0</v>
      </c>
      <c r="U674" s="27">
        <v>0.10005362116991645</v>
      </c>
      <c r="V674" s="27">
        <v>0.71838500000000005</v>
      </c>
      <c r="W674" s="27">
        <v>0</v>
      </c>
      <c r="X674" s="27">
        <f t="shared" si="57"/>
        <v>0</v>
      </c>
      <c r="Y674" s="27">
        <v>0</v>
      </c>
      <c r="Z674" s="27">
        <f t="shared" si="55"/>
        <v>0</v>
      </c>
      <c r="AA674" s="27">
        <v>0</v>
      </c>
      <c r="AB674" s="28">
        <v>0</v>
      </c>
      <c r="AC674" s="27">
        <f>0.8476943/1.18</f>
        <v>0.71838500000000005</v>
      </c>
      <c r="AD674" s="28">
        <f>0.9122314382/1.18</f>
        <v>0.77307749000000003</v>
      </c>
      <c r="AE674" s="27">
        <v>0</v>
      </c>
      <c r="AF674" s="28">
        <f>0.0176889906/1.18</f>
        <v>1.4990669999999999E-2</v>
      </c>
      <c r="AG674" s="27">
        <v>0</v>
      </c>
      <c r="AH674" s="28">
        <v>0</v>
      </c>
      <c r="AI674" s="27">
        <v>0</v>
      </c>
      <c r="AJ674" s="27">
        <v>0</v>
      </c>
      <c r="AK674" s="27">
        <v>0</v>
      </c>
      <c r="AL674" s="27">
        <v>0</v>
      </c>
      <c r="AM674" s="27">
        <f t="shared" si="58"/>
        <v>0.78806816000000002</v>
      </c>
      <c r="AN674" s="27">
        <f t="shared" si="56"/>
        <v>0.78806816000000002</v>
      </c>
      <c r="AO674" s="35" t="s">
        <v>1486</v>
      </c>
    </row>
    <row r="675" spans="1:41" ht="47.25" customHeight="1" x14ac:dyDescent="0.25">
      <c r="A675" s="8" t="s">
        <v>130</v>
      </c>
      <c r="B675" s="39" t="s">
        <v>1203</v>
      </c>
      <c r="C675" s="29" t="s">
        <v>1204</v>
      </c>
      <c r="D675" s="38" t="s">
        <v>1481</v>
      </c>
      <c r="E675" s="30">
        <v>2015</v>
      </c>
      <c r="F675" s="30">
        <v>2015</v>
      </c>
      <c r="G675" s="30" t="s">
        <v>1435</v>
      </c>
      <c r="H675" s="27">
        <v>0.12384693593314763</v>
      </c>
      <c r="I675" s="27">
        <v>0.12157312952646242</v>
      </c>
      <c r="J675" s="27">
        <v>0</v>
      </c>
      <c r="K675" s="27">
        <v>0.88922099999999993</v>
      </c>
      <c r="L675" s="27">
        <v>3.0256000000000002E-2</v>
      </c>
      <c r="M675" s="27">
        <v>0.64710199999999996</v>
      </c>
      <c r="N675" s="27">
        <v>0.211863</v>
      </c>
      <c r="O675" s="27">
        <v>0</v>
      </c>
      <c r="P675" s="27">
        <v>0.87289507000000011</v>
      </c>
      <c r="Q675" s="27">
        <v>3.025775E-2</v>
      </c>
      <c r="R675" s="27">
        <v>0.64436711999999996</v>
      </c>
      <c r="S675" s="27">
        <v>0.19827019999999998</v>
      </c>
      <c r="T675" s="27">
        <v>0</v>
      </c>
      <c r="U675" s="27">
        <v>0.12384693593314763</v>
      </c>
      <c r="V675" s="27">
        <v>0.88922099999999993</v>
      </c>
      <c r="W675" s="27">
        <v>0</v>
      </c>
      <c r="X675" s="27">
        <f t="shared" si="57"/>
        <v>0</v>
      </c>
      <c r="Y675" s="27">
        <v>0</v>
      </c>
      <c r="Z675" s="27">
        <f t="shared" si="55"/>
        <v>0</v>
      </c>
      <c r="AA675" s="27">
        <v>0</v>
      </c>
      <c r="AB675" s="28">
        <v>0</v>
      </c>
      <c r="AC675" s="27">
        <f>1.04928078/1.18</f>
        <v>0.88922099999999993</v>
      </c>
      <c r="AD675" s="28">
        <f>1.0300161826/1.18</f>
        <v>0.87289507000000011</v>
      </c>
      <c r="AE675" s="27">
        <v>0</v>
      </c>
      <c r="AF675" s="28">
        <v>0</v>
      </c>
      <c r="AG675" s="27">
        <v>0</v>
      </c>
      <c r="AH675" s="28">
        <v>0</v>
      </c>
      <c r="AI675" s="27">
        <v>0</v>
      </c>
      <c r="AJ675" s="27">
        <v>0</v>
      </c>
      <c r="AK675" s="27">
        <v>0</v>
      </c>
      <c r="AL675" s="27">
        <v>0</v>
      </c>
      <c r="AM675" s="27">
        <f t="shared" si="58"/>
        <v>0.87289507000000011</v>
      </c>
      <c r="AN675" s="27">
        <f t="shared" si="56"/>
        <v>0.87289507000000011</v>
      </c>
      <c r="AO675" s="35" t="s">
        <v>1486</v>
      </c>
    </row>
    <row r="676" spans="1:41" ht="47.25" customHeight="1" x14ac:dyDescent="0.25">
      <c r="A676" s="8" t="s">
        <v>130</v>
      </c>
      <c r="B676" s="39" t="s">
        <v>1205</v>
      </c>
      <c r="C676" s="29" t="s">
        <v>1206</v>
      </c>
      <c r="D676" s="38" t="s">
        <v>1481</v>
      </c>
      <c r="E676" s="30">
        <v>2015</v>
      </c>
      <c r="F676" s="30">
        <v>2015</v>
      </c>
      <c r="G676" s="30" t="s">
        <v>1435</v>
      </c>
      <c r="H676" s="27">
        <v>0.16648746518105853</v>
      </c>
      <c r="I676" s="27">
        <v>0.17390856128133708</v>
      </c>
      <c r="J676" s="27">
        <v>0</v>
      </c>
      <c r="K676" s="27">
        <v>1.1953800000000001</v>
      </c>
      <c r="L676" s="27">
        <v>0</v>
      </c>
      <c r="M676" s="27">
        <v>0.72554999999999992</v>
      </c>
      <c r="N676" s="27">
        <v>0.46982999999999997</v>
      </c>
      <c r="O676" s="27">
        <v>0</v>
      </c>
      <c r="P676" s="27">
        <v>1.2486634700000001</v>
      </c>
      <c r="Q676" s="27">
        <v>3.8926330000000002E-2</v>
      </c>
      <c r="R676" s="27">
        <v>0.73652072000000002</v>
      </c>
      <c r="S676" s="27">
        <v>0.47321642000000003</v>
      </c>
      <c r="T676" s="27">
        <v>0</v>
      </c>
      <c r="U676" s="27">
        <v>0.16648746518105853</v>
      </c>
      <c r="V676" s="27">
        <v>1.1953800000000001</v>
      </c>
      <c r="W676" s="27">
        <v>0</v>
      </c>
      <c r="X676" s="27">
        <f t="shared" si="57"/>
        <v>0</v>
      </c>
      <c r="Y676" s="27">
        <v>0</v>
      </c>
      <c r="Z676" s="27">
        <f t="shared" si="55"/>
        <v>0</v>
      </c>
      <c r="AA676" s="27">
        <v>0</v>
      </c>
      <c r="AB676" s="28">
        <v>0</v>
      </c>
      <c r="AC676" s="27">
        <f>1.4105484/1.18</f>
        <v>1.1953800000000001</v>
      </c>
      <c r="AD676" s="28">
        <f>1.4734228946/1.18</f>
        <v>1.2486634700000001</v>
      </c>
      <c r="AE676" s="27">
        <v>0</v>
      </c>
      <c r="AF676" s="28">
        <v>0</v>
      </c>
      <c r="AG676" s="27">
        <v>0</v>
      </c>
      <c r="AH676" s="28">
        <v>0</v>
      </c>
      <c r="AI676" s="27">
        <v>0</v>
      </c>
      <c r="AJ676" s="27">
        <v>0</v>
      </c>
      <c r="AK676" s="27">
        <v>0</v>
      </c>
      <c r="AL676" s="27">
        <v>0</v>
      </c>
      <c r="AM676" s="27">
        <f t="shared" si="58"/>
        <v>1.2486634700000001</v>
      </c>
      <c r="AN676" s="27">
        <f t="shared" si="56"/>
        <v>1.2486634700000001</v>
      </c>
      <c r="AO676" s="35" t="s">
        <v>1486</v>
      </c>
    </row>
    <row r="677" spans="1:41" ht="47.25" customHeight="1" x14ac:dyDescent="0.25">
      <c r="A677" s="8" t="s">
        <v>130</v>
      </c>
      <c r="B677" s="39" t="s">
        <v>1207</v>
      </c>
      <c r="C677" s="29" t="s">
        <v>1208</v>
      </c>
      <c r="D677" s="38" t="s">
        <v>1481</v>
      </c>
      <c r="E677" s="30">
        <v>2015</v>
      </c>
      <c r="F677" s="30">
        <v>2015</v>
      </c>
      <c r="G677" s="30" t="s">
        <v>1435</v>
      </c>
      <c r="H677" s="27">
        <v>0.11351587743732591</v>
      </c>
      <c r="I677" s="27">
        <v>0.11438472284122564</v>
      </c>
      <c r="J677" s="27">
        <v>0</v>
      </c>
      <c r="K677" s="27">
        <v>0.81504399999999999</v>
      </c>
      <c r="L677" s="27">
        <v>0</v>
      </c>
      <c r="M677" s="27">
        <v>0.63843700000000003</v>
      </c>
      <c r="N677" s="27">
        <v>0.17660699999999999</v>
      </c>
      <c r="O677" s="27">
        <v>0</v>
      </c>
      <c r="P677" s="27">
        <v>0.82128231000000007</v>
      </c>
      <c r="Q677" s="27">
        <v>3.3002740000000003E-2</v>
      </c>
      <c r="R677" s="27">
        <v>0.63131218</v>
      </c>
      <c r="S677" s="27">
        <v>0.15696738999999998</v>
      </c>
      <c r="T677" s="27">
        <v>0</v>
      </c>
      <c r="U677" s="27">
        <v>0.11351587743732591</v>
      </c>
      <c r="V677" s="27">
        <v>0.81504399999999999</v>
      </c>
      <c r="W677" s="27">
        <v>0</v>
      </c>
      <c r="X677" s="27">
        <f t="shared" si="57"/>
        <v>0</v>
      </c>
      <c r="Y677" s="27">
        <v>0</v>
      </c>
      <c r="Z677" s="27">
        <f t="shared" si="55"/>
        <v>0</v>
      </c>
      <c r="AA677" s="27">
        <v>0</v>
      </c>
      <c r="AB677" s="28">
        <v>0</v>
      </c>
      <c r="AC677" s="27">
        <f>0.96175192/1.18</f>
        <v>0.81504399999999999</v>
      </c>
      <c r="AD677" s="28">
        <f>0.9691131258/1.18</f>
        <v>0.82128231000000007</v>
      </c>
      <c r="AE677" s="27">
        <v>0</v>
      </c>
      <c r="AF677" s="28">
        <v>0</v>
      </c>
      <c r="AG677" s="27">
        <v>0</v>
      </c>
      <c r="AH677" s="28">
        <v>0</v>
      </c>
      <c r="AI677" s="27">
        <v>0</v>
      </c>
      <c r="AJ677" s="27">
        <v>0</v>
      </c>
      <c r="AK677" s="27">
        <v>0</v>
      </c>
      <c r="AL677" s="27">
        <v>0</v>
      </c>
      <c r="AM677" s="27">
        <f t="shared" si="58"/>
        <v>0.82128231000000007</v>
      </c>
      <c r="AN677" s="27">
        <f t="shared" si="56"/>
        <v>0.82128231000000007</v>
      </c>
      <c r="AO677" s="35" t="s">
        <v>1486</v>
      </c>
    </row>
    <row r="678" spans="1:41" ht="47.25" customHeight="1" x14ac:dyDescent="0.25">
      <c r="A678" s="8" t="s">
        <v>130</v>
      </c>
      <c r="B678" s="39" t="s">
        <v>1209</v>
      </c>
      <c r="C678" s="29" t="s">
        <v>1210</v>
      </c>
      <c r="D678" s="38" t="s">
        <v>1481</v>
      </c>
      <c r="E678" s="30">
        <v>2015</v>
      </c>
      <c r="F678" s="30">
        <v>2015</v>
      </c>
      <c r="G678" s="30" t="s">
        <v>1435</v>
      </c>
      <c r="H678" s="27">
        <v>3.5554317548746522E-2</v>
      </c>
      <c r="I678" s="27">
        <v>2.8829987465181062E-2</v>
      </c>
      <c r="J678" s="27">
        <v>0</v>
      </c>
      <c r="K678" s="27">
        <v>0.25528000000000001</v>
      </c>
      <c r="L678" s="27">
        <v>0</v>
      </c>
      <c r="M678" s="27">
        <v>0.12816</v>
      </c>
      <c r="N678" s="27">
        <v>0.12712000000000001</v>
      </c>
      <c r="O678" s="27">
        <v>0</v>
      </c>
      <c r="P678" s="27">
        <v>0.20699931000000002</v>
      </c>
      <c r="Q678" s="27">
        <v>2.1338200000000002E-3</v>
      </c>
      <c r="R678" s="27">
        <v>0.1174153</v>
      </c>
      <c r="S678" s="27">
        <v>8.7450190000000011E-2</v>
      </c>
      <c r="T678" s="27">
        <v>0</v>
      </c>
      <c r="U678" s="27">
        <v>3.5554317548746522E-2</v>
      </c>
      <c r="V678" s="27">
        <v>0.25528000000000001</v>
      </c>
      <c r="W678" s="27">
        <v>0</v>
      </c>
      <c r="X678" s="27">
        <f t="shared" si="57"/>
        <v>0</v>
      </c>
      <c r="Y678" s="27">
        <v>0</v>
      </c>
      <c r="Z678" s="27">
        <f t="shared" si="55"/>
        <v>0</v>
      </c>
      <c r="AA678" s="27">
        <v>0</v>
      </c>
      <c r="AB678" s="28">
        <v>0</v>
      </c>
      <c r="AC678" s="27">
        <f>0.3012304/1.18</f>
        <v>0.25528000000000001</v>
      </c>
      <c r="AD678" s="28">
        <f>0.2442591858/1.18</f>
        <v>0.20699931000000002</v>
      </c>
      <c r="AE678" s="27">
        <v>0</v>
      </c>
      <c r="AF678" s="28">
        <v>0</v>
      </c>
      <c r="AG678" s="27">
        <v>0</v>
      </c>
      <c r="AH678" s="28">
        <v>0</v>
      </c>
      <c r="AI678" s="27">
        <v>0</v>
      </c>
      <c r="AJ678" s="27">
        <v>0</v>
      </c>
      <c r="AK678" s="27">
        <v>0</v>
      </c>
      <c r="AL678" s="27">
        <v>0</v>
      </c>
      <c r="AM678" s="27">
        <f t="shared" si="58"/>
        <v>0.20699931000000002</v>
      </c>
      <c r="AN678" s="27">
        <f t="shared" si="56"/>
        <v>0.20699931000000002</v>
      </c>
      <c r="AO678" s="35" t="s">
        <v>1486</v>
      </c>
    </row>
    <row r="679" spans="1:41" ht="47.25" customHeight="1" x14ac:dyDescent="0.25">
      <c r="A679" s="8" t="s">
        <v>130</v>
      </c>
      <c r="B679" s="39" t="s">
        <v>1211</v>
      </c>
      <c r="C679" s="29" t="s">
        <v>1212</v>
      </c>
      <c r="D679" s="38" t="s">
        <v>1481</v>
      </c>
      <c r="E679" s="30">
        <v>2015</v>
      </c>
      <c r="F679" s="30">
        <v>2015</v>
      </c>
      <c r="G679" s="30" t="s">
        <v>1435</v>
      </c>
      <c r="H679" s="27">
        <v>0.52391086350974936</v>
      </c>
      <c r="I679" s="27">
        <v>0.53042912534818942</v>
      </c>
      <c r="J679" s="27">
        <v>0</v>
      </c>
      <c r="K679" s="27">
        <v>3.7616800000000001</v>
      </c>
      <c r="L679" s="27">
        <v>0</v>
      </c>
      <c r="M679" s="27">
        <v>2.2447300000000001</v>
      </c>
      <c r="N679" s="27">
        <v>1.51695</v>
      </c>
      <c r="O679" s="27">
        <v>0</v>
      </c>
      <c r="P679" s="27">
        <v>3.8084811200000002</v>
      </c>
      <c r="Q679" s="27">
        <v>6.6755999999999996E-2</v>
      </c>
      <c r="R679" s="27">
        <v>2.3507890000000002</v>
      </c>
      <c r="S679" s="27">
        <v>1.3909361200000001</v>
      </c>
      <c r="T679" s="27">
        <v>0</v>
      </c>
      <c r="U679" s="27">
        <v>0.52391086350974936</v>
      </c>
      <c r="V679" s="27">
        <v>3.7616800000000001</v>
      </c>
      <c r="W679" s="27">
        <v>0</v>
      </c>
      <c r="X679" s="27">
        <f t="shared" si="57"/>
        <v>0</v>
      </c>
      <c r="Y679" s="27">
        <v>0</v>
      </c>
      <c r="Z679" s="27">
        <f t="shared" si="55"/>
        <v>0</v>
      </c>
      <c r="AA679" s="27">
        <v>0</v>
      </c>
      <c r="AB679" s="28">
        <v>0</v>
      </c>
      <c r="AC679" s="27">
        <f>4.4387824/1.18</f>
        <v>3.7616800000000001</v>
      </c>
      <c r="AD679" s="28">
        <f>4.4940077216/1.18</f>
        <v>3.8084811200000002</v>
      </c>
      <c r="AE679" s="27">
        <v>0</v>
      </c>
      <c r="AF679" s="28">
        <v>0</v>
      </c>
      <c r="AG679" s="27">
        <v>0</v>
      </c>
      <c r="AH679" s="28">
        <v>0</v>
      </c>
      <c r="AI679" s="27">
        <v>0</v>
      </c>
      <c r="AJ679" s="27">
        <v>0</v>
      </c>
      <c r="AK679" s="27">
        <v>0</v>
      </c>
      <c r="AL679" s="27">
        <v>0</v>
      </c>
      <c r="AM679" s="27">
        <f t="shared" si="58"/>
        <v>3.8084811200000002</v>
      </c>
      <c r="AN679" s="27">
        <f t="shared" si="56"/>
        <v>3.8084811200000002</v>
      </c>
      <c r="AO679" s="35" t="s">
        <v>1486</v>
      </c>
    </row>
    <row r="680" spans="1:41" ht="47.25" customHeight="1" x14ac:dyDescent="0.25">
      <c r="A680" s="8" t="s">
        <v>130</v>
      </c>
      <c r="B680" s="39" t="s">
        <v>1213</v>
      </c>
      <c r="C680" s="29" t="s">
        <v>1214</v>
      </c>
      <c r="D680" s="38" t="s">
        <v>1481</v>
      </c>
      <c r="E680" s="30">
        <v>2015</v>
      </c>
      <c r="F680" s="30">
        <v>2015</v>
      </c>
      <c r="G680" s="30" t="s">
        <v>1435</v>
      </c>
      <c r="H680" s="27">
        <v>3.8799442896935939E-2</v>
      </c>
      <c r="I680" s="27">
        <v>3.1587318941504183E-2</v>
      </c>
      <c r="J680" s="27">
        <v>0</v>
      </c>
      <c r="K680" s="27">
        <v>0.27858000000000005</v>
      </c>
      <c r="L680" s="27">
        <v>0</v>
      </c>
      <c r="M680" s="27">
        <v>0.22691</v>
      </c>
      <c r="N680" s="27">
        <v>5.1670000000000001E-2</v>
      </c>
      <c r="O680" s="27">
        <v>0</v>
      </c>
      <c r="P680" s="27">
        <v>0.22679695000000002</v>
      </c>
      <c r="Q680" s="27">
        <v>6.6221199999999996E-3</v>
      </c>
      <c r="R680" s="27">
        <v>0.15851202</v>
      </c>
      <c r="S680" s="27">
        <v>6.1662809999999998E-2</v>
      </c>
      <c r="T680" s="27">
        <v>0</v>
      </c>
      <c r="U680" s="27">
        <v>3.8799442896935939E-2</v>
      </c>
      <c r="V680" s="27">
        <v>0.27858000000000005</v>
      </c>
      <c r="W680" s="27">
        <v>0</v>
      </c>
      <c r="X680" s="27">
        <f t="shared" si="57"/>
        <v>0</v>
      </c>
      <c r="Y680" s="27">
        <v>0</v>
      </c>
      <c r="Z680" s="27">
        <f t="shared" si="55"/>
        <v>0</v>
      </c>
      <c r="AA680" s="27">
        <v>0</v>
      </c>
      <c r="AB680" s="28">
        <v>0</v>
      </c>
      <c r="AC680" s="27">
        <f>0.3287244/1.18</f>
        <v>0.27858000000000005</v>
      </c>
      <c r="AD680" s="28">
        <f>0.267620401/1.18</f>
        <v>0.22679695000000002</v>
      </c>
      <c r="AE680" s="27">
        <v>0</v>
      </c>
      <c r="AF680" s="28">
        <v>0</v>
      </c>
      <c r="AG680" s="27">
        <v>0</v>
      </c>
      <c r="AH680" s="28">
        <v>0</v>
      </c>
      <c r="AI680" s="27">
        <v>0</v>
      </c>
      <c r="AJ680" s="27">
        <v>0</v>
      </c>
      <c r="AK680" s="27">
        <v>0</v>
      </c>
      <c r="AL680" s="27">
        <v>0</v>
      </c>
      <c r="AM680" s="27">
        <f t="shared" si="58"/>
        <v>0.22679695000000002</v>
      </c>
      <c r="AN680" s="27">
        <f t="shared" si="56"/>
        <v>0.22679695000000002</v>
      </c>
      <c r="AO680" s="35" t="s">
        <v>1486</v>
      </c>
    </row>
    <row r="681" spans="1:41" ht="47.25" customHeight="1" x14ac:dyDescent="0.25">
      <c r="A681" s="8" t="s">
        <v>130</v>
      </c>
      <c r="B681" s="39" t="s">
        <v>1215</v>
      </c>
      <c r="C681" s="29" t="s">
        <v>1216</v>
      </c>
      <c r="D681" s="38" t="s">
        <v>1481</v>
      </c>
      <c r="E681" s="30">
        <v>2015</v>
      </c>
      <c r="F681" s="30">
        <v>2015</v>
      </c>
      <c r="G681" s="30" t="s">
        <v>1435</v>
      </c>
      <c r="H681" s="27">
        <v>0.11353384401114207</v>
      </c>
      <c r="I681" s="27">
        <v>0.11335207660167132</v>
      </c>
      <c r="J681" s="27">
        <v>0</v>
      </c>
      <c r="K681" s="27">
        <v>0.81517300000000004</v>
      </c>
      <c r="L681" s="27">
        <v>0</v>
      </c>
      <c r="M681" s="27">
        <v>0.61412999999999995</v>
      </c>
      <c r="N681" s="27">
        <v>0.201043</v>
      </c>
      <c r="O681" s="27">
        <v>0</v>
      </c>
      <c r="P681" s="27">
        <v>0.81386791000000003</v>
      </c>
      <c r="Q681" s="27">
        <v>9.5400000000000013E-2</v>
      </c>
      <c r="R681" s="27">
        <v>0.59421862000000003</v>
      </c>
      <c r="S681" s="27">
        <v>0.12424929</v>
      </c>
      <c r="T681" s="27">
        <v>0</v>
      </c>
      <c r="U681" s="27">
        <v>0.11353384401114207</v>
      </c>
      <c r="V681" s="27">
        <v>0.81517300000000004</v>
      </c>
      <c r="W681" s="27">
        <v>0</v>
      </c>
      <c r="X681" s="27">
        <f t="shared" si="57"/>
        <v>0</v>
      </c>
      <c r="Y681" s="27">
        <v>0</v>
      </c>
      <c r="Z681" s="27">
        <f t="shared" si="55"/>
        <v>0</v>
      </c>
      <c r="AA681" s="27">
        <v>0</v>
      </c>
      <c r="AB681" s="28">
        <v>0</v>
      </c>
      <c r="AC681" s="27">
        <f>0.96190414/1.18</f>
        <v>0.81517300000000004</v>
      </c>
      <c r="AD681" s="28">
        <f>0.9603641338/1.18</f>
        <v>0.81386791000000003</v>
      </c>
      <c r="AE681" s="27">
        <v>0</v>
      </c>
      <c r="AF681" s="28">
        <v>0</v>
      </c>
      <c r="AG681" s="27">
        <v>0</v>
      </c>
      <c r="AH681" s="28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f t="shared" si="58"/>
        <v>0.81386791000000003</v>
      </c>
      <c r="AN681" s="27">
        <f t="shared" si="56"/>
        <v>0.81386791000000003</v>
      </c>
      <c r="AO681" s="35" t="s">
        <v>1486</v>
      </c>
    </row>
    <row r="682" spans="1:41" ht="47.25" customHeight="1" x14ac:dyDescent="0.25">
      <c r="A682" s="8" t="s">
        <v>130</v>
      </c>
      <c r="B682" s="39" t="s">
        <v>1217</v>
      </c>
      <c r="C682" s="29" t="s">
        <v>1218</v>
      </c>
      <c r="D682" s="38" t="s">
        <v>1481</v>
      </c>
      <c r="E682" s="30">
        <v>2015</v>
      </c>
      <c r="F682" s="30">
        <v>2015</v>
      </c>
      <c r="G682" s="30" t="s">
        <v>1435</v>
      </c>
      <c r="H682" s="27">
        <v>0.51245403899721453</v>
      </c>
      <c r="I682" s="27">
        <v>0.49525927715877449</v>
      </c>
      <c r="J682" s="27">
        <v>0</v>
      </c>
      <c r="K682" s="27">
        <v>3.6794199999999999</v>
      </c>
      <c r="L682" s="27">
        <v>0</v>
      </c>
      <c r="M682" s="27">
        <v>2.5353499999999998</v>
      </c>
      <c r="N682" s="27">
        <v>1.1440699999999999</v>
      </c>
      <c r="O682" s="27">
        <v>0</v>
      </c>
      <c r="P682" s="27">
        <v>3.5559616100000007</v>
      </c>
      <c r="Q682" s="27">
        <v>0.14724646000000002</v>
      </c>
      <c r="R682" s="27">
        <v>2.3251922100000004</v>
      </c>
      <c r="S682" s="27">
        <v>1.0835229399999999</v>
      </c>
      <c r="T682" s="27">
        <v>0</v>
      </c>
      <c r="U682" s="27">
        <v>0.51245403899721453</v>
      </c>
      <c r="V682" s="27">
        <v>3.6794199999999999</v>
      </c>
      <c r="W682" s="27">
        <v>0</v>
      </c>
      <c r="X682" s="27">
        <f t="shared" si="57"/>
        <v>0</v>
      </c>
      <c r="Y682" s="27">
        <v>0</v>
      </c>
      <c r="Z682" s="27">
        <f t="shared" si="55"/>
        <v>0</v>
      </c>
      <c r="AA682" s="27">
        <v>0</v>
      </c>
      <c r="AB682" s="28">
        <v>0</v>
      </c>
      <c r="AC682" s="27">
        <f>4.3417156/1.18</f>
        <v>3.6794199999999999</v>
      </c>
      <c r="AD682" s="28">
        <f>4.092547685/1.18</f>
        <v>3.4682607500000007</v>
      </c>
      <c r="AE682" s="27">
        <v>0</v>
      </c>
      <c r="AF682" s="28">
        <f>0.1034870148/1.18</f>
        <v>8.7700860000000005E-2</v>
      </c>
      <c r="AG682" s="27">
        <v>0</v>
      </c>
      <c r="AH682" s="28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f t="shared" si="58"/>
        <v>3.5559616100000007</v>
      </c>
      <c r="AN682" s="27">
        <f t="shared" si="56"/>
        <v>3.5559616100000007</v>
      </c>
      <c r="AO682" s="35" t="s">
        <v>1486</v>
      </c>
    </row>
    <row r="683" spans="1:41" ht="47.25" customHeight="1" x14ac:dyDescent="0.25">
      <c r="A683" s="8" t="s">
        <v>130</v>
      </c>
      <c r="B683" s="39" t="s">
        <v>1219</v>
      </c>
      <c r="C683" s="29" t="s">
        <v>1220</v>
      </c>
      <c r="D683" s="38" t="s">
        <v>1481</v>
      </c>
      <c r="E683" s="30">
        <v>2015</v>
      </c>
      <c r="F683" s="30">
        <v>2015</v>
      </c>
      <c r="G683" s="30" t="s">
        <v>1435</v>
      </c>
      <c r="H683" s="27">
        <v>4.1571587743732596E-2</v>
      </c>
      <c r="I683" s="27">
        <v>3.5503385654596105E-2</v>
      </c>
      <c r="J683" s="27">
        <v>0</v>
      </c>
      <c r="K683" s="27">
        <v>0.29848400000000003</v>
      </c>
      <c r="L683" s="27">
        <v>0</v>
      </c>
      <c r="M683" s="27">
        <v>0.21373699999999998</v>
      </c>
      <c r="N683" s="27">
        <v>8.4747000000000003E-2</v>
      </c>
      <c r="O683" s="27">
        <v>0</v>
      </c>
      <c r="P683" s="27">
        <v>0.25491430900000001</v>
      </c>
      <c r="Q683" s="27">
        <v>0</v>
      </c>
      <c r="R683" s="27">
        <v>0.17315625900000001</v>
      </c>
      <c r="S683" s="27">
        <v>8.1758049999999999E-2</v>
      </c>
      <c r="T683" s="27">
        <v>0</v>
      </c>
      <c r="U683" s="27">
        <v>4.1571587743732596E-2</v>
      </c>
      <c r="V683" s="27">
        <v>0.29848400000000003</v>
      </c>
      <c r="W683" s="27">
        <v>0</v>
      </c>
      <c r="X683" s="27">
        <f t="shared" si="57"/>
        <v>0</v>
      </c>
      <c r="Y683" s="27">
        <v>0</v>
      </c>
      <c r="Z683" s="27">
        <f t="shared" si="55"/>
        <v>0</v>
      </c>
      <c r="AA683" s="27">
        <v>0</v>
      </c>
      <c r="AB683" s="28">
        <v>0</v>
      </c>
      <c r="AC683" s="27">
        <f>0.35221112/1.18</f>
        <v>0.29848400000000003</v>
      </c>
      <c r="AD683" s="28">
        <f>0.30079888462/1.18</f>
        <v>0.25491430900000001</v>
      </c>
      <c r="AE683" s="27">
        <v>0</v>
      </c>
      <c r="AF683" s="28">
        <v>0</v>
      </c>
      <c r="AG683" s="27">
        <v>0</v>
      </c>
      <c r="AH683" s="28">
        <v>0</v>
      </c>
      <c r="AI683" s="27">
        <v>0</v>
      </c>
      <c r="AJ683" s="27">
        <v>0</v>
      </c>
      <c r="AK683" s="27">
        <v>0</v>
      </c>
      <c r="AL683" s="27">
        <v>0</v>
      </c>
      <c r="AM683" s="27">
        <f t="shared" si="58"/>
        <v>0.25491430900000001</v>
      </c>
      <c r="AN683" s="27">
        <f t="shared" si="56"/>
        <v>0.25491430900000001</v>
      </c>
      <c r="AO683" s="35" t="s">
        <v>1486</v>
      </c>
    </row>
    <row r="684" spans="1:41" ht="47.25" customHeight="1" x14ac:dyDescent="0.25">
      <c r="A684" s="8" t="s">
        <v>130</v>
      </c>
      <c r="B684" s="39" t="s">
        <v>1221</v>
      </c>
      <c r="C684" s="29" t="s">
        <v>1222</v>
      </c>
      <c r="D684" s="38" t="s">
        <v>1481</v>
      </c>
      <c r="E684" s="30">
        <v>2016</v>
      </c>
      <c r="F684" s="30">
        <v>2016</v>
      </c>
      <c r="G684" s="30" t="s">
        <v>1435</v>
      </c>
      <c r="H684" s="27">
        <v>9.0949860724234E-3</v>
      </c>
      <c r="I684" s="27">
        <v>9.0950055710306427E-3</v>
      </c>
      <c r="J684" s="27">
        <v>0</v>
      </c>
      <c r="K684" s="27">
        <v>6.5302000000000013E-2</v>
      </c>
      <c r="L684" s="27">
        <v>0</v>
      </c>
      <c r="M684" s="27">
        <v>2.9891999999999998E-2</v>
      </c>
      <c r="N684" s="27">
        <v>3.5409999999999997E-2</v>
      </c>
      <c r="O684" s="27">
        <v>0</v>
      </c>
      <c r="P684" s="27">
        <v>6.5302140000000009E-2</v>
      </c>
      <c r="Q684" s="27">
        <v>0</v>
      </c>
      <c r="R684" s="27">
        <v>2.989172E-2</v>
      </c>
      <c r="S684" s="27">
        <v>3.5410420000000005E-2</v>
      </c>
      <c r="T684" s="27">
        <v>0</v>
      </c>
      <c r="U684" s="27">
        <v>9.0949860724234E-3</v>
      </c>
      <c r="V684" s="27">
        <v>6.5302000000000013E-2</v>
      </c>
      <c r="W684" s="27">
        <v>0</v>
      </c>
      <c r="X684" s="27">
        <f t="shared" si="57"/>
        <v>0</v>
      </c>
      <c r="Y684" s="27">
        <v>0</v>
      </c>
      <c r="Z684" s="27">
        <f t="shared" si="55"/>
        <v>0</v>
      </c>
      <c r="AA684" s="27">
        <v>0</v>
      </c>
      <c r="AB684" s="28">
        <v>0</v>
      </c>
      <c r="AC684" s="27">
        <v>0</v>
      </c>
      <c r="AD684" s="28">
        <v>0</v>
      </c>
      <c r="AE684" s="27">
        <f>0.07705636/1.18</f>
        <v>6.5302000000000013E-2</v>
      </c>
      <c r="AF684" s="28">
        <f>0.0770565252/1.18</f>
        <v>6.5302140000000009E-2</v>
      </c>
      <c r="AG684" s="27">
        <v>0</v>
      </c>
      <c r="AH684" s="28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f t="shared" si="58"/>
        <v>6.5302140000000009E-2</v>
      </c>
      <c r="AN684" s="27">
        <f t="shared" si="56"/>
        <v>6.5302140000000009E-2</v>
      </c>
      <c r="AO684" s="35" t="s">
        <v>1486</v>
      </c>
    </row>
    <row r="685" spans="1:41" ht="47.25" customHeight="1" x14ac:dyDescent="0.25">
      <c r="A685" s="8" t="s">
        <v>130</v>
      </c>
      <c r="B685" s="39" t="s">
        <v>1223</v>
      </c>
      <c r="C685" s="29" t="s">
        <v>1224</v>
      </c>
      <c r="D685" s="38" t="s">
        <v>1481</v>
      </c>
      <c r="E685" s="30">
        <v>2016</v>
      </c>
      <c r="F685" s="30">
        <v>2016</v>
      </c>
      <c r="G685" s="30" t="s">
        <v>1435</v>
      </c>
      <c r="H685" s="27">
        <v>8.33008356545961E-3</v>
      </c>
      <c r="I685" s="27">
        <v>1.140223676880223E-2</v>
      </c>
      <c r="J685" s="27">
        <v>0</v>
      </c>
      <c r="K685" s="27">
        <v>5.9809999999999995E-2</v>
      </c>
      <c r="L685" s="27">
        <v>0</v>
      </c>
      <c r="M685" s="27">
        <v>2.0590000000000001E-2</v>
      </c>
      <c r="N685" s="27">
        <v>3.9219999999999998E-2</v>
      </c>
      <c r="O685" s="27">
        <v>0</v>
      </c>
      <c r="P685" s="27">
        <v>8.1868060000000006E-2</v>
      </c>
      <c r="Q685" s="27">
        <v>0</v>
      </c>
      <c r="R685" s="27">
        <v>3.7079749999999995E-2</v>
      </c>
      <c r="S685" s="27">
        <v>4.4788310000000005E-2</v>
      </c>
      <c r="T685" s="27">
        <v>0</v>
      </c>
      <c r="U685" s="27">
        <v>8.33008356545961E-3</v>
      </c>
      <c r="V685" s="27">
        <v>5.9809999999999995E-2</v>
      </c>
      <c r="W685" s="27">
        <v>0</v>
      </c>
      <c r="X685" s="27">
        <f t="shared" si="57"/>
        <v>0</v>
      </c>
      <c r="Y685" s="27">
        <v>0</v>
      </c>
      <c r="Z685" s="27">
        <f t="shared" si="55"/>
        <v>0</v>
      </c>
      <c r="AA685" s="27">
        <v>0</v>
      </c>
      <c r="AB685" s="28">
        <v>0</v>
      </c>
      <c r="AC685" s="27">
        <v>0</v>
      </c>
      <c r="AD685" s="28">
        <v>0</v>
      </c>
      <c r="AE685" s="27">
        <f>0.0705758/1.18</f>
        <v>5.9809999999999995E-2</v>
      </c>
      <c r="AF685" s="28">
        <f>0.0966043108/1.18</f>
        <v>8.1868060000000006E-2</v>
      </c>
      <c r="AG685" s="27">
        <v>0</v>
      </c>
      <c r="AH685" s="28">
        <v>0</v>
      </c>
      <c r="AI685" s="27">
        <v>0</v>
      </c>
      <c r="AJ685" s="27">
        <v>0</v>
      </c>
      <c r="AK685" s="27">
        <v>0</v>
      </c>
      <c r="AL685" s="27">
        <v>0</v>
      </c>
      <c r="AM685" s="27">
        <f t="shared" si="58"/>
        <v>8.1868060000000006E-2</v>
      </c>
      <c r="AN685" s="27">
        <f t="shared" si="56"/>
        <v>8.1868060000000006E-2</v>
      </c>
      <c r="AO685" s="35" t="s">
        <v>1486</v>
      </c>
    </row>
    <row r="686" spans="1:41" ht="47.25" customHeight="1" x14ac:dyDescent="0.25">
      <c r="A686" s="8" t="s">
        <v>130</v>
      </c>
      <c r="B686" s="39" t="s">
        <v>1225</v>
      </c>
      <c r="C686" s="29" t="s">
        <v>1226</v>
      </c>
      <c r="D686" s="38" t="s">
        <v>1481</v>
      </c>
      <c r="E686" s="30">
        <v>2016</v>
      </c>
      <c r="F686" s="30">
        <v>2016</v>
      </c>
      <c r="G686" s="30" t="s">
        <v>1435</v>
      </c>
      <c r="H686" s="27">
        <v>6.0922562674094717E-2</v>
      </c>
      <c r="I686" s="27">
        <v>3.9089901114206134E-2</v>
      </c>
      <c r="J686" s="27">
        <v>0</v>
      </c>
      <c r="K686" s="27">
        <v>0.43742400000000004</v>
      </c>
      <c r="L686" s="27">
        <v>0</v>
      </c>
      <c r="M686" s="27">
        <v>1.7704000000000001E-2</v>
      </c>
      <c r="N686" s="27">
        <v>0.41972000000000004</v>
      </c>
      <c r="O686" s="27">
        <v>0</v>
      </c>
      <c r="P686" s="27">
        <v>0.28066549000000002</v>
      </c>
      <c r="Q686" s="27">
        <v>0</v>
      </c>
      <c r="R686" s="27">
        <v>1.3796839999999999E-2</v>
      </c>
      <c r="S686" s="27">
        <v>0.26686864999999999</v>
      </c>
      <c r="T686" s="27">
        <v>0</v>
      </c>
      <c r="U686" s="27">
        <v>6.0922562674094717E-2</v>
      </c>
      <c r="V686" s="27">
        <v>0.43742400000000004</v>
      </c>
      <c r="W686" s="27">
        <v>0</v>
      </c>
      <c r="X686" s="27">
        <f t="shared" si="57"/>
        <v>0</v>
      </c>
      <c r="Y686" s="27">
        <v>0</v>
      </c>
      <c r="Z686" s="27">
        <f t="shared" si="55"/>
        <v>0</v>
      </c>
      <c r="AA686" s="27">
        <v>0</v>
      </c>
      <c r="AB686" s="28">
        <v>0</v>
      </c>
      <c r="AC686" s="27">
        <v>0</v>
      </c>
      <c r="AD686" s="28">
        <v>0</v>
      </c>
      <c r="AE686" s="27">
        <f>0.51616032/1.18</f>
        <v>0.43742400000000004</v>
      </c>
      <c r="AF686" s="28">
        <f>0.3311852782/1.18</f>
        <v>0.28066549000000002</v>
      </c>
      <c r="AG686" s="27">
        <v>0</v>
      </c>
      <c r="AH686" s="28">
        <v>0</v>
      </c>
      <c r="AI686" s="27">
        <v>0</v>
      </c>
      <c r="AJ686" s="27">
        <v>0</v>
      </c>
      <c r="AK686" s="27">
        <v>0</v>
      </c>
      <c r="AL686" s="27">
        <v>0</v>
      </c>
      <c r="AM686" s="27">
        <f t="shared" si="58"/>
        <v>0.28066549000000002</v>
      </c>
      <c r="AN686" s="27">
        <f t="shared" si="56"/>
        <v>0.28066549000000002</v>
      </c>
      <c r="AO686" s="35" t="s">
        <v>1486</v>
      </c>
    </row>
    <row r="687" spans="1:41" ht="47.25" customHeight="1" x14ac:dyDescent="0.25">
      <c r="A687" s="8" t="s">
        <v>130</v>
      </c>
      <c r="B687" s="39" t="s">
        <v>1227</v>
      </c>
      <c r="C687" s="29" t="s">
        <v>1228</v>
      </c>
      <c r="D687" s="38" t="s">
        <v>1482</v>
      </c>
      <c r="E687" s="30">
        <v>2016</v>
      </c>
      <c r="F687" s="30">
        <v>2016</v>
      </c>
      <c r="G687" s="30" t="s">
        <v>1435</v>
      </c>
      <c r="H687" s="27">
        <v>3.5549919220055712</v>
      </c>
      <c r="I687" s="27">
        <v>0</v>
      </c>
      <c r="J687" s="27">
        <v>0</v>
      </c>
      <c r="K687" s="27">
        <v>25.524842</v>
      </c>
      <c r="L687" s="27">
        <v>0.73690200000000006</v>
      </c>
      <c r="M687" s="27">
        <v>15.231</v>
      </c>
      <c r="N687" s="27">
        <v>9.5569400000000009</v>
      </c>
      <c r="O687" s="27">
        <v>0</v>
      </c>
      <c r="P687" s="27">
        <v>0</v>
      </c>
      <c r="Q687" s="27">
        <v>0</v>
      </c>
      <c r="R687" s="27">
        <v>0</v>
      </c>
      <c r="S687" s="27">
        <v>0</v>
      </c>
      <c r="T687" s="27">
        <v>0</v>
      </c>
      <c r="U687" s="27">
        <v>3.5549919220055712</v>
      </c>
      <c r="V687" s="27">
        <v>25.524842</v>
      </c>
      <c r="W687" s="27">
        <v>0</v>
      </c>
      <c r="X687" s="27">
        <f t="shared" si="57"/>
        <v>0</v>
      </c>
      <c r="Y687" s="27">
        <v>0</v>
      </c>
      <c r="Z687" s="27">
        <f t="shared" si="55"/>
        <v>0</v>
      </c>
      <c r="AA687" s="27">
        <v>0</v>
      </c>
      <c r="AB687" s="28">
        <v>0</v>
      </c>
      <c r="AC687" s="27">
        <v>0</v>
      </c>
      <c r="AD687" s="28">
        <v>0</v>
      </c>
      <c r="AE687" s="27">
        <f>30.11931356/1.18</f>
        <v>25.524842</v>
      </c>
      <c r="AF687" s="28">
        <v>0</v>
      </c>
      <c r="AG687" s="27">
        <v>0</v>
      </c>
      <c r="AH687" s="28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f t="shared" si="58"/>
        <v>0</v>
      </c>
      <c r="AN687" s="27">
        <f t="shared" si="56"/>
        <v>0</v>
      </c>
      <c r="AO687" s="35" t="s">
        <v>1435</v>
      </c>
    </row>
    <row r="688" spans="1:41" ht="31.5" customHeight="1" x14ac:dyDescent="0.25">
      <c r="A688" s="8" t="s">
        <v>130</v>
      </c>
      <c r="B688" s="39" t="s">
        <v>1229</v>
      </c>
      <c r="C688" s="29" t="s">
        <v>1230</v>
      </c>
      <c r="D688" s="38" t="s">
        <v>1481</v>
      </c>
      <c r="E688" s="30">
        <v>2016</v>
      </c>
      <c r="F688" s="30">
        <v>2016</v>
      </c>
      <c r="G688" s="30" t="s">
        <v>1435</v>
      </c>
      <c r="H688" s="27">
        <v>1.6440835654596102</v>
      </c>
      <c r="I688" s="27">
        <v>1.4982884206128135</v>
      </c>
      <c r="J688" s="27">
        <v>0</v>
      </c>
      <c r="K688" s="27">
        <v>11.80452</v>
      </c>
      <c r="L688" s="27">
        <v>0.27629000000000004</v>
      </c>
      <c r="M688" s="27">
        <v>2.5209999999999999</v>
      </c>
      <c r="N688" s="27">
        <v>9.0072299999999998</v>
      </c>
      <c r="O688" s="27">
        <v>0</v>
      </c>
      <c r="P688" s="27">
        <v>10.757710860000001</v>
      </c>
      <c r="Q688" s="27">
        <v>0.27629038</v>
      </c>
      <c r="R688" s="27">
        <v>1.53824143</v>
      </c>
      <c r="S688" s="27">
        <v>8.9431790500000012</v>
      </c>
      <c r="T688" s="27">
        <v>0</v>
      </c>
      <c r="U688" s="27">
        <v>1.6440835654596102</v>
      </c>
      <c r="V688" s="27">
        <v>11.80452</v>
      </c>
      <c r="W688" s="27">
        <v>0</v>
      </c>
      <c r="X688" s="27">
        <f t="shared" si="57"/>
        <v>0</v>
      </c>
      <c r="Y688" s="27">
        <v>0</v>
      </c>
      <c r="Z688" s="27">
        <f t="shared" si="55"/>
        <v>0</v>
      </c>
      <c r="AA688" s="27">
        <v>0</v>
      </c>
      <c r="AB688" s="28">
        <v>0</v>
      </c>
      <c r="AC688" s="27">
        <v>0</v>
      </c>
      <c r="AD688" s="28">
        <v>0</v>
      </c>
      <c r="AE688" s="27">
        <f>13.9293336/1.18</f>
        <v>11.80452</v>
      </c>
      <c r="AF688" s="28">
        <f>12.6940988148/1.18</f>
        <v>10.757710860000001</v>
      </c>
      <c r="AG688" s="27">
        <v>0</v>
      </c>
      <c r="AH688" s="28">
        <v>0</v>
      </c>
      <c r="AI688" s="27">
        <v>0</v>
      </c>
      <c r="AJ688" s="27">
        <v>0</v>
      </c>
      <c r="AK688" s="27">
        <v>0</v>
      </c>
      <c r="AL688" s="27">
        <v>0</v>
      </c>
      <c r="AM688" s="27">
        <f t="shared" si="58"/>
        <v>10.757710860000001</v>
      </c>
      <c r="AN688" s="27">
        <f t="shared" si="56"/>
        <v>10.757710860000001</v>
      </c>
      <c r="AO688" s="35" t="s">
        <v>1486</v>
      </c>
    </row>
    <row r="689" spans="1:41" ht="31.5" customHeight="1" x14ac:dyDescent="0.25">
      <c r="A689" s="8" t="s">
        <v>130</v>
      </c>
      <c r="B689" s="39" t="s">
        <v>1231</v>
      </c>
      <c r="C689" s="29" t="s">
        <v>1232</v>
      </c>
      <c r="D689" s="38" t="s">
        <v>1481</v>
      </c>
      <c r="E689" s="30">
        <v>2016</v>
      </c>
      <c r="F689" s="30">
        <v>2016</v>
      </c>
      <c r="G689" s="30" t="s">
        <v>1435</v>
      </c>
      <c r="H689" s="27">
        <v>1.550279944289694</v>
      </c>
      <c r="I689" s="27">
        <v>1.596448537604457</v>
      </c>
      <c r="J689" s="27">
        <v>0</v>
      </c>
      <c r="K689" s="27">
        <v>11.131010000000002</v>
      </c>
      <c r="L689" s="27">
        <v>0.27629000000000004</v>
      </c>
      <c r="M689" s="27">
        <v>2.427</v>
      </c>
      <c r="N689" s="27">
        <v>8.427719999999999</v>
      </c>
      <c r="O689" s="27">
        <v>0</v>
      </c>
      <c r="P689" s="27">
        <v>11.462500500000001</v>
      </c>
      <c r="Q689" s="27">
        <v>0.27629038</v>
      </c>
      <c r="R689" s="27">
        <v>1.5653427999999998</v>
      </c>
      <c r="S689" s="27">
        <v>9.6208673199999986</v>
      </c>
      <c r="T689" s="27">
        <v>0</v>
      </c>
      <c r="U689" s="27">
        <v>1.550279944289694</v>
      </c>
      <c r="V689" s="27">
        <v>11.131010000000002</v>
      </c>
      <c r="W689" s="27">
        <v>0</v>
      </c>
      <c r="X689" s="27">
        <f t="shared" si="57"/>
        <v>0</v>
      </c>
      <c r="Y689" s="27">
        <v>0</v>
      </c>
      <c r="Z689" s="27">
        <f t="shared" si="55"/>
        <v>0</v>
      </c>
      <c r="AA689" s="27">
        <v>0</v>
      </c>
      <c r="AB689" s="28">
        <v>0</v>
      </c>
      <c r="AC689" s="27">
        <v>0</v>
      </c>
      <c r="AD689" s="28">
        <v>0</v>
      </c>
      <c r="AE689" s="27">
        <f>13.1345918/1.18</f>
        <v>11.131010000000002</v>
      </c>
      <c r="AF689" s="28">
        <f>13.52575059/1.18</f>
        <v>11.462500500000001</v>
      </c>
      <c r="AG689" s="27">
        <v>0</v>
      </c>
      <c r="AH689" s="28">
        <v>0</v>
      </c>
      <c r="AI689" s="27">
        <v>0</v>
      </c>
      <c r="AJ689" s="27">
        <v>0</v>
      </c>
      <c r="AK689" s="27">
        <v>0</v>
      </c>
      <c r="AL689" s="27">
        <v>0</v>
      </c>
      <c r="AM689" s="27">
        <f t="shared" si="58"/>
        <v>11.462500500000001</v>
      </c>
      <c r="AN689" s="27">
        <f t="shared" si="56"/>
        <v>11.462500500000001</v>
      </c>
      <c r="AO689" s="35" t="s">
        <v>1486</v>
      </c>
    </row>
    <row r="690" spans="1:41" ht="31.5" customHeight="1" x14ac:dyDescent="0.25">
      <c r="A690" s="8" t="s">
        <v>130</v>
      </c>
      <c r="B690" s="39" t="s">
        <v>1233</v>
      </c>
      <c r="C690" s="29" t="s">
        <v>1234</v>
      </c>
      <c r="D690" s="38" t="s">
        <v>1481</v>
      </c>
      <c r="E690" s="30">
        <v>2016</v>
      </c>
      <c r="F690" s="30">
        <v>2016</v>
      </c>
      <c r="G690" s="30" t="s">
        <v>1435</v>
      </c>
      <c r="H690" s="27">
        <v>1.2882497214484683</v>
      </c>
      <c r="I690" s="27">
        <v>1.1808477604456826</v>
      </c>
      <c r="J690" s="27">
        <v>0</v>
      </c>
      <c r="K690" s="27">
        <v>9.2496330000000011</v>
      </c>
      <c r="L690" s="27">
        <v>0.16036</v>
      </c>
      <c r="M690" s="27">
        <v>4.1366099999999992</v>
      </c>
      <c r="N690" s="27">
        <v>4.9526629999999994</v>
      </c>
      <c r="O690" s="27">
        <v>0</v>
      </c>
      <c r="P690" s="27">
        <v>8.4784869200000017</v>
      </c>
      <c r="Q690" s="27">
        <v>0.16036268999999997</v>
      </c>
      <c r="R690" s="27">
        <v>3.90798245</v>
      </c>
      <c r="S690" s="27">
        <v>4.41014178</v>
      </c>
      <c r="T690" s="27">
        <v>0</v>
      </c>
      <c r="U690" s="27">
        <v>1.2882497214484683</v>
      </c>
      <c r="V690" s="27">
        <v>9.2496330000000011</v>
      </c>
      <c r="W690" s="27">
        <v>0</v>
      </c>
      <c r="X690" s="27">
        <f t="shared" si="57"/>
        <v>0</v>
      </c>
      <c r="Y690" s="27">
        <v>0</v>
      </c>
      <c r="Z690" s="27">
        <f t="shared" si="55"/>
        <v>0</v>
      </c>
      <c r="AA690" s="27">
        <v>0</v>
      </c>
      <c r="AB690" s="28">
        <v>0</v>
      </c>
      <c r="AC690" s="27">
        <v>0</v>
      </c>
      <c r="AD690" s="28">
        <v>0</v>
      </c>
      <c r="AE690" s="27">
        <f>10.91456694/1.18</f>
        <v>9.2496330000000011</v>
      </c>
      <c r="AF690" s="28">
        <f>10.0046145656/1.18</f>
        <v>8.4784869200000017</v>
      </c>
      <c r="AG690" s="27">
        <v>0</v>
      </c>
      <c r="AH690" s="28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f t="shared" si="58"/>
        <v>8.4784869200000017</v>
      </c>
      <c r="AN690" s="27">
        <f t="shared" si="56"/>
        <v>8.4784869200000017</v>
      </c>
      <c r="AO690" s="35" t="s">
        <v>1486</v>
      </c>
    </row>
    <row r="691" spans="1:41" ht="31.5" customHeight="1" x14ac:dyDescent="0.25">
      <c r="A691" s="8" t="s">
        <v>130</v>
      </c>
      <c r="B691" s="39" t="s">
        <v>1235</v>
      </c>
      <c r="C691" s="29" t="s">
        <v>1236</v>
      </c>
      <c r="D691" s="38" t="s">
        <v>1482</v>
      </c>
      <c r="E691" s="30">
        <v>2016</v>
      </c>
      <c r="F691" s="30">
        <v>2016</v>
      </c>
      <c r="G691" s="30" t="s">
        <v>1435</v>
      </c>
      <c r="H691" s="27">
        <v>3.5226364902506964</v>
      </c>
      <c r="I691" s="27">
        <v>0</v>
      </c>
      <c r="J691" s="27">
        <v>0</v>
      </c>
      <c r="K691" s="27">
        <v>25.292529999999999</v>
      </c>
      <c r="L691" s="27">
        <v>0.55252999999999997</v>
      </c>
      <c r="M691" s="27">
        <v>13.958</v>
      </c>
      <c r="N691" s="27">
        <v>10.782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>
        <v>0</v>
      </c>
      <c r="U691" s="27">
        <v>3.5226364902506964</v>
      </c>
      <c r="V691" s="27">
        <v>25.292529999999999</v>
      </c>
      <c r="W691" s="27">
        <v>0</v>
      </c>
      <c r="X691" s="27">
        <f t="shared" si="57"/>
        <v>0</v>
      </c>
      <c r="Y691" s="27">
        <v>0</v>
      </c>
      <c r="Z691" s="27">
        <f t="shared" si="55"/>
        <v>0</v>
      </c>
      <c r="AA691" s="27">
        <v>0</v>
      </c>
      <c r="AB691" s="28">
        <v>0</v>
      </c>
      <c r="AC691" s="27">
        <v>0</v>
      </c>
      <c r="AD691" s="28">
        <v>0</v>
      </c>
      <c r="AE691" s="27">
        <f>29.8451854/1.18</f>
        <v>25.292529999999999</v>
      </c>
      <c r="AF691" s="28">
        <v>0</v>
      </c>
      <c r="AG691" s="27">
        <v>0</v>
      </c>
      <c r="AH691" s="28">
        <v>0</v>
      </c>
      <c r="AI691" s="27">
        <v>0</v>
      </c>
      <c r="AJ691" s="27">
        <v>0</v>
      </c>
      <c r="AK691" s="27">
        <v>0</v>
      </c>
      <c r="AL691" s="27">
        <v>0</v>
      </c>
      <c r="AM691" s="27">
        <f t="shared" si="58"/>
        <v>0</v>
      </c>
      <c r="AN691" s="27">
        <f t="shared" si="56"/>
        <v>0</v>
      </c>
      <c r="AO691" s="35" t="s">
        <v>1435</v>
      </c>
    </row>
    <row r="692" spans="1:41" ht="31.5" customHeight="1" x14ac:dyDescent="0.25">
      <c r="A692" s="8" t="s">
        <v>130</v>
      </c>
      <c r="B692" s="39" t="s">
        <v>1237</v>
      </c>
      <c r="C692" s="29" t="s">
        <v>1238</v>
      </c>
      <c r="D692" s="38" t="s">
        <v>1481</v>
      </c>
      <c r="E692" s="30">
        <v>2016</v>
      </c>
      <c r="F692" s="30">
        <v>2016</v>
      </c>
      <c r="G692" s="30" t="s">
        <v>1435</v>
      </c>
      <c r="H692" s="27">
        <v>0.66074456824512551</v>
      </c>
      <c r="I692" s="27">
        <v>0.59910598050139274</v>
      </c>
      <c r="J692" s="27">
        <v>0</v>
      </c>
      <c r="K692" s="27">
        <v>4.7441460000000006</v>
      </c>
      <c r="L692" s="27">
        <v>0.17535300000000001</v>
      </c>
      <c r="M692" s="27">
        <v>3.1160000000000001</v>
      </c>
      <c r="N692" s="27">
        <v>1.452793</v>
      </c>
      <c r="O692" s="27">
        <v>0</v>
      </c>
      <c r="P692" s="27">
        <v>4.30158094</v>
      </c>
      <c r="Q692" s="27">
        <v>0</v>
      </c>
      <c r="R692" s="27">
        <v>3.2128429299999999</v>
      </c>
      <c r="S692" s="27">
        <v>1.0887380099999999</v>
      </c>
      <c r="T692" s="27">
        <v>0</v>
      </c>
      <c r="U692" s="27">
        <v>0.66074456824512551</v>
      </c>
      <c r="V692" s="27">
        <v>4.7441460000000006</v>
      </c>
      <c r="W692" s="27">
        <v>0</v>
      </c>
      <c r="X692" s="27">
        <f t="shared" si="57"/>
        <v>0</v>
      </c>
      <c r="Y692" s="27">
        <v>0</v>
      </c>
      <c r="Z692" s="27">
        <f t="shared" si="55"/>
        <v>0</v>
      </c>
      <c r="AA692" s="27">
        <v>0</v>
      </c>
      <c r="AB692" s="28">
        <v>0</v>
      </c>
      <c r="AC692" s="27">
        <v>0</v>
      </c>
      <c r="AD692" s="28">
        <v>0</v>
      </c>
      <c r="AE692" s="27">
        <f>5.59809228/1.18</f>
        <v>4.7441460000000006</v>
      </c>
      <c r="AF692" s="28">
        <f>5.0758655092/1.18</f>
        <v>4.30158094</v>
      </c>
      <c r="AG692" s="27">
        <v>0</v>
      </c>
      <c r="AH692" s="28">
        <v>0</v>
      </c>
      <c r="AI692" s="27">
        <v>0</v>
      </c>
      <c r="AJ692" s="27">
        <v>0</v>
      </c>
      <c r="AK692" s="27">
        <v>0</v>
      </c>
      <c r="AL692" s="27">
        <v>0</v>
      </c>
      <c r="AM692" s="27">
        <f t="shared" si="58"/>
        <v>4.30158094</v>
      </c>
      <c r="AN692" s="27">
        <f t="shared" si="56"/>
        <v>4.30158094</v>
      </c>
      <c r="AO692" s="35" t="s">
        <v>1486</v>
      </c>
    </row>
    <row r="693" spans="1:41" ht="31.5" customHeight="1" x14ac:dyDescent="0.25">
      <c r="A693" s="8" t="s">
        <v>130</v>
      </c>
      <c r="B693" s="39" t="s">
        <v>1239</v>
      </c>
      <c r="C693" s="29" t="s">
        <v>1240</v>
      </c>
      <c r="D693" s="38" t="s">
        <v>1481</v>
      </c>
      <c r="E693" s="30">
        <v>2016</v>
      </c>
      <c r="F693" s="30">
        <v>2016</v>
      </c>
      <c r="G693" s="30" t="s">
        <v>1435</v>
      </c>
      <c r="H693" s="27">
        <v>0.18040668523676881</v>
      </c>
      <c r="I693" s="27">
        <v>0.17123058635097496</v>
      </c>
      <c r="J693" s="27">
        <v>0</v>
      </c>
      <c r="K693" s="27">
        <v>1.29532</v>
      </c>
      <c r="L693" s="27">
        <v>7.2840000000000002E-2</v>
      </c>
      <c r="M693" s="27">
        <v>0.38400000000000001</v>
      </c>
      <c r="N693" s="27">
        <v>0.83848</v>
      </c>
      <c r="O693" s="27">
        <v>0</v>
      </c>
      <c r="P693" s="27">
        <v>1.2294356100000001</v>
      </c>
      <c r="Q693" s="27">
        <v>6.5840650000000001E-2</v>
      </c>
      <c r="R693" s="27">
        <v>0.43399883</v>
      </c>
      <c r="S693" s="27">
        <v>0.72959613000000001</v>
      </c>
      <c r="T693" s="27">
        <v>0</v>
      </c>
      <c r="U693" s="27">
        <v>0.18040668523676881</v>
      </c>
      <c r="V693" s="27">
        <v>1.29532</v>
      </c>
      <c r="W693" s="27">
        <v>0</v>
      </c>
      <c r="X693" s="27">
        <f t="shared" si="57"/>
        <v>0</v>
      </c>
      <c r="Y693" s="27">
        <v>0</v>
      </c>
      <c r="Z693" s="27">
        <f t="shared" si="55"/>
        <v>0</v>
      </c>
      <c r="AA693" s="27">
        <v>0</v>
      </c>
      <c r="AB693" s="28">
        <v>0</v>
      </c>
      <c r="AC693" s="27">
        <v>0</v>
      </c>
      <c r="AD693" s="28">
        <v>0</v>
      </c>
      <c r="AE693" s="27">
        <f>1.5284776/1.18</f>
        <v>1.29532</v>
      </c>
      <c r="AF693" s="28">
        <f>1.4507340198/1.18</f>
        <v>1.2294356100000001</v>
      </c>
      <c r="AG693" s="27">
        <v>0</v>
      </c>
      <c r="AH693" s="28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f t="shared" si="58"/>
        <v>1.2294356100000001</v>
      </c>
      <c r="AN693" s="27">
        <f t="shared" si="56"/>
        <v>1.2294356100000001</v>
      </c>
      <c r="AO693" s="35" t="s">
        <v>1486</v>
      </c>
    </row>
    <row r="694" spans="1:41" ht="31.5" customHeight="1" x14ac:dyDescent="0.25">
      <c r="A694" s="8" t="s">
        <v>130</v>
      </c>
      <c r="B694" s="39" t="s">
        <v>1241</v>
      </c>
      <c r="C694" s="29" t="s">
        <v>1242</v>
      </c>
      <c r="D694" s="38" t="s">
        <v>1481</v>
      </c>
      <c r="E694" s="30">
        <v>2016</v>
      </c>
      <c r="F694" s="30">
        <v>2016</v>
      </c>
      <c r="G694" s="30" t="s">
        <v>1435</v>
      </c>
      <c r="H694" s="27">
        <v>0.86565208913649028</v>
      </c>
      <c r="I694" s="27">
        <v>0.8917115974930363</v>
      </c>
      <c r="J694" s="27">
        <v>0</v>
      </c>
      <c r="K694" s="27">
        <v>6.215382</v>
      </c>
      <c r="L694" s="27">
        <v>7.5340000000000004E-2</v>
      </c>
      <c r="M694" s="27">
        <v>4.7480000000000002</v>
      </c>
      <c r="N694" s="27">
        <v>1.392042</v>
      </c>
      <c r="O694" s="27">
        <v>0</v>
      </c>
      <c r="P694" s="27">
        <v>6.4024892700000002</v>
      </c>
      <c r="Q694" s="27">
        <v>8.4745749999999995E-2</v>
      </c>
      <c r="R694" s="27">
        <v>5.22357812</v>
      </c>
      <c r="S694" s="27">
        <v>1.0941654000000001</v>
      </c>
      <c r="T694" s="27">
        <v>0</v>
      </c>
      <c r="U694" s="27">
        <v>0.86565208913649028</v>
      </c>
      <c r="V694" s="27">
        <v>6.215382</v>
      </c>
      <c r="W694" s="27">
        <v>0</v>
      </c>
      <c r="X694" s="27">
        <f t="shared" si="57"/>
        <v>0</v>
      </c>
      <c r="Y694" s="27">
        <v>0</v>
      </c>
      <c r="Z694" s="27">
        <f t="shared" si="55"/>
        <v>0</v>
      </c>
      <c r="AA694" s="27">
        <v>0</v>
      </c>
      <c r="AB694" s="28">
        <v>0</v>
      </c>
      <c r="AC694" s="27">
        <v>0</v>
      </c>
      <c r="AD694" s="28">
        <v>0</v>
      </c>
      <c r="AE694" s="27">
        <f>7.33415076/1.18</f>
        <v>6.215382</v>
      </c>
      <c r="AF694" s="28">
        <f>7.5549373386/1.18</f>
        <v>6.4024892700000002</v>
      </c>
      <c r="AG694" s="27">
        <v>0</v>
      </c>
      <c r="AH694" s="28">
        <v>0</v>
      </c>
      <c r="AI694" s="27">
        <v>0</v>
      </c>
      <c r="AJ694" s="27">
        <v>0</v>
      </c>
      <c r="AK694" s="27">
        <v>0</v>
      </c>
      <c r="AL694" s="27">
        <v>0</v>
      </c>
      <c r="AM694" s="27">
        <f t="shared" si="58"/>
        <v>6.4024892700000002</v>
      </c>
      <c r="AN694" s="27">
        <f t="shared" si="56"/>
        <v>6.4024892700000002</v>
      </c>
      <c r="AO694" s="35" t="s">
        <v>1486</v>
      </c>
    </row>
    <row r="695" spans="1:41" ht="31.5" customHeight="1" x14ac:dyDescent="0.25">
      <c r="A695" s="8" t="s">
        <v>130</v>
      </c>
      <c r="B695" s="39" t="s">
        <v>1243</v>
      </c>
      <c r="C695" s="29" t="s">
        <v>1244</v>
      </c>
      <c r="D695" s="38" t="s">
        <v>1481</v>
      </c>
      <c r="E695" s="30">
        <v>2016</v>
      </c>
      <c r="F695" s="30">
        <v>2016</v>
      </c>
      <c r="G695" s="30" t="s">
        <v>1435</v>
      </c>
      <c r="H695" s="27">
        <v>0.24657729805013931</v>
      </c>
      <c r="I695" s="27">
        <v>0.23539849860724235</v>
      </c>
      <c r="J695" s="27">
        <v>0</v>
      </c>
      <c r="K695" s="27">
        <v>1.7704250000000001</v>
      </c>
      <c r="L695" s="27">
        <v>0.17895800000000001</v>
      </c>
      <c r="M695" s="27">
        <v>0.62</v>
      </c>
      <c r="N695" s="27">
        <v>0.97146699999999997</v>
      </c>
      <c r="O695" s="27">
        <v>0</v>
      </c>
      <c r="P695" s="27">
        <v>1.69016122</v>
      </c>
      <c r="Q695" s="27">
        <v>9.4362920000000003E-2</v>
      </c>
      <c r="R695" s="27">
        <v>0.49383811</v>
      </c>
      <c r="S695" s="27">
        <v>1.10196019</v>
      </c>
      <c r="T695" s="27">
        <v>0</v>
      </c>
      <c r="U695" s="27">
        <v>0.24657729805013931</v>
      </c>
      <c r="V695" s="27">
        <v>1.7704250000000001</v>
      </c>
      <c r="W695" s="27">
        <v>0</v>
      </c>
      <c r="X695" s="27">
        <f t="shared" si="57"/>
        <v>0</v>
      </c>
      <c r="Y695" s="27">
        <v>0</v>
      </c>
      <c r="Z695" s="27">
        <f t="shared" si="55"/>
        <v>0</v>
      </c>
      <c r="AA695" s="27">
        <v>0</v>
      </c>
      <c r="AB695" s="28">
        <v>0</v>
      </c>
      <c r="AC695" s="27">
        <v>0</v>
      </c>
      <c r="AD695" s="28">
        <v>0</v>
      </c>
      <c r="AE695" s="27">
        <f>2.0891015/1.18</f>
        <v>1.7704250000000001</v>
      </c>
      <c r="AF695" s="28">
        <f>1.9943902396/1.18</f>
        <v>1.69016122</v>
      </c>
      <c r="AG695" s="27">
        <v>0</v>
      </c>
      <c r="AH695" s="28">
        <v>0</v>
      </c>
      <c r="AI695" s="27">
        <v>0</v>
      </c>
      <c r="AJ695" s="27">
        <v>0</v>
      </c>
      <c r="AK695" s="27">
        <v>0</v>
      </c>
      <c r="AL695" s="27">
        <v>0</v>
      </c>
      <c r="AM695" s="27">
        <f t="shared" si="58"/>
        <v>1.69016122</v>
      </c>
      <c r="AN695" s="27">
        <f t="shared" si="56"/>
        <v>1.69016122</v>
      </c>
      <c r="AO695" s="35" t="s">
        <v>1486</v>
      </c>
    </row>
    <row r="696" spans="1:41" ht="31.5" customHeight="1" x14ac:dyDescent="0.25">
      <c r="A696" s="8" t="s">
        <v>130</v>
      </c>
      <c r="B696" s="39" t="s">
        <v>1245</v>
      </c>
      <c r="C696" s="29" t="s">
        <v>1246</v>
      </c>
      <c r="D696" s="38" t="s">
        <v>1481</v>
      </c>
      <c r="E696" s="30">
        <v>2016</v>
      </c>
      <c r="F696" s="30">
        <v>2016</v>
      </c>
      <c r="G696" s="30" t="s">
        <v>1435</v>
      </c>
      <c r="H696" s="27">
        <v>0.26444986072423399</v>
      </c>
      <c r="I696" s="27">
        <v>0.26370637883008358</v>
      </c>
      <c r="J696" s="27">
        <v>0</v>
      </c>
      <c r="K696" s="27">
        <v>1.8987499999999999</v>
      </c>
      <c r="L696" s="27">
        <v>0.12770000000000001</v>
      </c>
      <c r="M696" s="27">
        <v>0.76700000000000002</v>
      </c>
      <c r="N696" s="27">
        <v>1.0040499999999999</v>
      </c>
      <c r="O696" s="27">
        <v>0</v>
      </c>
      <c r="P696" s="27">
        <v>1.8934118</v>
      </c>
      <c r="Q696" s="27">
        <v>0.10440368999999999</v>
      </c>
      <c r="R696" s="27">
        <v>0.74724888</v>
      </c>
      <c r="S696" s="27">
        <v>1.0417592299999998</v>
      </c>
      <c r="T696" s="27">
        <v>0</v>
      </c>
      <c r="U696" s="27">
        <v>0.26444986072423399</v>
      </c>
      <c r="V696" s="27">
        <v>1.8987499999999999</v>
      </c>
      <c r="W696" s="27">
        <v>0</v>
      </c>
      <c r="X696" s="27">
        <f t="shared" si="57"/>
        <v>0</v>
      </c>
      <c r="Y696" s="27">
        <v>0</v>
      </c>
      <c r="Z696" s="27">
        <f t="shared" si="55"/>
        <v>0</v>
      </c>
      <c r="AA696" s="27">
        <v>0</v>
      </c>
      <c r="AB696" s="28">
        <v>0</v>
      </c>
      <c r="AC696" s="27">
        <v>0</v>
      </c>
      <c r="AD696" s="28">
        <v>0</v>
      </c>
      <c r="AE696" s="27">
        <f>2.240525/1.18</f>
        <v>1.8987499999999999</v>
      </c>
      <c r="AF696" s="28">
        <f>2.234225924/1.18</f>
        <v>1.8934118</v>
      </c>
      <c r="AG696" s="27">
        <v>0</v>
      </c>
      <c r="AH696" s="28">
        <v>0</v>
      </c>
      <c r="AI696" s="27">
        <v>0</v>
      </c>
      <c r="AJ696" s="27">
        <v>0</v>
      </c>
      <c r="AK696" s="27">
        <v>0</v>
      </c>
      <c r="AL696" s="27">
        <v>0</v>
      </c>
      <c r="AM696" s="27">
        <f t="shared" si="58"/>
        <v>1.8934118</v>
      </c>
      <c r="AN696" s="27">
        <f t="shared" si="56"/>
        <v>1.8934118</v>
      </c>
      <c r="AO696" s="35" t="s">
        <v>1486</v>
      </c>
    </row>
    <row r="697" spans="1:41" ht="31.5" customHeight="1" x14ac:dyDescent="0.25">
      <c r="A697" s="8" t="s">
        <v>130</v>
      </c>
      <c r="B697" s="39" t="s">
        <v>1247</v>
      </c>
      <c r="C697" s="29" t="s">
        <v>1248</v>
      </c>
      <c r="D697" s="38" t="s">
        <v>1481</v>
      </c>
      <c r="E697" s="30">
        <v>2016</v>
      </c>
      <c r="F697" s="30">
        <v>2016</v>
      </c>
      <c r="G697" s="30" t="s">
        <v>1435</v>
      </c>
      <c r="H697" s="27">
        <v>0.39956963788300837</v>
      </c>
      <c r="I697" s="27">
        <v>0.40457931197771596</v>
      </c>
      <c r="J697" s="27">
        <v>0</v>
      </c>
      <c r="K697" s="27">
        <v>2.8689100000000001</v>
      </c>
      <c r="L697" s="27">
        <v>0.12770000000000001</v>
      </c>
      <c r="M697" s="27">
        <v>1.579</v>
      </c>
      <c r="N697" s="27">
        <v>1.16221</v>
      </c>
      <c r="O697" s="27">
        <v>0</v>
      </c>
      <c r="P697" s="27">
        <v>2.9048794600000005</v>
      </c>
      <c r="Q697" s="27">
        <v>0.12545877999999999</v>
      </c>
      <c r="R697" s="27">
        <v>1.57924088</v>
      </c>
      <c r="S697" s="27">
        <v>1.2001797999999999</v>
      </c>
      <c r="T697" s="27">
        <v>0</v>
      </c>
      <c r="U697" s="27">
        <v>0.39956963788300837</v>
      </c>
      <c r="V697" s="27">
        <v>2.8689100000000001</v>
      </c>
      <c r="W697" s="27">
        <v>0</v>
      </c>
      <c r="X697" s="27">
        <f t="shared" si="57"/>
        <v>0</v>
      </c>
      <c r="Y697" s="27">
        <v>0</v>
      </c>
      <c r="Z697" s="27">
        <f t="shared" si="55"/>
        <v>0</v>
      </c>
      <c r="AA697" s="27">
        <v>0</v>
      </c>
      <c r="AB697" s="28">
        <v>0</v>
      </c>
      <c r="AC697" s="27">
        <v>0</v>
      </c>
      <c r="AD697" s="28">
        <v>0</v>
      </c>
      <c r="AE697" s="27">
        <f>3.3853138/1.18</f>
        <v>2.8689100000000001</v>
      </c>
      <c r="AF697" s="28">
        <f>3.4277577628/1.18</f>
        <v>2.9048794600000005</v>
      </c>
      <c r="AG697" s="27">
        <v>0</v>
      </c>
      <c r="AH697" s="28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f t="shared" si="58"/>
        <v>2.9048794600000005</v>
      </c>
      <c r="AN697" s="27">
        <f t="shared" si="56"/>
        <v>2.9048794600000005</v>
      </c>
      <c r="AO697" s="35" t="s">
        <v>1486</v>
      </c>
    </row>
    <row r="698" spans="1:41" ht="31.5" customHeight="1" x14ac:dyDescent="0.25">
      <c r="A698" s="8" t="s">
        <v>130</v>
      </c>
      <c r="B698" s="39" t="s">
        <v>1249</v>
      </c>
      <c r="C698" s="29" t="s">
        <v>1250</v>
      </c>
      <c r="D698" s="38" t="s">
        <v>1481</v>
      </c>
      <c r="E698" s="30">
        <v>2016</v>
      </c>
      <c r="F698" s="30">
        <v>2016</v>
      </c>
      <c r="G698" s="30" t="s">
        <v>1435</v>
      </c>
      <c r="H698" s="27">
        <v>0.45266643454039002</v>
      </c>
      <c r="I698" s="27">
        <v>0.47014597353760451</v>
      </c>
      <c r="J698" s="27">
        <v>0</v>
      </c>
      <c r="K698" s="27">
        <v>3.2501450000000003</v>
      </c>
      <c r="L698" s="27">
        <v>0</v>
      </c>
      <c r="M698" s="27">
        <v>1.083</v>
      </c>
      <c r="N698" s="27">
        <v>2.1671450000000001</v>
      </c>
      <c r="O698" s="27">
        <v>0</v>
      </c>
      <c r="P698" s="27">
        <v>3.3756480900000003</v>
      </c>
      <c r="Q698" s="27">
        <v>0.10192482999999999</v>
      </c>
      <c r="R698" s="27">
        <v>1.10842139</v>
      </c>
      <c r="S698" s="27">
        <v>2.16530187</v>
      </c>
      <c r="T698" s="27">
        <v>0</v>
      </c>
      <c r="U698" s="27">
        <v>0.45266643454039002</v>
      </c>
      <c r="V698" s="27">
        <v>3.2501450000000003</v>
      </c>
      <c r="W698" s="27">
        <v>0</v>
      </c>
      <c r="X698" s="27">
        <f t="shared" ref="X698:X729" si="59">AG698+AI698+AK698</f>
        <v>0</v>
      </c>
      <c r="Y698" s="27">
        <v>0</v>
      </c>
      <c r="Z698" s="27">
        <f t="shared" si="55"/>
        <v>0</v>
      </c>
      <c r="AA698" s="27">
        <v>0</v>
      </c>
      <c r="AB698" s="28">
        <v>0</v>
      </c>
      <c r="AC698" s="27">
        <v>0</v>
      </c>
      <c r="AD698" s="28">
        <v>0</v>
      </c>
      <c r="AE698" s="27">
        <f>3.8351711/1.18</f>
        <v>3.2501450000000003</v>
      </c>
      <c r="AF698" s="28">
        <f>3.9832647462/1.18</f>
        <v>3.3756480900000003</v>
      </c>
      <c r="AG698" s="27">
        <v>0</v>
      </c>
      <c r="AH698" s="28">
        <v>0</v>
      </c>
      <c r="AI698" s="27">
        <v>0</v>
      </c>
      <c r="AJ698" s="27">
        <v>0</v>
      </c>
      <c r="AK698" s="27">
        <v>0</v>
      </c>
      <c r="AL698" s="27">
        <v>0</v>
      </c>
      <c r="AM698" s="27">
        <f t="shared" si="58"/>
        <v>3.3756480900000003</v>
      </c>
      <c r="AN698" s="27">
        <f t="shared" si="56"/>
        <v>3.3756480900000003</v>
      </c>
      <c r="AO698" s="35" t="s">
        <v>1486</v>
      </c>
    </row>
    <row r="699" spans="1:41" ht="31.5" customHeight="1" x14ac:dyDescent="0.25">
      <c r="A699" s="8" t="s">
        <v>130</v>
      </c>
      <c r="B699" s="39" t="s">
        <v>1251</v>
      </c>
      <c r="C699" s="29" t="s">
        <v>1252</v>
      </c>
      <c r="D699" s="38" t="s">
        <v>1481</v>
      </c>
      <c r="E699" s="30">
        <v>2016</v>
      </c>
      <c r="F699" s="30">
        <v>2016</v>
      </c>
      <c r="G699" s="30" t="s">
        <v>1435</v>
      </c>
      <c r="H699" s="27">
        <v>7.1245125348189414E-2</v>
      </c>
      <c r="I699" s="27">
        <v>6.6294775766016709E-2</v>
      </c>
      <c r="J699" s="27">
        <v>0</v>
      </c>
      <c r="K699" s="27">
        <v>0.51153999999999999</v>
      </c>
      <c r="L699" s="27">
        <v>0</v>
      </c>
      <c r="M699" s="27">
        <v>6.6592999999999999E-2</v>
      </c>
      <c r="N699" s="27">
        <v>0.44494699999999998</v>
      </c>
      <c r="O699" s="27">
        <v>0</v>
      </c>
      <c r="P699" s="27">
        <v>0.47599648999999999</v>
      </c>
      <c r="Q699" s="27">
        <v>0</v>
      </c>
      <c r="R699" s="27">
        <v>3.2085540000000003E-2</v>
      </c>
      <c r="S699" s="27">
        <v>0.44391095000000003</v>
      </c>
      <c r="T699" s="27">
        <v>0</v>
      </c>
      <c r="U699" s="27">
        <v>7.1245125348189414E-2</v>
      </c>
      <c r="V699" s="27">
        <v>0.51153999999999999</v>
      </c>
      <c r="W699" s="27">
        <v>0</v>
      </c>
      <c r="X699" s="27">
        <f t="shared" si="59"/>
        <v>0</v>
      </c>
      <c r="Y699" s="27">
        <v>0</v>
      </c>
      <c r="Z699" s="27">
        <f t="shared" si="55"/>
        <v>0</v>
      </c>
      <c r="AA699" s="27">
        <v>0</v>
      </c>
      <c r="AB699" s="28">
        <v>0</v>
      </c>
      <c r="AC699" s="27">
        <v>0</v>
      </c>
      <c r="AD699" s="28">
        <v>0</v>
      </c>
      <c r="AE699" s="27">
        <f>0.6036172/1.18</f>
        <v>0.51153999999999999</v>
      </c>
      <c r="AF699" s="28">
        <f>0.5616758582/1.18</f>
        <v>0.47599648999999999</v>
      </c>
      <c r="AG699" s="27">
        <v>0</v>
      </c>
      <c r="AH699" s="28">
        <v>0</v>
      </c>
      <c r="AI699" s="27">
        <v>0</v>
      </c>
      <c r="AJ699" s="27">
        <v>0</v>
      </c>
      <c r="AK699" s="27">
        <v>0</v>
      </c>
      <c r="AL699" s="27">
        <v>0</v>
      </c>
      <c r="AM699" s="27">
        <f t="shared" si="58"/>
        <v>0.47599648999999999</v>
      </c>
      <c r="AN699" s="27">
        <f t="shared" si="56"/>
        <v>0.47599648999999999</v>
      </c>
      <c r="AO699" s="35" t="s">
        <v>1486</v>
      </c>
    </row>
    <row r="700" spans="1:41" ht="31.5" customHeight="1" x14ac:dyDescent="0.25">
      <c r="A700" s="8" t="s">
        <v>130</v>
      </c>
      <c r="B700" s="39" t="s">
        <v>1253</v>
      </c>
      <c r="C700" s="29" t="s">
        <v>406</v>
      </c>
      <c r="D700" s="38" t="s">
        <v>1481</v>
      </c>
      <c r="E700" s="30">
        <v>2016</v>
      </c>
      <c r="F700" s="30">
        <v>2016</v>
      </c>
      <c r="G700" s="30" t="s">
        <v>1435</v>
      </c>
      <c r="H700" s="27">
        <v>6.2284122562674101E-3</v>
      </c>
      <c r="I700" s="27">
        <v>6.2277186629526469E-3</v>
      </c>
      <c r="J700" s="27">
        <v>0</v>
      </c>
      <c r="K700" s="27">
        <v>4.4720000000000003E-2</v>
      </c>
      <c r="L700" s="27">
        <v>0</v>
      </c>
      <c r="M700" s="27">
        <v>2.716E-2</v>
      </c>
      <c r="N700" s="27">
        <v>1.7559999999999999E-2</v>
      </c>
      <c r="O700" s="27">
        <v>0</v>
      </c>
      <c r="P700" s="27">
        <v>4.4715020000000001E-2</v>
      </c>
      <c r="Q700" s="27">
        <v>0</v>
      </c>
      <c r="R700" s="27">
        <v>2.7155909999999998E-2</v>
      </c>
      <c r="S700" s="27">
        <v>1.7559109999999999E-2</v>
      </c>
      <c r="T700" s="27">
        <v>0</v>
      </c>
      <c r="U700" s="27">
        <v>6.2284122562674101E-3</v>
      </c>
      <c r="V700" s="27">
        <v>4.4720000000000003E-2</v>
      </c>
      <c r="W700" s="27">
        <v>0</v>
      </c>
      <c r="X700" s="27">
        <f t="shared" si="59"/>
        <v>0</v>
      </c>
      <c r="Y700" s="27">
        <v>0</v>
      </c>
      <c r="Z700" s="27">
        <f t="shared" si="55"/>
        <v>0</v>
      </c>
      <c r="AA700" s="27">
        <v>0</v>
      </c>
      <c r="AB700" s="28">
        <v>0</v>
      </c>
      <c r="AC700" s="27">
        <v>0</v>
      </c>
      <c r="AD700" s="28">
        <v>0</v>
      </c>
      <c r="AE700" s="27">
        <f>0.0527696/1.18</f>
        <v>4.4720000000000003E-2</v>
      </c>
      <c r="AF700" s="28">
        <f>0.0527637236/1.18</f>
        <v>4.4715020000000001E-2</v>
      </c>
      <c r="AG700" s="27">
        <v>0</v>
      </c>
      <c r="AH700" s="28">
        <v>0</v>
      </c>
      <c r="AI700" s="27">
        <v>0</v>
      </c>
      <c r="AJ700" s="27">
        <v>0</v>
      </c>
      <c r="AK700" s="27">
        <v>0</v>
      </c>
      <c r="AL700" s="27">
        <v>0</v>
      </c>
      <c r="AM700" s="27">
        <f t="shared" si="58"/>
        <v>4.4715020000000001E-2</v>
      </c>
      <c r="AN700" s="27">
        <f t="shared" si="56"/>
        <v>4.4715020000000001E-2</v>
      </c>
      <c r="AO700" s="35" t="s">
        <v>1435</v>
      </c>
    </row>
    <row r="701" spans="1:41" ht="31.5" customHeight="1" x14ac:dyDescent="0.25">
      <c r="A701" s="8" t="s">
        <v>130</v>
      </c>
      <c r="B701" s="39" t="s">
        <v>1254</v>
      </c>
      <c r="C701" s="29" t="s">
        <v>1255</v>
      </c>
      <c r="D701" s="38" t="s">
        <v>1481</v>
      </c>
      <c r="E701" s="30">
        <v>2016</v>
      </c>
      <c r="F701" s="30">
        <v>2016</v>
      </c>
      <c r="G701" s="30" t="s">
        <v>1435</v>
      </c>
      <c r="H701" s="27">
        <v>8.187186629526463E-3</v>
      </c>
      <c r="I701" s="27">
        <v>8.1872952646239554E-3</v>
      </c>
      <c r="J701" s="27">
        <v>0</v>
      </c>
      <c r="K701" s="27">
        <v>5.8784000000000003E-2</v>
      </c>
      <c r="L701" s="27">
        <v>0</v>
      </c>
      <c r="M701" s="27">
        <v>2.7157000000000001E-2</v>
      </c>
      <c r="N701" s="27">
        <v>3.1627000000000002E-2</v>
      </c>
      <c r="O701" s="27">
        <v>0</v>
      </c>
      <c r="P701" s="27">
        <v>5.8784780000000002E-2</v>
      </c>
      <c r="Q701" s="27">
        <v>0</v>
      </c>
      <c r="R701" s="27">
        <v>2.7155909999999998E-2</v>
      </c>
      <c r="S701" s="27">
        <v>3.1628869999999996E-2</v>
      </c>
      <c r="T701" s="27">
        <v>0</v>
      </c>
      <c r="U701" s="27">
        <v>8.187186629526463E-3</v>
      </c>
      <c r="V701" s="27">
        <v>5.8784000000000003E-2</v>
      </c>
      <c r="W701" s="27">
        <v>0</v>
      </c>
      <c r="X701" s="27">
        <f t="shared" si="59"/>
        <v>0</v>
      </c>
      <c r="Y701" s="27">
        <v>0</v>
      </c>
      <c r="Z701" s="27">
        <f t="shared" si="55"/>
        <v>0</v>
      </c>
      <c r="AA701" s="27">
        <v>0</v>
      </c>
      <c r="AB701" s="28">
        <v>0</v>
      </c>
      <c r="AC701" s="27">
        <v>0</v>
      </c>
      <c r="AD701" s="28">
        <v>0</v>
      </c>
      <c r="AE701" s="27">
        <f>0.06936512/1.18</f>
        <v>5.8784000000000003E-2</v>
      </c>
      <c r="AF701" s="28">
        <f>0.0693660404/1.18</f>
        <v>5.8784780000000002E-2</v>
      </c>
      <c r="AG701" s="27">
        <v>0</v>
      </c>
      <c r="AH701" s="28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f t="shared" si="58"/>
        <v>5.8784780000000002E-2</v>
      </c>
      <c r="AN701" s="27">
        <f t="shared" si="56"/>
        <v>5.8784780000000002E-2</v>
      </c>
      <c r="AO701" s="35" t="s">
        <v>1435</v>
      </c>
    </row>
    <row r="702" spans="1:41" ht="31.5" customHeight="1" x14ac:dyDescent="0.25">
      <c r="A702" s="8" t="s">
        <v>130</v>
      </c>
      <c r="B702" s="39" t="s">
        <v>1473</v>
      </c>
      <c r="C702" s="29" t="s">
        <v>1474</v>
      </c>
      <c r="D702" s="38" t="s">
        <v>1481</v>
      </c>
      <c r="E702" s="30">
        <v>2016</v>
      </c>
      <c r="F702" s="30">
        <v>2016</v>
      </c>
      <c r="G702" s="30" t="s">
        <v>1435</v>
      </c>
      <c r="H702" s="27">
        <v>0</v>
      </c>
      <c r="I702" s="27">
        <v>6.3745682451253486E-3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0</v>
      </c>
      <c r="P702" s="27">
        <v>4.5769400000000002E-2</v>
      </c>
      <c r="Q702" s="27">
        <v>0</v>
      </c>
      <c r="R702" s="27">
        <v>1.8527229999999999E-2</v>
      </c>
      <c r="S702" s="27">
        <v>2.7242170000000003E-2</v>
      </c>
      <c r="T702" s="27">
        <v>0</v>
      </c>
      <c r="U702" s="27">
        <v>0</v>
      </c>
      <c r="V702" s="27">
        <v>0</v>
      </c>
      <c r="W702" s="27">
        <v>0</v>
      </c>
      <c r="X702" s="27">
        <f t="shared" si="59"/>
        <v>0</v>
      </c>
      <c r="Y702" s="27">
        <v>0</v>
      </c>
      <c r="Z702" s="27">
        <f t="shared" si="55"/>
        <v>0</v>
      </c>
      <c r="AA702" s="27">
        <v>0</v>
      </c>
      <c r="AB702" s="28">
        <v>0</v>
      </c>
      <c r="AC702" s="27">
        <v>0</v>
      </c>
      <c r="AD702" s="28">
        <v>0</v>
      </c>
      <c r="AE702" s="27">
        <v>0</v>
      </c>
      <c r="AF702" s="28">
        <v>4.5769400000000002E-2</v>
      </c>
      <c r="AG702" s="27">
        <v>0</v>
      </c>
      <c r="AH702" s="28">
        <v>0</v>
      </c>
      <c r="AI702" s="27">
        <v>0</v>
      </c>
      <c r="AJ702" s="27">
        <v>0</v>
      </c>
      <c r="AK702" s="27">
        <v>0</v>
      </c>
      <c r="AL702" s="27">
        <v>0</v>
      </c>
      <c r="AM702" s="27">
        <f t="shared" si="58"/>
        <v>4.5769400000000002E-2</v>
      </c>
      <c r="AN702" s="27">
        <f t="shared" si="56"/>
        <v>4.5769400000000002E-2</v>
      </c>
      <c r="AO702" s="35" t="s">
        <v>1488</v>
      </c>
    </row>
    <row r="703" spans="1:41" ht="31.5" customHeight="1" x14ac:dyDescent="0.25">
      <c r="A703" s="8" t="s">
        <v>130</v>
      </c>
      <c r="B703" s="39" t="s">
        <v>1256</v>
      </c>
      <c r="C703" s="29" t="s">
        <v>1257</v>
      </c>
      <c r="D703" s="38" t="s">
        <v>1483</v>
      </c>
      <c r="E703" s="30">
        <v>2017</v>
      </c>
      <c r="F703" s="30">
        <v>2017</v>
      </c>
      <c r="G703" s="30">
        <v>2017</v>
      </c>
      <c r="H703" s="27">
        <v>2.2322894150417829</v>
      </c>
      <c r="I703" s="27">
        <v>1.1161447075208915</v>
      </c>
      <c r="J703" s="27">
        <v>0</v>
      </c>
      <c r="K703" s="27">
        <v>16.027837999999999</v>
      </c>
      <c r="L703" s="27">
        <v>0.60783799999999999</v>
      </c>
      <c r="M703" s="27">
        <v>6</v>
      </c>
      <c r="N703" s="27">
        <v>9.42</v>
      </c>
      <c r="O703" s="27">
        <v>0</v>
      </c>
      <c r="P703" s="27">
        <v>8.0139189999999996</v>
      </c>
      <c r="Q703" s="27">
        <v>0.30391899999999999</v>
      </c>
      <c r="R703" s="27">
        <v>3</v>
      </c>
      <c r="S703" s="27">
        <v>4.71</v>
      </c>
      <c r="T703" s="27">
        <v>0</v>
      </c>
      <c r="U703" s="27">
        <v>2.2322894150417829</v>
      </c>
      <c r="V703" s="27">
        <v>16.027837999999999</v>
      </c>
      <c r="W703" s="27">
        <v>1.1161447075208915</v>
      </c>
      <c r="X703" s="27">
        <f t="shared" si="59"/>
        <v>8.0139189999999996</v>
      </c>
      <c r="Y703" s="27">
        <v>1.1161447075208915</v>
      </c>
      <c r="Z703" s="27">
        <f t="shared" si="55"/>
        <v>8.0139189999999996</v>
      </c>
      <c r="AA703" s="27">
        <v>0</v>
      </c>
      <c r="AB703" s="28">
        <v>0</v>
      </c>
      <c r="AC703" s="27">
        <v>0</v>
      </c>
      <c r="AD703" s="28">
        <v>0</v>
      </c>
      <c r="AE703" s="27">
        <v>0</v>
      </c>
      <c r="AF703" s="28">
        <v>0</v>
      </c>
      <c r="AG703" s="27">
        <f>9.45642442/1.18</f>
        <v>8.0139189999999996</v>
      </c>
      <c r="AH703" s="28">
        <f>9.45642442/1.18</f>
        <v>8.0139189999999996</v>
      </c>
      <c r="AI703" s="27">
        <v>0</v>
      </c>
      <c r="AJ703" s="27">
        <v>0</v>
      </c>
      <c r="AK703" s="27">
        <v>0</v>
      </c>
      <c r="AL703" s="27">
        <v>0</v>
      </c>
      <c r="AM703" s="27">
        <f t="shared" si="58"/>
        <v>8.0139189999999996</v>
      </c>
      <c r="AN703" s="27">
        <f t="shared" si="56"/>
        <v>8.0139189999999996</v>
      </c>
      <c r="AO703" s="35" t="s">
        <v>1490</v>
      </c>
    </row>
    <row r="704" spans="1:41" ht="31.5" customHeight="1" x14ac:dyDescent="0.25">
      <c r="A704" s="8" t="s">
        <v>130</v>
      </c>
      <c r="B704" s="39" t="s">
        <v>1258</v>
      </c>
      <c r="C704" s="29" t="s">
        <v>1259</v>
      </c>
      <c r="D704" s="38" t="s">
        <v>1483</v>
      </c>
      <c r="E704" s="30">
        <v>2017</v>
      </c>
      <c r="F704" s="30">
        <v>2017</v>
      </c>
      <c r="G704" s="30">
        <v>2017</v>
      </c>
      <c r="H704" s="27">
        <v>0.36056135236768805</v>
      </c>
      <c r="I704" s="27">
        <v>0.36056135236768805</v>
      </c>
      <c r="J704" s="27">
        <v>0</v>
      </c>
      <c r="K704" s="27">
        <v>2.5888305100000002</v>
      </c>
      <c r="L704" s="27">
        <v>0.15</v>
      </c>
      <c r="M704" s="27">
        <v>1.6779661000000001</v>
      </c>
      <c r="N704" s="27">
        <v>0.76086441000000005</v>
      </c>
      <c r="O704" s="27">
        <v>0</v>
      </c>
      <c r="P704" s="27">
        <v>2.5888305100000002</v>
      </c>
      <c r="Q704" s="27">
        <v>0.15</v>
      </c>
      <c r="R704" s="27">
        <v>1.6779661000000001</v>
      </c>
      <c r="S704" s="27">
        <v>0.76086441000000005</v>
      </c>
      <c r="T704" s="27">
        <v>0</v>
      </c>
      <c r="U704" s="27">
        <v>0.36056135236768805</v>
      </c>
      <c r="V704" s="27">
        <v>2.5888305100000002</v>
      </c>
      <c r="W704" s="27">
        <v>0</v>
      </c>
      <c r="X704" s="27">
        <f t="shared" si="59"/>
        <v>0</v>
      </c>
      <c r="Y704" s="27">
        <v>0.36056135236768805</v>
      </c>
      <c r="Z704" s="27">
        <f t="shared" si="55"/>
        <v>2.5888305100000002</v>
      </c>
      <c r="AA704" s="27">
        <v>0</v>
      </c>
      <c r="AB704" s="28">
        <v>0</v>
      </c>
      <c r="AC704" s="27">
        <v>0</v>
      </c>
      <c r="AD704" s="28">
        <v>0</v>
      </c>
      <c r="AE704" s="27">
        <v>0</v>
      </c>
      <c r="AF704" s="28">
        <v>0</v>
      </c>
      <c r="AG704" s="27">
        <v>0</v>
      </c>
      <c r="AH704" s="28">
        <f>3.0548200018/1.18</f>
        <v>2.5888305100000002</v>
      </c>
      <c r="AI704" s="27">
        <v>0</v>
      </c>
      <c r="AJ704" s="27">
        <v>0</v>
      </c>
      <c r="AK704" s="27">
        <v>0</v>
      </c>
      <c r="AL704" s="27">
        <v>0</v>
      </c>
      <c r="AM704" s="27">
        <f t="shared" si="58"/>
        <v>0</v>
      </c>
      <c r="AN704" s="27">
        <f t="shared" si="56"/>
        <v>2.5888305100000002</v>
      </c>
      <c r="AO704" s="35" t="s">
        <v>1488</v>
      </c>
    </row>
    <row r="705" spans="1:41" ht="31.5" customHeight="1" x14ac:dyDescent="0.25">
      <c r="A705" s="8" t="s">
        <v>130</v>
      </c>
      <c r="B705" s="39" t="s">
        <v>1260</v>
      </c>
      <c r="C705" s="29" t="s">
        <v>1261</v>
      </c>
      <c r="D705" s="38" t="s">
        <v>1483</v>
      </c>
      <c r="E705" s="30">
        <v>2017</v>
      </c>
      <c r="F705" s="30">
        <v>2017</v>
      </c>
      <c r="G705" s="30">
        <v>2017</v>
      </c>
      <c r="H705" s="27">
        <v>0.10447570891364902</v>
      </c>
      <c r="I705" s="27">
        <v>0.10447570891364902</v>
      </c>
      <c r="J705" s="27">
        <v>0</v>
      </c>
      <c r="K705" s="27">
        <v>0.75013558999999996</v>
      </c>
      <c r="L705" s="27">
        <v>8.5000000000000006E-2</v>
      </c>
      <c r="M705" s="27">
        <v>0.45762712</v>
      </c>
      <c r="N705" s="27">
        <v>0.20750847</v>
      </c>
      <c r="O705" s="27">
        <v>0</v>
      </c>
      <c r="P705" s="27">
        <v>0.75013558999999996</v>
      </c>
      <c r="Q705" s="27">
        <v>8.5000000000000006E-2</v>
      </c>
      <c r="R705" s="27">
        <v>0.45762712</v>
      </c>
      <c r="S705" s="27">
        <v>0.20750847</v>
      </c>
      <c r="T705" s="27">
        <v>0</v>
      </c>
      <c r="U705" s="27">
        <v>0.10447570891364902</v>
      </c>
      <c r="V705" s="27">
        <v>0.75013558999999996</v>
      </c>
      <c r="W705" s="27">
        <v>0</v>
      </c>
      <c r="X705" s="27">
        <f t="shared" si="59"/>
        <v>0</v>
      </c>
      <c r="Y705" s="27">
        <v>0.10447570891364902</v>
      </c>
      <c r="Z705" s="27">
        <f t="shared" ref="Z705:Z768" si="60">AH705</f>
        <v>0.75013558999999996</v>
      </c>
      <c r="AA705" s="27">
        <v>0</v>
      </c>
      <c r="AB705" s="28">
        <v>0</v>
      </c>
      <c r="AC705" s="27">
        <v>0</v>
      </c>
      <c r="AD705" s="28">
        <v>0</v>
      </c>
      <c r="AE705" s="27">
        <v>0</v>
      </c>
      <c r="AF705" s="28">
        <v>0</v>
      </c>
      <c r="AG705" s="27">
        <v>0</v>
      </c>
      <c r="AH705" s="28">
        <f>0.8851599962/1.18</f>
        <v>0.75013558999999996</v>
      </c>
      <c r="AI705" s="27">
        <v>0</v>
      </c>
      <c r="AJ705" s="27">
        <v>0</v>
      </c>
      <c r="AK705" s="27">
        <v>0</v>
      </c>
      <c r="AL705" s="27">
        <v>0</v>
      </c>
      <c r="AM705" s="27">
        <f t="shared" si="58"/>
        <v>0</v>
      </c>
      <c r="AN705" s="27">
        <f t="shared" si="56"/>
        <v>0.75013558999999996</v>
      </c>
      <c r="AO705" s="35" t="s">
        <v>1488</v>
      </c>
    </row>
    <row r="706" spans="1:41" ht="31.5" customHeight="1" x14ac:dyDescent="0.25">
      <c r="A706" s="8" t="s">
        <v>130</v>
      </c>
      <c r="B706" s="39" t="s">
        <v>1262</v>
      </c>
      <c r="C706" s="29" t="s">
        <v>1263</v>
      </c>
      <c r="D706" s="38" t="s">
        <v>1483</v>
      </c>
      <c r="E706" s="30">
        <v>2017</v>
      </c>
      <c r="F706" s="30">
        <v>2017</v>
      </c>
      <c r="G706" s="30">
        <v>2017</v>
      </c>
      <c r="H706" s="27">
        <v>0.75982172701949857</v>
      </c>
      <c r="I706" s="27">
        <v>0.37991086350974929</v>
      </c>
      <c r="J706" s="27">
        <v>0</v>
      </c>
      <c r="K706" s="27">
        <v>5.4555199999999999</v>
      </c>
      <c r="L706" s="27">
        <v>0.40788000000000002</v>
      </c>
      <c r="M706" s="27">
        <v>2.6</v>
      </c>
      <c r="N706" s="27">
        <v>2.4476399999999998</v>
      </c>
      <c r="O706" s="27">
        <v>0</v>
      </c>
      <c r="P706" s="27">
        <v>2.72776</v>
      </c>
      <c r="Q706" s="27">
        <v>0.20394000000000001</v>
      </c>
      <c r="R706" s="27">
        <v>1.3</v>
      </c>
      <c r="S706" s="27">
        <v>1.2238199999999999</v>
      </c>
      <c r="T706" s="27">
        <v>0</v>
      </c>
      <c r="U706" s="27">
        <v>0.75982172701949857</v>
      </c>
      <c r="V706" s="27">
        <v>5.4555199999999999</v>
      </c>
      <c r="W706" s="27">
        <v>0.37991086350974929</v>
      </c>
      <c r="X706" s="27">
        <f t="shared" si="59"/>
        <v>2.72776</v>
      </c>
      <c r="Y706" s="27">
        <v>0.37991086350974929</v>
      </c>
      <c r="Z706" s="27">
        <f t="shared" si="60"/>
        <v>2.72776</v>
      </c>
      <c r="AA706" s="27">
        <v>0</v>
      </c>
      <c r="AB706" s="28">
        <v>0</v>
      </c>
      <c r="AC706" s="27">
        <v>0</v>
      </c>
      <c r="AD706" s="28">
        <v>0</v>
      </c>
      <c r="AE706" s="27">
        <v>0</v>
      </c>
      <c r="AF706" s="28">
        <v>0</v>
      </c>
      <c r="AG706" s="27">
        <f>3.2187568/1.18</f>
        <v>2.72776</v>
      </c>
      <c r="AH706" s="28">
        <f>3.2187568/1.18</f>
        <v>2.72776</v>
      </c>
      <c r="AI706" s="27">
        <v>0</v>
      </c>
      <c r="AJ706" s="27">
        <v>0</v>
      </c>
      <c r="AK706" s="27">
        <v>0</v>
      </c>
      <c r="AL706" s="27">
        <v>0</v>
      </c>
      <c r="AM706" s="27">
        <f t="shared" si="58"/>
        <v>2.72776</v>
      </c>
      <c r="AN706" s="27">
        <f t="shared" si="56"/>
        <v>2.72776</v>
      </c>
      <c r="AO706" s="35" t="s">
        <v>1486</v>
      </c>
    </row>
    <row r="707" spans="1:41" ht="31.5" customHeight="1" x14ac:dyDescent="0.25">
      <c r="A707" s="8" t="s">
        <v>130</v>
      </c>
      <c r="B707" s="39" t="s">
        <v>1264</v>
      </c>
      <c r="C707" s="29" t="s">
        <v>1265</v>
      </c>
      <c r="D707" s="38" t="s">
        <v>1483</v>
      </c>
      <c r="E707" s="30">
        <v>2017</v>
      </c>
      <c r="F707" s="30">
        <v>2017</v>
      </c>
      <c r="G707" s="30">
        <v>2017</v>
      </c>
      <c r="H707" s="27">
        <v>7.2485899721448472</v>
      </c>
      <c r="I707" s="27">
        <v>3.6242949860724236</v>
      </c>
      <c r="J707" s="27">
        <v>0</v>
      </c>
      <c r="K707" s="27">
        <v>52.044876000000002</v>
      </c>
      <c r="L707" s="27">
        <v>1.4325559999999999</v>
      </c>
      <c r="M707" s="27">
        <v>23.416</v>
      </c>
      <c r="N707" s="27">
        <v>27.19632</v>
      </c>
      <c r="O707" s="27">
        <v>0</v>
      </c>
      <c r="P707" s="27">
        <v>26.022438000000001</v>
      </c>
      <c r="Q707" s="27">
        <v>0.71627799999999997</v>
      </c>
      <c r="R707" s="27">
        <v>11.708</v>
      </c>
      <c r="S707" s="27">
        <v>13.59816</v>
      </c>
      <c r="T707" s="27">
        <v>0</v>
      </c>
      <c r="U707" s="27">
        <v>7.2485899721448472</v>
      </c>
      <c r="V707" s="27">
        <v>52.044876000000002</v>
      </c>
      <c r="W707" s="27">
        <v>3.6242949860724236</v>
      </c>
      <c r="X707" s="27">
        <f t="shared" si="59"/>
        <v>26.022438000000001</v>
      </c>
      <c r="Y707" s="27">
        <v>3.6242949860724236</v>
      </c>
      <c r="Z707" s="27">
        <f t="shared" si="60"/>
        <v>26.022438000000001</v>
      </c>
      <c r="AA707" s="27">
        <v>0</v>
      </c>
      <c r="AB707" s="28">
        <v>0</v>
      </c>
      <c r="AC707" s="27">
        <v>0</v>
      </c>
      <c r="AD707" s="28">
        <v>0</v>
      </c>
      <c r="AE707" s="27">
        <v>0</v>
      </c>
      <c r="AF707" s="28">
        <v>0</v>
      </c>
      <c r="AG707" s="27">
        <f>30.70647684/1.18</f>
        <v>26.022438000000001</v>
      </c>
      <c r="AH707" s="28">
        <f>30.70647684/1.18</f>
        <v>26.022438000000001</v>
      </c>
      <c r="AI707" s="27">
        <v>0</v>
      </c>
      <c r="AJ707" s="27">
        <v>0</v>
      </c>
      <c r="AK707" s="27">
        <v>0</v>
      </c>
      <c r="AL707" s="27">
        <v>0</v>
      </c>
      <c r="AM707" s="27">
        <f t="shared" si="58"/>
        <v>26.022438000000001</v>
      </c>
      <c r="AN707" s="27">
        <f t="shared" si="56"/>
        <v>26.022438000000001</v>
      </c>
      <c r="AO707" s="35" t="s">
        <v>1490</v>
      </c>
    </row>
    <row r="708" spans="1:41" ht="31.5" customHeight="1" x14ac:dyDescent="0.25">
      <c r="A708" s="8" t="s">
        <v>130</v>
      </c>
      <c r="B708" s="39" t="s">
        <v>1267</v>
      </c>
      <c r="C708" s="29" t="s">
        <v>1268</v>
      </c>
      <c r="D708" s="38" t="s">
        <v>1483</v>
      </c>
      <c r="E708" s="30">
        <v>2017</v>
      </c>
      <c r="F708" s="30">
        <v>2017</v>
      </c>
      <c r="G708" s="30">
        <v>2017</v>
      </c>
      <c r="H708" s="27">
        <v>2.489772579387187</v>
      </c>
      <c r="I708" s="27">
        <v>2.489772579387187</v>
      </c>
      <c r="J708" s="27">
        <v>0</v>
      </c>
      <c r="K708" s="27">
        <v>17.876567120000001</v>
      </c>
      <c r="L708" s="27">
        <v>0.6</v>
      </c>
      <c r="M708" s="27">
        <v>8.0500000000000007</v>
      </c>
      <c r="N708" s="27">
        <v>9.2265671200000003</v>
      </c>
      <c r="O708" s="27">
        <v>0</v>
      </c>
      <c r="P708" s="27">
        <v>17.876567120000001</v>
      </c>
      <c r="Q708" s="27">
        <v>0.6</v>
      </c>
      <c r="R708" s="27">
        <v>8.0500000000000007</v>
      </c>
      <c r="S708" s="27">
        <v>9.2265671200000003</v>
      </c>
      <c r="T708" s="27">
        <v>0</v>
      </c>
      <c r="U708" s="27">
        <v>2.489772579387187</v>
      </c>
      <c r="V708" s="27">
        <v>17.876567120000001</v>
      </c>
      <c r="W708" s="27">
        <v>0</v>
      </c>
      <c r="X708" s="27">
        <f t="shared" si="59"/>
        <v>0</v>
      </c>
      <c r="Y708" s="27">
        <v>2.489772579387187</v>
      </c>
      <c r="Z708" s="27">
        <f t="shared" si="60"/>
        <v>17.876567120000001</v>
      </c>
      <c r="AA708" s="27">
        <v>0</v>
      </c>
      <c r="AB708" s="28">
        <v>0</v>
      </c>
      <c r="AC708" s="27">
        <v>0</v>
      </c>
      <c r="AD708" s="28">
        <v>0</v>
      </c>
      <c r="AE708" s="27">
        <v>0</v>
      </c>
      <c r="AF708" s="28">
        <v>0</v>
      </c>
      <c r="AG708" s="27">
        <v>0</v>
      </c>
      <c r="AH708" s="28">
        <f>21.0943492016/1.18</f>
        <v>17.876567120000001</v>
      </c>
      <c r="AI708" s="27">
        <v>0</v>
      </c>
      <c r="AJ708" s="27">
        <v>0</v>
      </c>
      <c r="AK708" s="27">
        <v>0</v>
      </c>
      <c r="AL708" s="27">
        <v>0</v>
      </c>
      <c r="AM708" s="27">
        <f t="shared" si="58"/>
        <v>0</v>
      </c>
      <c r="AN708" s="27">
        <f t="shared" si="56"/>
        <v>17.876567120000001</v>
      </c>
      <c r="AO708" s="35" t="s">
        <v>1486</v>
      </c>
    </row>
    <row r="709" spans="1:41" ht="31.5" customHeight="1" x14ac:dyDescent="0.25">
      <c r="A709" s="8" t="s">
        <v>130</v>
      </c>
      <c r="B709" s="39" t="s">
        <v>1269</v>
      </c>
      <c r="C709" s="29" t="s">
        <v>1270</v>
      </c>
      <c r="D709" s="38" t="s">
        <v>1483</v>
      </c>
      <c r="E709" s="30">
        <v>2017</v>
      </c>
      <c r="F709" s="30">
        <v>2017</v>
      </c>
      <c r="G709" s="30">
        <v>2017</v>
      </c>
      <c r="H709" s="27">
        <v>11.777696004973254</v>
      </c>
      <c r="I709" s="27">
        <v>5.4817498723711706</v>
      </c>
      <c r="J709" s="27">
        <v>0</v>
      </c>
      <c r="K709" s="27">
        <v>84.563857315707963</v>
      </c>
      <c r="L709" s="27">
        <v>1.4331725500000001</v>
      </c>
      <c r="M709" s="27">
        <v>41.506022639999998</v>
      </c>
      <c r="N709" s="27">
        <v>41.624661912082999</v>
      </c>
      <c r="O709" s="27">
        <v>0</v>
      </c>
      <c r="P709" s="27">
        <v>39.358964083625004</v>
      </c>
      <c r="Q709" s="27">
        <v>0.71693655000000001</v>
      </c>
      <c r="R709" s="27">
        <v>17.627118639999999</v>
      </c>
      <c r="S709" s="27">
        <v>21.014908680000001</v>
      </c>
      <c r="T709" s="27">
        <v>0</v>
      </c>
      <c r="U709" s="27">
        <v>11.777696004973254</v>
      </c>
      <c r="V709" s="27">
        <v>84.563857315707963</v>
      </c>
      <c r="W709" s="27">
        <v>6.2959461326020847</v>
      </c>
      <c r="X709" s="27">
        <f t="shared" si="59"/>
        <v>45.204893232082966</v>
      </c>
      <c r="Y709" s="27">
        <v>5.4817498723711706</v>
      </c>
      <c r="Z709" s="27">
        <f t="shared" si="60"/>
        <v>39.358964083625004</v>
      </c>
      <c r="AA709" s="27">
        <v>0</v>
      </c>
      <c r="AB709" s="28">
        <v>0</v>
      </c>
      <c r="AC709" s="27">
        <v>0</v>
      </c>
      <c r="AD709" s="28">
        <v>0</v>
      </c>
      <c r="AE709" s="27">
        <v>0</v>
      </c>
      <c r="AF709" s="28">
        <v>0</v>
      </c>
      <c r="AG709" s="27">
        <f>53.3417740138579/1.18</f>
        <v>45.204893232082966</v>
      </c>
      <c r="AH709" s="28">
        <f>46.4435776186775/1.18</f>
        <v>39.358964083625004</v>
      </c>
      <c r="AI709" s="27">
        <v>0</v>
      </c>
      <c r="AJ709" s="27">
        <v>0</v>
      </c>
      <c r="AK709" s="27">
        <v>0</v>
      </c>
      <c r="AL709" s="27">
        <v>0</v>
      </c>
      <c r="AM709" s="27">
        <f t="shared" si="58"/>
        <v>45.204893232082966</v>
      </c>
      <c r="AN709" s="27">
        <f t="shared" si="56"/>
        <v>39.358964083625004</v>
      </c>
      <c r="AO709" s="35" t="s">
        <v>1490</v>
      </c>
    </row>
    <row r="710" spans="1:41" ht="31.5" customHeight="1" x14ac:dyDescent="0.25">
      <c r="A710" s="8" t="s">
        <v>130</v>
      </c>
      <c r="B710" s="39" t="s">
        <v>1272</v>
      </c>
      <c r="C710" s="29" t="s">
        <v>1273</v>
      </c>
      <c r="D710" s="38" t="s">
        <v>1483</v>
      </c>
      <c r="E710" s="30">
        <v>2017</v>
      </c>
      <c r="F710" s="30">
        <v>2017</v>
      </c>
      <c r="G710" s="30">
        <v>2017</v>
      </c>
      <c r="H710" s="27">
        <v>1.2158746376469478</v>
      </c>
      <c r="I710" s="27">
        <v>0.6079373188234739</v>
      </c>
      <c r="J710" s="27">
        <v>0</v>
      </c>
      <c r="K710" s="27">
        <v>8.7299798983050856</v>
      </c>
      <c r="L710" s="27">
        <v>0.457359898305084</v>
      </c>
      <c r="M710" s="27">
        <v>3.2</v>
      </c>
      <c r="N710" s="27">
        <v>5.0726199999999997</v>
      </c>
      <c r="O710" s="27">
        <v>0</v>
      </c>
      <c r="P710" s="27">
        <v>4.3649899491525428</v>
      </c>
      <c r="Q710" s="27">
        <v>0.228679949152542</v>
      </c>
      <c r="R710" s="27">
        <v>1.6</v>
      </c>
      <c r="S710" s="27">
        <v>2.5363099999999998</v>
      </c>
      <c r="T710" s="27">
        <v>0</v>
      </c>
      <c r="U710" s="27">
        <v>1.2158746376469478</v>
      </c>
      <c r="V710" s="27">
        <v>8.7299798983050856</v>
      </c>
      <c r="W710" s="27">
        <v>0.6079373188234739</v>
      </c>
      <c r="X710" s="27">
        <f t="shared" si="59"/>
        <v>4.3649899491525428</v>
      </c>
      <c r="Y710" s="27">
        <v>0.6079373188234739</v>
      </c>
      <c r="Z710" s="27">
        <f t="shared" si="60"/>
        <v>4.3649899491525428</v>
      </c>
      <c r="AA710" s="27">
        <v>0</v>
      </c>
      <c r="AB710" s="28">
        <v>0</v>
      </c>
      <c r="AC710" s="27">
        <v>0</v>
      </c>
      <c r="AD710" s="28">
        <v>0</v>
      </c>
      <c r="AE710" s="27">
        <v>0</v>
      </c>
      <c r="AF710" s="28">
        <v>0</v>
      </c>
      <c r="AG710" s="27">
        <f>5.15068814/1.18</f>
        <v>4.3649899491525428</v>
      </c>
      <c r="AH710" s="28">
        <f>5.15068814/1.18</f>
        <v>4.3649899491525428</v>
      </c>
      <c r="AI710" s="27">
        <v>0</v>
      </c>
      <c r="AJ710" s="27">
        <v>0</v>
      </c>
      <c r="AK710" s="27">
        <v>0</v>
      </c>
      <c r="AL710" s="27">
        <v>0</v>
      </c>
      <c r="AM710" s="27">
        <f t="shared" si="58"/>
        <v>4.3649899491525428</v>
      </c>
      <c r="AN710" s="27">
        <f t="shared" si="56"/>
        <v>4.3649899491525428</v>
      </c>
      <c r="AO710" s="35" t="s">
        <v>1490</v>
      </c>
    </row>
    <row r="711" spans="1:41" ht="31.5" customHeight="1" x14ac:dyDescent="0.25">
      <c r="A711" s="8" t="s">
        <v>130</v>
      </c>
      <c r="B711" s="39" t="s">
        <v>1274</v>
      </c>
      <c r="C711" s="29" t="s">
        <v>1275</v>
      </c>
      <c r="D711" s="38" t="s">
        <v>1483</v>
      </c>
      <c r="E711" s="30">
        <v>2017</v>
      </c>
      <c r="F711" s="30">
        <v>2017</v>
      </c>
      <c r="G711" s="30">
        <v>2017</v>
      </c>
      <c r="H711" s="27">
        <v>0.70888203342618383</v>
      </c>
      <c r="I711" s="27">
        <v>0.35444101671309192</v>
      </c>
      <c r="J711" s="27">
        <v>0</v>
      </c>
      <c r="K711" s="27">
        <v>5.0897730000000001</v>
      </c>
      <c r="L711" s="27">
        <v>0.36303299999999999</v>
      </c>
      <c r="M711" s="27">
        <v>2</v>
      </c>
      <c r="N711" s="27">
        <v>2.7267399999999999</v>
      </c>
      <c r="O711" s="27">
        <v>0</v>
      </c>
      <c r="P711" s="27">
        <v>2.5448865000000001</v>
      </c>
      <c r="Q711" s="27">
        <v>0.1815165</v>
      </c>
      <c r="R711" s="27">
        <v>1</v>
      </c>
      <c r="S711" s="27">
        <v>1.36337</v>
      </c>
      <c r="T711" s="27">
        <v>0</v>
      </c>
      <c r="U711" s="27">
        <v>0.70888203342618383</v>
      </c>
      <c r="V711" s="27">
        <v>5.0897730000000001</v>
      </c>
      <c r="W711" s="27">
        <v>0.35444101671309192</v>
      </c>
      <c r="X711" s="27">
        <f t="shared" si="59"/>
        <v>2.5448865000000001</v>
      </c>
      <c r="Y711" s="27">
        <v>0.35444101671309192</v>
      </c>
      <c r="Z711" s="27">
        <f t="shared" si="60"/>
        <v>2.5448865000000001</v>
      </c>
      <c r="AA711" s="27">
        <v>0</v>
      </c>
      <c r="AB711" s="28">
        <v>0</v>
      </c>
      <c r="AC711" s="27">
        <v>0</v>
      </c>
      <c r="AD711" s="28">
        <v>0</v>
      </c>
      <c r="AE711" s="27">
        <v>0</v>
      </c>
      <c r="AF711" s="28">
        <v>0</v>
      </c>
      <c r="AG711" s="27">
        <f>3.00296607/1.18</f>
        <v>2.5448865000000001</v>
      </c>
      <c r="AH711" s="28">
        <f>3.00296607/1.18</f>
        <v>2.5448865000000001</v>
      </c>
      <c r="AI711" s="27">
        <v>0</v>
      </c>
      <c r="AJ711" s="27">
        <v>0</v>
      </c>
      <c r="AK711" s="27">
        <v>0</v>
      </c>
      <c r="AL711" s="27">
        <v>0</v>
      </c>
      <c r="AM711" s="27">
        <f t="shared" si="58"/>
        <v>2.5448865000000001</v>
      </c>
      <c r="AN711" s="27">
        <f t="shared" si="56"/>
        <v>2.5448865000000001</v>
      </c>
      <c r="AO711" s="35" t="s">
        <v>1490</v>
      </c>
    </row>
    <row r="712" spans="1:41" ht="31.5" customHeight="1" x14ac:dyDescent="0.25">
      <c r="A712" s="8" t="s">
        <v>130</v>
      </c>
      <c r="B712" s="39" t="s">
        <v>1276</v>
      </c>
      <c r="C712" s="29" t="s">
        <v>1277</v>
      </c>
      <c r="D712" s="38" t="s">
        <v>1483</v>
      </c>
      <c r="E712" s="30">
        <v>2017</v>
      </c>
      <c r="F712" s="30">
        <v>2017</v>
      </c>
      <c r="G712" s="30">
        <v>2017</v>
      </c>
      <c r="H712" s="27">
        <v>0.42174905571030646</v>
      </c>
      <c r="I712" s="27">
        <v>0.42174905571030646</v>
      </c>
      <c r="J712" s="27">
        <v>0</v>
      </c>
      <c r="K712" s="27">
        <v>3.0281582200000003</v>
      </c>
      <c r="L712" s="27">
        <v>0.125</v>
      </c>
      <c r="M712" s="27">
        <v>1.6101694900000001</v>
      </c>
      <c r="N712" s="27">
        <v>1.29298873</v>
      </c>
      <c r="O712" s="27">
        <v>0</v>
      </c>
      <c r="P712" s="27">
        <v>3.0281582200000003</v>
      </c>
      <c r="Q712" s="27">
        <v>0.125</v>
      </c>
      <c r="R712" s="27">
        <v>1.6101694900000001</v>
      </c>
      <c r="S712" s="27">
        <v>1.29298873</v>
      </c>
      <c r="T712" s="27">
        <v>0</v>
      </c>
      <c r="U712" s="27">
        <v>0.42174905571030646</v>
      </c>
      <c r="V712" s="27">
        <v>3.0281582200000003</v>
      </c>
      <c r="W712" s="27">
        <v>0</v>
      </c>
      <c r="X712" s="27">
        <f t="shared" si="59"/>
        <v>0</v>
      </c>
      <c r="Y712" s="27">
        <v>0.42174905571030646</v>
      </c>
      <c r="Z712" s="27">
        <f t="shared" si="60"/>
        <v>3.0281582200000003</v>
      </c>
      <c r="AA712" s="27">
        <v>0</v>
      </c>
      <c r="AB712" s="28">
        <v>0</v>
      </c>
      <c r="AC712" s="27">
        <v>0</v>
      </c>
      <c r="AD712" s="28">
        <v>0</v>
      </c>
      <c r="AE712" s="27">
        <v>0</v>
      </c>
      <c r="AF712" s="28">
        <v>0</v>
      </c>
      <c r="AG712" s="27">
        <v>0</v>
      </c>
      <c r="AH712" s="28">
        <f>3.5732266996/1.18</f>
        <v>3.0281582200000003</v>
      </c>
      <c r="AI712" s="27">
        <v>0</v>
      </c>
      <c r="AJ712" s="27">
        <v>0</v>
      </c>
      <c r="AK712" s="27">
        <v>0</v>
      </c>
      <c r="AL712" s="27">
        <v>0</v>
      </c>
      <c r="AM712" s="27">
        <f t="shared" si="58"/>
        <v>0</v>
      </c>
      <c r="AN712" s="27">
        <f t="shared" si="56"/>
        <v>3.0281582200000003</v>
      </c>
      <c r="AO712" s="35" t="s">
        <v>1488</v>
      </c>
    </row>
    <row r="713" spans="1:41" ht="31.5" customHeight="1" x14ac:dyDescent="0.25">
      <c r="A713" s="8" t="s">
        <v>130</v>
      </c>
      <c r="B713" s="39" t="s">
        <v>1278</v>
      </c>
      <c r="C713" s="29" t="s">
        <v>1279</v>
      </c>
      <c r="D713" s="38" t="s">
        <v>1483</v>
      </c>
      <c r="E713" s="30">
        <v>2017</v>
      </c>
      <c r="F713" s="30">
        <v>2017</v>
      </c>
      <c r="G713" s="30">
        <v>2017</v>
      </c>
      <c r="H713" s="27">
        <v>0.64345367688022292</v>
      </c>
      <c r="I713" s="27">
        <v>0.32172683844011146</v>
      </c>
      <c r="J713" s="27">
        <v>0</v>
      </c>
      <c r="K713" s="27">
        <v>4.6199974000000008</v>
      </c>
      <c r="L713" s="27">
        <v>0.23037739999999998</v>
      </c>
      <c r="M713" s="27">
        <v>2.2359200000000001</v>
      </c>
      <c r="N713" s="27">
        <v>2.1536999999999997</v>
      </c>
      <c r="O713" s="27">
        <v>0</v>
      </c>
      <c r="P713" s="27">
        <v>2.3099987000000004</v>
      </c>
      <c r="Q713" s="27">
        <v>0.11518869999999999</v>
      </c>
      <c r="R713" s="27">
        <v>1.1179600000000001</v>
      </c>
      <c r="S713" s="27">
        <v>1.0768499999999999</v>
      </c>
      <c r="T713" s="27">
        <v>0</v>
      </c>
      <c r="U713" s="27">
        <v>0.64345367688022292</v>
      </c>
      <c r="V713" s="27">
        <v>4.6199974000000008</v>
      </c>
      <c r="W713" s="27">
        <v>0.32172683844011146</v>
      </c>
      <c r="X713" s="27">
        <f t="shared" si="59"/>
        <v>2.3099987000000004</v>
      </c>
      <c r="Y713" s="27">
        <v>0.32172683844011146</v>
      </c>
      <c r="Z713" s="27">
        <f t="shared" si="60"/>
        <v>2.3099987000000004</v>
      </c>
      <c r="AA713" s="27">
        <v>0</v>
      </c>
      <c r="AB713" s="28">
        <v>0</v>
      </c>
      <c r="AC713" s="27">
        <v>0</v>
      </c>
      <c r="AD713" s="28">
        <v>0</v>
      </c>
      <c r="AE713" s="27">
        <v>0</v>
      </c>
      <c r="AF713" s="28">
        <v>0</v>
      </c>
      <c r="AG713" s="27">
        <f>2.725798466/1.18</f>
        <v>2.3099987000000004</v>
      </c>
      <c r="AH713" s="28">
        <f>2.725798466/1.18</f>
        <v>2.3099987000000004</v>
      </c>
      <c r="AI713" s="27">
        <v>0</v>
      </c>
      <c r="AJ713" s="27">
        <v>0</v>
      </c>
      <c r="AK713" s="27">
        <v>0</v>
      </c>
      <c r="AL713" s="27">
        <v>0</v>
      </c>
      <c r="AM713" s="27">
        <f t="shared" si="58"/>
        <v>2.3099987000000004</v>
      </c>
      <c r="AN713" s="27">
        <f t="shared" si="56"/>
        <v>2.3099987000000004</v>
      </c>
      <c r="AO713" s="35" t="s">
        <v>1490</v>
      </c>
    </row>
    <row r="714" spans="1:41" ht="31.5" customHeight="1" x14ac:dyDescent="0.25">
      <c r="A714" s="8" t="s">
        <v>130</v>
      </c>
      <c r="B714" s="39" t="s">
        <v>1280</v>
      </c>
      <c r="C714" s="29" t="s">
        <v>1281</v>
      </c>
      <c r="D714" s="38" t="s">
        <v>1483</v>
      </c>
      <c r="E714" s="30">
        <v>2017</v>
      </c>
      <c r="F714" s="30">
        <v>2017</v>
      </c>
      <c r="G714" s="30">
        <v>2017</v>
      </c>
      <c r="H714" s="27">
        <v>0.34264186629526466</v>
      </c>
      <c r="I714" s="27">
        <v>0.17132093314763233</v>
      </c>
      <c r="J714" s="27">
        <v>0</v>
      </c>
      <c r="K714" s="27">
        <v>2.4601686000000003</v>
      </c>
      <c r="L714" s="27">
        <v>0.19956860000000001</v>
      </c>
      <c r="M714" s="27">
        <v>0.8</v>
      </c>
      <c r="N714" s="27">
        <v>1.4605999999999999</v>
      </c>
      <c r="O714" s="27">
        <v>0</v>
      </c>
      <c r="P714" s="27">
        <v>1.2300843000000001</v>
      </c>
      <c r="Q714" s="27">
        <v>9.9784300000000006E-2</v>
      </c>
      <c r="R714" s="27">
        <v>0.4</v>
      </c>
      <c r="S714" s="27">
        <v>0.73029999999999995</v>
      </c>
      <c r="T714" s="27">
        <v>0</v>
      </c>
      <c r="U714" s="27">
        <v>0.34264186629526466</v>
      </c>
      <c r="V714" s="27">
        <v>2.4601686000000003</v>
      </c>
      <c r="W714" s="27">
        <v>0.17132093314763233</v>
      </c>
      <c r="X714" s="27">
        <f t="shared" si="59"/>
        <v>1.2300843000000001</v>
      </c>
      <c r="Y714" s="27">
        <v>0.17132093314763233</v>
      </c>
      <c r="Z714" s="27">
        <f t="shared" si="60"/>
        <v>1.2300843000000001</v>
      </c>
      <c r="AA714" s="27">
        <v>0</v>
      </c>
      <c r="AB714" s="28">
        <v>0</v>
      </c>
      <c r="AC714" s="27">
        <v>0</v>
      </c>
      <c r="AD714" s="28">
        <v>0</v>
      </c>
      <c r="AE714" s="27">
        <v>0</v>
      </c>
      <c r="AF714" s="28">
        <v>0</v>
      </c>
      <c r="AG714" s="27">
        <f>1.451499474/1.18</f>
        <v>1.2300843000000001</v>
      </c>
      <c r="AH714" s="28">
        <f>1.451499474/1.18</f>
        <v>1.2300843000000001</v>
      </c>
      <c r="AI714" s="27">
        <v>0</v>
      </c>
      <c r="AJ714" s="27">
        <v>0</v>
      </c>
      <c r="AK714" s="27">
        <v>0</v>
      </c>
      <c r="AL714" s="27">
        <v>0</v>
      </c>
      <c r="AM714" s="27">
        <f t="shared" si="58"/>
        <v>1.2300843000000001</v>
      </c>
      <c r="AN714" s="27">
        <f t="shared" si="56"/>
        <v>1.2300843000000001</v>
      </c>
      <c r="AO714" s="35" t="s">
        <v>1490</v>
      </c>
    </row>
    <row r="715" spans="1:41" ht="31.5" customHeight="1" x14ac:dyDescent="0.25">
      <c r="A715" s="8" t="s">
        <v>130</v>
      </c>
      <c r="B715" s="39" t="s">
        <v>1282</v>
      </c>
      <c r="C715" s="29" t="s">
        <v>1283</v>
      </c>
      <c r="D715" s="38" t="s">
        <v>1483</v>
      </c>
      <c r="E715" s="30">
        <v>2017</v>
      </c>
      <c r="F715" s="30">
        <v>2017</v>
      </c>
      <c r="G715" s="30">
        <v>2017</v>
      </c>
      <c r="H715" s="27">
        <v>0.62824947075208915</v>
      </c>
      <c r="I715" s="27">
        <v>0.31412473537604457</v>
      </c>
      <c r="J715" s="27">
        <v>0</v>
      </c>
      <c r="K715" s="27">
        <v>4.5108312000000002</v>
      </c>
      <c r="L715" s="27">
        <v>0.2501312</v>
      </c>
      <c r="M715" s="27">
        <v>1.7</v>
      </c>
      <c r="N715" s="27">
        <v>2.5606999999999998</v>
      </c>
      <c r="O715" s="27">
        <v>0</v>
      </c>
      <c r="P715" s="27">
        <v>2.2554156000000001</v>
      </c>
      <c r="Q715" s="27">
        <v>0.1250656</v>
      </c>
      <c r="R715" s="27">
        <v>0.85</v>
      </c>
      <c r="S715" s="27">
        <v>1.2803499999999999</v>
      </c>
      <c r="T715" s="27">
        <v>0</v>
      </c>
      <c r="U715" s="27">
        <v>0.62824947075208915</v>
      </c>
      <c r="V715" s="27">
        <v>4.5108312000000002</v>
      </c>
      <c r="W715" s="27">
        <v>0.31412473537604457</v>
      </c>
      <c r="X715" s="27">
        <f t="shared" si="59"/>
        <v>2.2554156000000001</v>
      </c>
      <c r="Y715" s="27">
        <v>0.31412473537604457</v>
      </c>
      <c r="Z715" s="27">
        <f t="shared" si="60"/>
        <v>2.2554156000000001</v>
      </c>
      <c r="AA715" s="27">
        <v>0</v>
      </c>
      <c r="AB715" s="28">
        <v>0</v>
      </c>
      <c r="AC715" s="27">
        <v>0</v>
      </c>
      <c r="AD715" s="28">
        <v>0</v>
      </c>
      <c r="AE715" s="27">
        <v>0</v>
      </c>
      <c r="AF715" s="28">
        <v>0</v>
      </c>
      <c r="AG715" s="27">
        <f>2.661390408/1.18</f>
        <v>2.2554156000000001</v>
      </c>
      <c r="AH715" s="28">
        <f>2.661390408/1.18</f>
        <v>2.2554156000000001</v>
      </c>
      <c r="AI715" s="27">
        <v>0</v>
      </c>
      <c r="AJ715" s="27">
        <v>0</v>
      </c>
      <c r="AK715" s="27">
        <v>0</v>
      </c>
      <c r="AL715" s="27">
        <v>0</v>
      </c>
      <c r="AM715" s="27">
        <f t="shared" si="58"/>
        <v>2.2554156000000001</v>
      </c>
      <c r="AN715" s="27">
        <f t="shared" si="56"/>
        <v>2.2554156000000001</v>
      </c>
      <c r="AO715" s="35" t="s">
        <v>1490</v>
      </c>
    </row>
    <row r="716" spans="1:41" ht="31.5" customHeight="1" x14ac:dyDescent="0.25">
      <c r="A716" s="8" t="s">
        <v>130</v>
      </c>
      <c r="B716" s="39" t="s">
        <v>1266</v>
      </c>
      <c r="C716" s="29" t="s">
        <v>1451</v>
      </c>
      <c r="D716" s="38" t="s">
        <v>1483</v>
      </c>
      <c r="E716" s="30">
        <v>2017</v>
      </c>
      <c r="F716" s="30">
        <v>2017</v>
      </c>
      <c r="G716" s="30">
        <v>2017</v>
      </c>
      <c r="H716" s="27">
        <v>1.2534818941504178</v>
      </c>
      <c r="I716" s="27">
        <v>0</v>
      </c>
      <c r="J716" s="27">
        <v>0</v>
      </c>
      <c r="K716" s="27">
        <v>9</v>
      </c>
      <c r="L716" s="27">
        <v>0.61389831000000006</v>
      </c>
      <c r="M716" s="27">
        <v>5.1186440700000002</v>
      </c>
      <c r="N716" s="27">
        <v>3.26745763</v>
      </c>
      <c r="O716" s="27">
        <v>0</v>
      </c>
      <c r="P716" s="27">
        <v>0</v>
      </c>
      <c r="Q716" s="27">
        <v>0</v>
      </c>
      <c r="R716" s="27">
        <v>0</v>
      </c>
      <c r="S716" s="27">
        <v>0</v>
      </c>
      <c r="T716" s="27">
        <v>0</v>
      </c>
      <c r="U716" s="27">
        <v>1.2534818941504178</v>
      </c>
      <c r="V716" s="27">
        <v>9</v>
      </c>
      <c r="W716" s="27">
        <v>1.2534818941504178</v>
      </c>
      <c r="X716" s="27">
        <f t="shared" si="59"/>
        <v>9</v>
      </c>
      <c r="Y716" s="27">
        <v>0</v>
      </c>
      <c r="Z716" s="27">
        <f t="shared" si="60"/>
        <v>0</v>
      </c>
      <c r="AA716" s="27">
        <v>0</v>
      </c>
      <c r="AB716" s="28">
        <v>0</v>
      </c>
      <c r="AC716" s="27">
        <v>0</v>
      </c>
      <c r="AD716" s="28">
        <v>0</v>
      </c>
      <c r="AE716" s="27">
        <v>0</v>
      </c>
      <c r="AF716" s="28">
        <v>0</v>
      </c>
      <c r="AG716" s="27">
        <v>9</v>
      </c>
      <c r="AH716" s="28">
        <v>0</v>
      </c>
      <c r="AI716" s="27">
        <v>0</v>
      </c>
      <c r="AJ716" s="27">
        <v>0</v>
      </c>
      <c r="AK716" s="27">
        <v>0</v>
      </c>
      <c r="AL716" s="27">
        <v>0</v>
      </c>
      <c r="AM716" s="27">
        <f t="shared" si="58"/>
        <v>9</v>
      </c>
      <c r="AN716" s="27">
        <f t="shared" si="56"/>
        <v>0</v>
      </c>
      <c r="AO716" s="35" t="s">
        <v>1491</v>
      </c>
    </row>
    <row r="717" spans="1:41" ht="31.5" customHeight="1" x14ac:dyDescent="0.25">
      <c r="A717" s="8" t="s">
        <v>130</v>
      </c>
      <c r="B717" s="39" t="s">
        <v>1271</v>
      </c>
      <c r="C717" s="29" t="s">
        <v>1452</v>
      </c>
      <c r="D717" s="38" t="s">
        <v>1483</v>
      </c>
      <c r="E717" s="30">
        <v>2017</v>
      </c>
      <c r="F717" s="30">
        <v>2017</v>
      </c>
      <c r="G717" s="30">
        <v>2017</v>
      </c>
      <c r="H717" s="27">
        <v>0.73607799442896948</v>
      </c>
      <c r="I717" s="27">
        <v>0</v>
      </c>
      <c r="J717" s="27">
        <v>0</v>
      </c>
      <c r="K717" s="27">
        <v>5.2850400000000004</v>
      </c>
      <c r="L717" s="27">
        <v>0.30266999999999999</v>
      </c>
      <c r="M717" s="27">
        <v>2.9</v>
      </c>
      <c r="N717" s="27">
        <v>2.0823700000000001</v>
      </c>
      <c r="O717" s="27">
        <v>0</v>
      </c>
      <c r="P717" s="27">
        <v>0</v>
      </c>
      <c r="Q717" s="27">
        <v>0</v>
      </c>
      <c r="R717" s="27">
        <v>0</v>
      </c>
      <c r="S717" s="27">
        <v>0</v>
      </c>
      <c r="T717" s="27">
        <v>0</v>
      </c>
      <c r="U717" s="27">
        <v>0.73607799442896948</v>
      </c>
      <c r="V717" s="27">
        <v>5.2850400000000004</v>
      </c>
      <c r="W717" s="27">
        <v>0.73607799442896948</v>
      </c>
      <c r="X717" s="27">
        <f t="shared" si="59"/>
        <v>5.2850400000000004</v>
      </c>
      <c r="Y717" s="27">
        <v>0</v>
      </c>
      <c r="Z717" s="27">
        <f t="shared" si="60"/>
        <v>0</v>
      </c>
      <c r="AA717" s="27">
        <v>0</v>
      </c>
      <c r="AB717" s="28">
        <v>0</v>
      </c>
      <c r="AC717" s="27">
        <v>0</v>
      </c>
      <c r="AD717" s="28">
        <v>0</v>
      </c>
      <c r="AE717" s="27">
        <v>0</v>
      </c>
      <c r="AF717" s="28">
        <v>0</v>
      </c>
      <c r="AG717" s="27">
        <v>5.2850400000000004</v>
      </c>
      <c r="AH717" s="28">
        <v>0</v>
      </c>
      <c r="AI717" s="27">
        <v>0</v>
      </c>
      <c r="AJ717" s="27">
        <v>0</v>
      </c>
      <c r="AK717" s="27">
        <v>0</v>
      </c>
      <c r="AL717" s="27">
        <v>0</v>
      </c>
      <c r="AM717" s="27">
        <f t="shared" si="58"/>
        <v>5.2850400000000004</v>
      </c>
      <c r="AN717" s="27">
        <f t="shared" si="56"/>
        <v>0</v>
      </c>
      <c r="AO717" s="35" t="s">
        <v>1491</v>
      </c>
    </row>
    <row r="718" spans="1:41" ht="31.5" customHeight="1" x14ac:dyDescent="0.25">
      <c r="A718" s="8" t="s">
        <v>130</v>
      </c>
      <c r="B718" s="39" t="s">
        <v>1453</v>
      </c>
      <c r="C718" s="29" t="s">
        <v>1454</v>
      </c>
      <c r="D718" s="38" t="s">
        <v>1483</v>
      </c>
      <c r="E718" s="30">
        <v>2017</v>
      </c>
      <c r="F718" s="30">
        <v>2017</v>
      </c>
      <c r="G718" s="30">
        <v>2017</v>
      </c>
      <c r="H718" s="27">
        <v>0.30087743732590533</v>
      </c>
      <c r="I718" s="27">
        <v>0</v>
      </c>
      <c r="J718" s="27">
        <v>0</v>
      </c>
      <c r="K718" s="27">
        <v>2.1603000000000003</v>
      </c>
      <c r="L718" s="27">
        <v>0.1772</v>
      </c>
      <c r="M718" s="27">
        <v>1.1000000000000001</v>
      </c>
      <c r="N718" s="27">
        <v>0.8831</v>
      </c>
      <c r="O718" s="27">
        <v>0</v>
      </c>
      <c r="P718" s="27">
        <v>0</v>
      </c>
      <c r="Q718" s="27">
        <v>0</v>
      </c>
      <c r="R718" s="27">
        <v>0</v>
      </c>
      <c r="S718" s="27">
        <v>0</v>
      </c>
      <c r="T718" s="27">
        <v>0</v>
      </c>
      <c r="U718" s="27">
        <v>0.30087743732590533</v>
      </c>
      <c r="V718" s="27">
        <v>2.1603000000000003</v>
      </c>
      <c r="W718" s="27">
        <v>0.30087743732590533</v>
      </c>
      <c r="X718" s="27">
        <f t="shared" si="59"/>
        <v>2.1603000000000003</v>
      </c>
      <c r="Y718" s="27">
        <v>0</v>
      </c>
      <c r="Z718" s="27">
        <f t="shared" si="60"/>
        <v>0</v>
      </c>
      <c r="AA718" s="27">
        <v>0</v>
      </c>
      <c r="AB718" s="28">
        <v>0</v>
      </c>
      <c r="AC718" s="27">
        <v>0</v>
      </c>
      <c r="AD718" s="28">
        <v>0</v>
      </c>
      <c r="AE718" s="27">
        <v>0</v>
      </c>
      <c r="AF718" s="28">
        <v>0</v>
      </c>
      <c r="AG718" s="27">
        <v>2.1603000000000003</v>
      </c>
      <c r="AH718" s="28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f t="shared" si="58"/>
        <v>2.1603000000000003</v>
      </c>
      <c r="AN718" s="27">
        <f t="shared" si="56"/>
        <v>0</v>
      </c>
      <c r="AO718" s="35" t="s">
        <v>1491</v>
      </c>
    </row>
    <row r="719" spans="1:41" ht="31.5" customHeight="1" x14ac:dyDescent="0.25">
      <c r="A719" s="8" t="s">
        <v>130</v>
      </c>
      <c r="B719" s="39" t="s">
        <v>1455</v>
      </c>
      <c r="C719" s="29" t="s">
        <v>1456</v>
      </c>
      <c r="D719" s="38" t="s">
        <v>1483</v>
      </c>
      <c r="E719" s="30">
        <v>2017</v>
      </c>
      <c r="F719" s="30">
        <v>2017</v>
      </c>
      <c r="G719" s="30">
        <v>2017</v>
      </c>
      <c r="H719" s="27">
        <v>0.39276850974930366</v>
      </c>
      <c r="I719" s="27">
        <v>0</v>
      </c>
      <c r="J719" s="27">
        <v>0</v>
      </c>
      <c r="K719" s="27">
        <v>2.8200779000000002</v>
      </c>
      <c r="L719" s="27">
        <v>0.19534790000000002</v>
      </c>
      <c r="M719" s="27">
        <v>1.23</v>
      </c>
      <c r="N719" s="27">
        <v>1.39473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0.39276850974930366</v>
      </c>
      <c r="V719" s="27">
        <v>2.8200779000000002</v>
      </c>
      <c r="W719" s="27">
        <v>0.39276850974930366</v>
      </c>
      <c r="X719" s="27">
        <f t="shared" si="59"/>
        <v>2.8200779000000002</v>
      </c>
      <c r="Y719" s="27">
        <v>0</v>
      </c>
      <c r="Z719" s="27">
        <f t="shared" si="60"/>
        <v>0</v>
      </c>
      <c r="AA719" s="27">
        <v>0</v>
      </c>
      <c r="AB719" s="28">
        <v>0</v>
      </c>
      <c r="AC719" s="27">
        <v>0</v>
      </c>
      <c r="AD719" s="28">
        <v>0</v>
      </c>
      <c r="AE719" s="27">
        <v>0</v>
      </c>
      <c r="AF719" s="28">
        <v>0</v>
      </c>
      <c r="AG719" s="27">
        <v>2.8200779000000002</v>
      </c>
      <c r="AH719" s="28">
        <v>0</v>
      </c>
      <c r="AI719" s="27">
        <v>0</v>
      </c>
      <c r="AJ719" s="27">
        <v>0</v>
      </c>
      <c r="AK719" s="27">
        <v>0</v>
      </c>
      <c r="AL719" s="27">
        <v>0</v>
      </c>
      <c r="AM719" s="27">
        <f t="shared" si="58"/>
        <v>2.8200779000000002</v>
      </c>
      <c r="AN719" s="27">
        <f t="shared" si="56"/>
        <v>0</v>
      </c>
      <c r="AO719" s="35" t="s">
        <v>1491</v>
      </c>
    </row>
    <row r="720" spans="1:41" ht="31.5" customHeight="1" x14ac:dyDescent="0.25">
      <c r="A720" s="8" t="s">
        <v>130</v>
      </c>
      <c r="B720" s="39" t="s">
        <v>1457</v>
      </c>
      <c r="C720" s="29" t="s">
        <v>1458</v>
      </c>
      <c r="D720" s="38" t="s">
        <v>1483</v>
      </c>
      <c r="E720" s="30">
        <v>2017</v>
      </c>
      <c r="F720" s="30">
        <v>2017</v>
      </c>
      <c r="G720" s="30">
        <v>2017</v>
      </c>
      <c r="H720" s="27">
        <v>0.98968271876210301</v>
      </c>
      <c r="I720" s="27">
        <v>0</v>
      </c>
      <c r="J720" s="27">
        <v>0</v>
      </c>
      <c r="K720" s="27">
        <v>7.1059219207118991</v>
      </c>
      <c r="L720" s="27">
        <v>0.35093400000000002</v>
      </c>
      <c r="M720" s="27">
        <v>4.0646479207119004</v>
      </c>
      <c r="N720" s="27">
        <v>2.69034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0.98968271876210301</v>
      </c>
      <c r="V720" s="27">
        <v>7.1059219207118991</v>
      </c>
      <c r="W720" s="27">
        <v>0.98968271876210301</v>
      </c>
      <c r="X720" s="27">
        <f t="shared" si="59"/>
        <v>7.1059219207118991</v>
      </c>
      <c r="Y720" s="27">
        <v>0</v>
      </c>
      <c r="Z720" s="27">
        <f t="shared" si="60"/>
        <v>0</v>
      </c>
      <c r="AA720" s="27">
        <v>0</v>
      </c>
      <c r="AB720" s="28">
        <v>0</v>
      </c>
      <c r="AC720" s="27">
        <v>0</v>
      </c>
      <c r="AD720" s="28">
        <v>0</v>
      </c>
      <c r="AE720" s="27">
        <v>0</v>
      </c>
      <c r="AF720" s="28">
        <v>0</v>
      </c>
      <c r="AG720" s="27">
        <v>7.1059219207118991</v>
      </c>
      <c r="AH720" s="28">
        <v>0</v>
      </c>
      <c r="AI720" s="27">
        <v>0</v>
      </c>
      <c r="AJ720" s="27">
        <v>0</v>
      </c>
      <c r="AK720" s="27">
        <v>0</v>
      </c>
      <c r="AL720" s="27">
        <v>0</v>
      </c>
      <c r="AM720" s="27">
        <f t="shared" si="58"/>
        <v>7.1059219207118991</v>
      </c>
      <c r="AN720" s="27">
        <f t="shared" si="56"/>
        <v>0</v>
      </c>
      <c r="AO720" s="35" t="s">
        <v>1491</v>
      </c>
    </row>
    <row r="721" spans="1:41" ht="31.5" customHeight="1" x14ac:dyDescent="0.25">
      <c r="A721" s="8" t="s">
        <v>130</v>
      </c>
      <c r="B721" s="39" t="s">
        <v>1284</v>
      </c>
      <c r="C721" s="29" t="s">
        <v>1285</v>
      </c>
      <c r="D721" s="38" t="s">
        <v>1482</v>
      </c>
      <c r="E721" s="30">
        <v>2018</v>
      </c>
      <c r="F721" s="30">
        <v>2018</v>
      </c>
      <c r="G721" s="30" t="s">
        <v>1435</v>
      </c>
      <c r="H721" s="27">
        <v>2.4940111420612816E-2</v>
      </c>
      <c r="I721" s="27">
        <v>0</v>
      </c>
      <c r="J721" s="27">
        <v>0</v>
      </c>
      <c r="K721" s="27">
        <v>0.17907000000000001</v>
      </c>
      <c r="L721" s="27">
        <v>0</v>
      </c>
      <c r="M721" s="27">
        <v>4.3898305084745765E-2</v>
      </c>
      <c r="N721" s="27">
        <v>0.13999062338443219</v>
      </c>
      <c r="O721" s="27">
        <v>0</v>
      </c>
      <c r="P721" s="27">
        <v>0</v>
      </c>
      <c r="Q721" s="27">
        <v>0</v>
      </c>
      <c r="R721" s="27">
        <v>0</v>
      </c>
      <c r="S721" s="27">
        <v>0</v>
      </c>
      <c r="T721" s="27">
        <v>0</v>
      </c>
      <c r="U721" s="27">
        <v>2.4940111420612816E-2</v>
      </c>
      <c r="V721" s="27">
        <v>0.17907000000000001</v>
      </c>
      <c r="W721" s="27">
        <v>2.4940111420612816E-2</v>
      </c>
      <c r="X721" s="27">
        <f t="shared" si="59"/>
        <v>0.17907000000000001</v>
      </c>
      <c r="Y721" s="27">
        <v>0</v>
      </c>
      <c r="Z721" s="27">
        <f t="shared" si="60"/>
        <v>0</v>
      </c>
      <c r="AA721" s="27">
        <v>0</v>
      </c>
      <c r="AB721" s="28">
        <v>0</v>
      </c>
      <c r="AC721" s="27">
        <v>0</v>
      </c>
      <c r="AD721" s="28">
        <v>0</v>
      </c>
      <c r="AE721" s="27">
        <v>0</v>
      </c>
      <c r="AF721" s="28">
        <v>0</v>
      </c>
      <c r="AG721" s="27">
        <v>0</v>
      </c>
      <c r="AH721" s="28">
        <v>0</v>
      </c>
      <c r="AI721" s="27">
        <f>0.2113026/1.18</f>
        <v>0.17907000000000001</v>
      </c>
      <c r="AJ721" s="27">
        <v>0</v>
      </c>
      <c r="AK721" s="27">
        <v>0</v>
      </c>
      <c r="AL721" s="27">
        <v>0</v>
      </c>
      <c r="AM721" s="27">
        <f t="shared" si="58"/>
        <v>0.17907000000000001</v>
      </c>
      <c r="AN721" s="27">
        <f t="shared" si="56"/>
        <v>0</v>
      </c>
      <c r="AO721" s="35" t="s">
        <v>1435</v>
      </c>
    </row>
    <row r="722" spans="1:41" ht="31.5" customHeight="1" x14ac:dyDescent="0.25">
      <c r="A722" s="8" t="s">
        <v>130</v>
      </c>
      <c r="B722" s="39" t="s">
        <v>1286</v>
      </c>
      <c r="C722" s="29" t="s">
        <v>1287</v>
      </c>
      <c r="D722" s="38" t="s">
        <v>1482</v>
      </c>
      <c r="E722" s="30">
        <v>2018</v>
      </c>
      <c r="F722" s="30">
        <v>2018</v>
      </c>
      <c r="G722" s="30" t="s">
        <v>1435</v>
      </c>
      <c r="H722" s="27">
        <v>2.0502785515320338E-2</v>
      </c>
      <c r="I722" s="27">
        <v>0</v>
      </c>
      <c r="J722" s="27">
        <v>0</v>
      </c>
      <c r="K722" s="27">
        <v>0.14721000000000001</v>
      </c>
      <c r="L722" s="27">
        <v>0</v>
      </c>
      <c r="M722" s="27">
        <v>3.3898305084745763E-2</v>
      </c>
      <c r="N722" s="27">
        <v>0.1188815959656695</v>
      </c>
      <c r="O722" s="27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27">
        <v>2.0502785515320338E-2</v>
      </c>
      <c r="V722" s="27">
        <v>0.14721000000000001</v>
      </c>
      <c r="W722" s="27">
        <v>2.0502785515320338E-2</v>
      </c>
      <c r="X722" s="27">
        <f t="shared" si="59"/>
        <v>0.14721000000000001</v>
      </c>
      <c r="Y722" s="27">
        <v>0</v>
      </c>
      <c r="Z722" s="27">
        <f t="shared" si="60"/>
        <v>0</v>
      </c>
      <c r="AA722" s="27">
        <v>0</v>
      </c>
      <c r="AB722" s="28">
        <v>0</v>
      </c>
      <c r="AC722" s="27">
        <v>0</v>
      </c>
      <c r="AD722" s="28">
        <v>0</v>
      </c>
      <c r="AE722" s="27">
        <v>0</v>
      </c>
      <c r="AF722" s="28">
        <v>0</v>
      </c>
      <c r="AG722" s="27">
        <v>0</v>
      </c>
      <c r="AH722" s="28">
        <v>0</v>
      </c>
      <c r="AI722" s="27">
        <f>0.1737078/1.18</f>
        <v>0.14721000000000001</v>
      </c>
      <c r="AJ722" s="27">
        <v>0</v>
      </c>
      <c r="AK722" s="27">
        <v>0</v>
      </c>
      <c r="AL722" s="27">
        <v>0</v>
      </c>
      <c r="AM722" s="27">
        <f t="shared" si="58"/>
        <v>0.14721000000000001</v>
      </c>
      <c r="AN722" s="27">
        <f t="shared" si="56"/>
        <v>0</v>
      </c>
      <c r="AO722" s="35" t="s">
        <v>1435</v>
      </c>
    </row>
    <row r="723" spans="1:41" ht="31.5" customHeight="1" x14ac:dyDescent="0.25">
      <c r="A723" s="8" t="s">
        <v>130</v>
      </c>
      <c r="B723" s="39" t="s">
        <v>1288</v>
      </c>
      <c r="C723" s="29" t="s">
        <v>1289</v>
      </c>
      <c r="D723" s="38" t="s">
        <v>1482</v>
      </c>
      <c r="E723" s="30">
        <v>2018</v>
      </c>
      <c r="F723" s="30">
        <v>2018</v>
      </c>
      <c r="G723" s="30" t="s">
        <v>1435</v>
      </c>
      <c r="H723" s="27">
        <v>2.0502785515320338E-2</v>
      </c>
      <c r="I723" s="27">
        <v>0</v>
      </c>
      <c r="J723" s="27">
        <v>0</v>
      </c>
      <c r="K723" s="27">
        <v>0.14721000000000001</v>
      </c>
      <c r="L723" s="27">
        <v>0</v>
      </c>
      <c r="M723" s="27">
        <v>3.3898305084745763E-2</v>
      </c>
      <c r="N723" s="27">
        <v>0.1088815959656695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2.0502785515320338E-2</v>
      </c>
      <c r="V723" s="27">
        <v>0.14721000000000001</v>
      </c>
      <c r="W723" s="27">
        <v>2.0502785515320338E-2</v>
      </c>
      <c r="X723" s="27">
        <f t="shared" si="59"/>
        <v>0.14721000000000001</v>
      </c>
      <c r="Y723" s="27">
        <v>0</v>
      </c>
      <c r="Z723" s="27">
        <f t="shared" si="60"/>
        <v>0</v>
      </c>
      <c r="AA723" s="27">
        <v>0</v>
      </c>
      <c r="AB723" s="28">
        <v>0</v>
      </c>
      <c r="AC723" s="27">
        <v>0</v>
      </c>
      <c r="AD723" s="28">
        <v>0</v>
      </c>
      <c r="AE723" s="27">
        <v>0</v>
      </c>
      <c r="AF723" s="28">
        <v>0</v>
      </c>
      <c r="AG723" s="27">
        <v>0</v>
      </c>
      <c r="AH723" s="28">
        <v>0</v>
      </c>
      <c r="AI723" s="27">
        <f>0.1737078/1.18</f>
        <v>0.14721000000000001</v>
      </c>
      <c r="AJ723" s="27">
        <v>0</v>
      </c>
      <c r="AK723" s="27">
        <v>0</v>
      </c>
      <c r="AL723" s="27">
        <v>0</v>
      </c>
      <c r="AM723" s="27">
        <f t="shared" si="58"/>
        <v>0.14721000000000001</v>
      </c>
      <c r="AN723" s="27">
        <f t="shared" ref="AN723:AN778" si="61">AD723+AF723+AH723</f>
        <v>0</v>
      </c>
      <c r="AO723" s="35" t="s">
        <v>1435</v>
      </c>
    </row>
    <row r="724" spans="1:41" ht="31.5" customHeight="1" x14ac:dyDescent="0.25">
      <c r="A724" s="8" t="s">
        <v>130</v>
      </c>
      <c r="B724" s="39" t="s">
        <v>1290</v>
      </c>
      <c r="C724" s="29" t="s">
        <v>1291</v>
      </c>
      <c r="D724" s="38" t="s">
        <v>1482</v>
      </c>
      <c r="E724" s="30">
        <v>2018</v>
      </c>
      <c r="F724" s="30">
        <v>2018</v>
      </c>
      <c r="G724" s="30" t="s">
        <v>1435</v>
      </c>
      <c r="H724" s="27">
        <v>0.38950000000000007</v>
      </c>
      <c r="I724" s="27">
        <v>0</v>
      </c>
      <c r="J724" s="27">
        <v>0</v>
      </c>
      <c r="K724" s="27">
        <v>2.7966100000000003</v>
      </c>
      <c r="L724" s="27">
        <v>0</v>
      </c>
      <c r="M724" s="27">
        <v>0.96117738229299998</v>
      </c>
      <c r="N724" s="27">
        <v>1.8354326177070002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0.38950000000000007</v>
      </c>
      <c r="V724" s="27">
        <v>2.7966100000000003</v>
      </c>
      <c r="W724" s="27">
        <v>0.38950000000000007</v>
      </c>
      <c r="X724" s="27">
        <f t="shared" si="59"/>
        <v>2.7966100000000003</v>
      </c>
      <c r="Y724" s="27">
        <v>0</v>
      </c>
      <c r="Z724" s="27">
        <f t="shared" si="60"/>
        <v>0</v>
      </c>
      <c r="AA724" s="27">
        <v>0</v>
      </c>
      <c r="AB724" s="28">
        <v>0</v>
      </c>
      <c r="AC724" s="27">
        <v>0</v>
      </c>
      <c r="AD724" s="28">
        <v>0</v>
      </c>
      <c r="AE724" s="27">
        <v>0</v>
      </c>
      <c r="AF724" s="28">
        <v>0</v>
      </c>
      <c r="AG724" s="27">
        <v>0</v>
      </c>
      <c r="AH724" s="28">
        <v>0</v>
      </c>
      <c r="AI724" s="27">
        <f>3.2999998/1.18</f>
        <v>2.7966100000000003</v>
      </c>
      <c r="AJ724" s="27">
        <v>0</v>
      </c>
      <c r="AK724" s="27">
        <v>0</v>
      </c>
      <c r="AL724" s="27">
        <v>0</v>
      </c>
      <c r="AM724" s="27">
        <f t="shared" si="58"/>
        <v>2.7966100000000003</v>
      </c>
      <c r="AN724" s="27">
        <f t="shared" si="61"/>
        <v>0</v>
      </c>
      <c r="AO724" s="35" t="s">
        <v>1435</v>
      </c>
    </row>
    <row r="725" spans="1:41" ht="31.5" customHeight="1" x14ac:dyDescent="0.25">
      <c r="A725" s="8" t="s">
        <v>130</v>
      </c>
      <c r="B725" s="39" t="s">
        <v>1292</v>
      </c>
      <c r="C725" s="29" t="s">
        <v>1293</v>
      </c>
      <c r="D725" s="38" t="s">
        <v>1483</v>
      </c>
      <c r="E725" s="30">
        <v>2018</v>
      </c>
      <c r="F725" s="30">
        <v>2018</v>
      </c>
      <c r="G725" s="30" t="s">
        <v>1435</v>
      </c>
      <c r="H725" s="27">
        <v>0.64846629526462407</v>
      </c>
      <c r="I725" s="27">
        <v>0</v>
      </c>
      <c r="J725" s="27">
        <v>0</v>
      </c>
      <c r="K725" s="27">
        <v>4.6559880000000007</v>
      </c>
      <c r="L725" s="27">
        <v>0.10169491525423729</v>
      </c>
      <c r="M725" s="27">
        <v>3.3643727859780932</v>
      </c>
      <c r="N725" s="27">
        <v>1.189920298767678</v>
      </c>
      <c r="O725" s="27">
        <v>0</v>
      </c>
      <c r="P725" s="27">
        <v>0</v>
      </c>
      <c r="Q725" s="27">
        <v>0</v>
      </c>
      <c r="R725" s="27">
        <v>0</v>
      </c>
      <c r="S725" s="27">
        <v>0</v>
      </c>
      <c r="T725" s="27">
        <v>0</v>
      </c>
      <c r="U725" s="27">
        <v>0.64846629526462407</v>
      </c>
      <c r="V725" s="27">
        <v>4.6559880000000007</v>
      </c>
      <c r="W725" s="27">
        <v>0.64846629526462407</v>
      </c>
      <c r="X725" s="27">
        <f t="shared" si="59"/>
        <v>4.6559880000000007</v>
      </c>
      <c r="Y725" s="27">
        <v>0</v>
      </c>
      <c r="Z725" s="27">
        <f t="shared" si="60"/>
        <v>0</v>
      </c>
      <c r="AA725" s="27">
        <v>0</v>
      </c>
      <c r="AB725" s="28">
        <v>0</v>
      </c>
      <c r="AC725" s="27">
        <v>0</v>
      </c>
      <c r="AD725" s="28">
        <v>0</v>
      </c>
      <c r="AE725" s="27">
        <v>0</v>
      </c>
      <c r="AF725" s="28">
        <v>0</v>
      </c>
      <c r="AG725" s="27">
        <v>0</v>
      </c>
      <c r="AH725" s="28">
        <v>0</v>
      </c>
      <c r="AI725" s="27">
        <f>5.49406584/1.18</f>
        <v>4.6559880000000007</v>
      </c>
      <c r="AJ725" s="27">
        <v>0</v>
      </c>
      <c r="AK725" s="27">
        <v>0</v>
      </c>
      <c r="AL725" s="27">
        <v>0</v>
      </c>
      <c r="AM725" s="27">
        <f t="shared" si="58"/>
        <v>4.6559880000000007</v>
      </c>
      <c r="AN725" s="27">
        <f t="shared" si="61"/>
        <v>0</v>
      </c>
      <c r="AO725" s="35" t="s">
        <v>1435</v>
      </c>
    </row>
    <row r="726" spans="1:41" ht="31.5" customHeight="1" x14ac:dyDescent="0.25">
      <c r="A726" s="8" t="s">
        <v>130</v>
      </c>
      <c r="B726" s="39" t="s">
        <v>1294</v>
      </c>
      <c r="C726" s="29" t="s">
        <v>1295</v>
      </c>
      <c r="D726" s="38" t="s">
        <v>1483</v>
      </c>
      <c r="E726" s="30">
        <v>2018</v>
      </c>
      <c r="F726" s="30">
        <v>2018</v>
      </c>
      <c r="G726" s="30" t="s">
        <v>1435</v>
      </c>
      <c r="H726" s="27">
        <v>1.8253125348189416</v>
      </c>
      <c r="I726" s="27">
        <v>0</v>
      </c>
      <c r="J726" s="27">
        <v>0</v>
      </c>
      <c r="K726" s="27">
        <v>13.105744</v>
      </c>
      <c r="L726" s="27">
        <v>0.1864406779661017</v>
      </c>
      <c r="M726" s="27">
        <v>9.5698980366138144</v>
      </c>
      <c r="N726" s="27">
        <v>3.3494052854201191</v>
      </c>
      <c r="O726" s="27">
        <v>0</v>
      </c>
      <c r="P726" s="27">
        <v>0</v>
      </c>
      <c r="Q726" s="27">
        <v>0</v>
      </c>
      <c r="R726" s="27">
        <v>0</v>
      </c>
      <c r="S726" s="27">
        <v>0</v>
      </c>
      <c r="T726" s="27">
        <v>0</v>
      </c>
      <c r="U726" s="27">
        <v>1.8253125348189416</v>
      </c>
      <c r="V726" s="27">
        <v>13.105744</v>
      </c>
      <c r="W726" s="27">
        <v>1.8253125348189416</v>
      </c>
      <c r="X726" s="27">
        <f t="shared" si="59"/>
        <v>13.105744</v>
      </c>
      <c r="Y726" s="27">
        <v>0</v>
      </c>
      <c r="Z726" s="27">
        <f t="shared" si="60"/>
        <v>0</v>
      </c>
      <c r="AA726" s="27">
        <v>0</v>
      </c>
      <c r="AB726" s="28">
        <v>0</v>
      </c>
      <c r="AC726" s="27">
        <v>0</v>
      </c>
      <c r="AD726" s="28">
        <v>0</v>
      </c>
      <c r="AE726" s="27">
        <v>0</v>
      </c>
      <c r="AF726" s="28">
        <v>0</v>
      </c>
      <c r="AG726" s="27">
        <v>0</v>
      </c>
      <c r="AH726" s="28">
        <v>0</v>
      </c>
      <c r="AI726" s="27">
        <f>15.46477792/1.18</f>
        <v>13.105744</v>
      </c>
      <c r="AJ726" s="27">
        <v>0</v>
      </c>
      <c r="AK726" s="27">
        <v>0</v>
      </c>
      <c r="AL726" s="27">
        <v>0</v>
      </c>
      <c r="AM726" s="27">
        <f t="shared" si="58"/>
        <v>13.105744</v>
      </c>
      <c r="AN726" s="27">
        <f t="shared" si="61"/>
        <v>0</v>
      </c>
      <c r="AO726" s="35" t="s">
        <v>1435</v>
      </c>
    </row>
    <row r="727" spans="1:41" ht="31.5" customHeight="1" x14ac:dyDescent="0.25">
      <c r="A727" s="8" t="s">
        <v>130</v>
      </c>
      <c r="B727" s="39" t="s">
        <v>1296</v>
      </c>
      <c r="C727" s="29" t="s">
        <v>1297</v>
      </c>
      <c r="D727" s="38" t="s">
        <v>1483</v>
      </c>
      <c r="E727" s="30">
        <v>2018</v>
      </c>
      <c r="F727" s="30">
        <v>2018</v>
      </c>
      <c r="G727" s="30" t="s">
        <v>1435</v>
      </c>
      <c r="H727" s="27">
        <v>0.21135197771587746</v>
      </c>
      <c r="I727" s="27">
        <v>0</v>
      </c>
      <c r="J727" s="27">
        <v>0</v>
      </c>
      <c r="K727" s="27">
        <v>1.5175072000000001</v>
      </c>
      <c r="L727" s="27">
        <v>3.4219930160638984E-2</v>
      </c>
      <c r="M727" s="27">
        <v>1.0954613946854492</v>
      </c>
      <c r="N727" s="27">
        <v>0.38782587515390854</v>
      </c>
      <c r="O727" s="27">
        <v>0</v>
      </c>
      <c r="P727" s="27">
        <v>0</v>
      </c>
      <c r="Q727" s="27">
        <v>0</v>
      </c>
      <c r="R727" s="27">
        <v>0</v>
      </c>
      <c r="S727" s="27">
        <v>0</v>
      </c>
      <c r="T727" s="27">
        <v>0</v>
      </c>
      <c r="U727" s="27">
        <v>0.21135197771587746</v>
      </c>
      <c r="V727" s="27">
        <v>1.5175072000000001</v>
      </c>
      <c r="W727" s="27">
        <v>0.21135197771587746</v>
      </c>
      <c r="X727" s="27">
        <f t="shared" si="59"/>
        <v>1.5175072000000001</v>
      </c>
      <c r="Y727" s="27">
        <v>0</v>
      </c>
      <c r="Z727" s="27">
        <f t="shared" si="60"/>
        <v>0</v>
      </c>
      <c r="AA727" s="27">
        <v>0</v>
      </c>
      <c r="AB727" s="28">
        <v>0</v>
      </c>
      <c r="AC727" s="27">
        <v>0</v>
      </c>
      <c r="AD727" s="28">
        <v>0</v>
      </c>
      <c r="AE727" s="27">
        <v>0</v>
      </c>
      <c r="AF727" s="28">
        <v>0</v>
      </c>
      <c r="AG727" s="27">
        <v>0</v>
      </c>
      <c r="AH727" s="28">
        <v>0</v>
      </c>
      <c r="AI727" s="27">
        <f>1.790658496/1.18</f>
        <v>1.5175072000000001</v>
      </c>
      <c r="AJ727" s="27">
        <v>0</v>
      </c>
      <c r="AK727" s="27">
        <v>0</v>
      </c>
      <c r="AL727" s="27">
        <v>0</v>
      </c>
      <c r="AM727" s="27">
        <f t="shared" si="58"/>
        <v>1.5175072000000001</v>
      </c>
      <c r="AN727" s="27">
        <f t="shared" si="61"/>
        <v>0</v>
      </c>
      <c r="AO727" s="35" t="s">
        <v>1435</v>
      </c>
    </row>
    <row r="728" spans="1:41" ht="31.5" customHeight="1" x14ac:dyDescent="0.25">
      <c r="A728" s="8" t="s">
        <v>130</v>
      </c>
      <c r="B728" s="39" t="s">
        <v>1298</v>
      </c>
      <c r="C728" s="29" t="s">
        <v>1299</v>
      </c>
      <c r="D728" s="38" t="s">
        <v>1483</v>
      </c>
      <c r="E728" s="30">
        <v>2018</v>
      </c>
      <c r="F728" s="30">
        <v>2018</v>
      </c>
      <c r="G728" s="30" t="s">
        <v>1435</v>
      </c>
      <c r="H728" s="27">
        <v>1.9213816155988859</v>
      </c>
      <c r="I728" s="27">
        <v>0</v>
      </c>
      <c r="J728" s="27">
        <v>0</v>
      </c>
      <c r="K728" s="27">
        <v>13.79552</v>
      </c>
      <c r="L728" s="27">
        <v>0.19491525423728814</v>
      </c>
      <c r="M728" s="27">
        <v>10.074914971636272</v>
      </c>
      <c r="N728" s="27">
        <v>3.525689774126441</v>
      </c>
      <c r="O728" s="27">
        <v>0</v>
      </c>
      <c r="P728" s="27">
        <v>0</v>
      </c>
      <c r="Q728" s="27">
        <v>0</v>
      </c>
      <c r="R728" s="27">
        <v>0</v>
      </c>
      <c r="S728" s="27">
        <v>0</v>
      </c>
      <c r="T728" s="27">
        <v>0</v>
      </c>
      <c r="U728" s="27">
        <v>1.9213816155988859</v>
      </c>
      <c r="V728" s="27">
        <v>13.79552</v>
      </c>
      <c r="W728" s="27">
        <v>1.9213816155988859</v>
      </c>
      <c r="X728" s="27">
        <f t="shared" si="59"/>
        <v>13.79552</v>
      </c>
      <c r="Y728" s="27">
        <v>0</v>
      </c>
      <c r="Z728" s="27">
        <f t="shared" si="60"/>
        <v>0</v>
      </c>
      <c r="AA728" s="27">
        <v>0</v>
      </c>
      <c r="AB728" s="28">
        <v>0</v>
      </c>
      <c r="AC728" s="27">
        <v>0</v>
      </c>
      <c r="AD728" s="28">
        <v>0</v>
      </c>
      <c r="AE728" s="27">
        <v>0</v>
      </c>
      <c r="AF728" s="28">
        <v>0</v>
      </c>
      <c r="AG728" s="27">
        <v>0</v>
      </c>
      <c r="AH728" s="28">
        <v>0</v>
      </c>
      <c r="AI728" s="27">
        <f>16.2787136/1.18</f>
        <v>13.79552</v>
      </c>
      <c r="AJ728" s="27">
        <v>0</v>
      </c>
      <c r="AK728" s="27">
        <v>0</v>
      </c>
      <c r="AL728" s="27">
        <v>0</v>
      </c>
      <c r="AM728" s="27">
        <f t="shared" si="58"/>
        <v>13.79552</v>
      </c>
      <c r="AN728" s="27">
        <f t="shared" si="61"/>
        <v>0</v>
      </c>
      <c r="AO728" s="35" t="s">
        <v>1435</v>
      </c>
    </row>
    <row r="729" spans="1:41" ht="31.5" customHeight="1" x14ac:dyDescent="0.25">
      <c r="A729" s="8" t="s">
        <v>130</v>
      </c>
      <c r="B729" s="39" t="s">
        <v>1300</v>
      </c>
      <c r="C729" s="29" t="s">
        <v>1301</v>
      </c>
      <c r="D729" s="38" t="s">
        <v>1483</v>
      </c>
      <c r="E729" s="30">
        <v>2018</v>
      </c>
      <c r="F729" s="30">
        <v>2018</v>
      </c>
      <c r="G729" s="30" t="s">
        <v>1435</v>
      </c>
      <c r="H729" s="27">
        <v>1.5662827298050139</v>
      </c>
      <c r="I729" s="27">
        <v>0</v>
      </c>
      <c r="J729" s="27">
        <v>0</v>
      </c>
      <c r="K729" s="27">
        <v>11.24591</v>
      </c>
      <c r="L729" s="27">
        <v>0.22266949152542373</v>
      </c>
      <c r="M729" s="27">
        <v>2.0687503233477202</v>
      </c>
      <c r="N729" s="27">
        <v>8.9544901851268648</v>
      </c>
      <c r="O729" s="27">
        <v>0</v>
      </c>
      <c r="P729" s="27">
        <v>0</v>
      </c>
      <c r="Q729" s="27">
        <v>0</v>
      </c>
      <c r="R729" s="27">
        <v>0</v>
      </c>
      <c r="S729" s="27">
        <v>0</v>
      </c>
      <c r="T729" s="27">
        <v>0</v>
      </c>
      <c r="U729" s="27">
        <v>1.5662827298050139</v>
      </c>
      <c r="V729" s="27">
        <v>11.24591</v>
      </c>
      <c r="W729" s="27">
        <v>1.5662827298050139</v>
      </c>
      <c r="X729" s="27">
        <f t="shared" si="59"/>
        <v>11.24591</v>
      </c>
      <c r="Y729" s="27">
        <v>0</v>
      </c>
      <c r="Z729" s="27">
        <f t="shared" si="60"/>
        <v>0</v>
      </c>
      <c r="AA729" s="27">
        <v>0</v>
      </c>
      <c r="AB729" s="28">
        <v>0</v>
      </c>
      <c r="AC729" s="27">
        <v>0</v>
      </c>
      <c r="AD729" s="28">
        <v>0</v>
      </c>
      <c r="AE729" s="27">
        <v>0</v>
      </c>
      <c r="AF729" s="28">
        <v>0</v>
      </c>
      <c r="AG729" s="27">
        <v>0</v>
      </c>
      <c r="AH729" s="28">
        <v>0</v>
      </c>
      <c r="AI729" s="27">
        <f>13.2701738/1.18</f>
        <v>11.24591</v>
      </c>
      <c r="AJ729" s="27">
        <v>0</v>
      </c>
      <c r="AK729" s="27">
        <v>0</v>
      </c>
      <c r="AL729" s="27">
        <v>0</v>
      </c>
      <c r="AM729" s="27">
        <f t="shared" si="58"/>
        <v>11.24591</v>
      </c>
      <c r="AN729" s="27">
        <f t="shared" si="61"/>
        <v>0</v>
      </c>
      <c r="AO729" s="35" t="s">
        <v>1435</v>
      </c>
    </row>
    <row r="730" spans="1:41" ht="31.5" customHeight="1" x14ac:dyDescent="0.25">
      <c r="A730" s="8" t="s">
        <v>130</v>
      </c>
      <c r="B730" s="39" t="s">
        <v>1302</v>
      </c>
      <c r="C730" s="29" t="s">
        <v>1303</v>
      </c>
      <c r="D730" s="38" t="s">
        <v>1483</v>
      </c>
      <c r="E730" s="30">
        <v>2018</v>
      </c>
      <c r="F730" s="30">
        <v>2018</v>
      </c>
      <c r="G730" s="30" t="s">
        <v>1435</v>
      </c>
      <c r="H730" s="27">
        <v>1.5554512534818943</v>
      </c>
      <c r="I730" s="27">
        <v>0</v>
      </c>
      <c r="J730" s="27">
        <v>0</v>
      </c>
      <c r="K730" s="27">
        <v>11.168140000000001</v>
      </c>
      <c r="L730" s="27">
        <v>0.22266949152542373</v>
      </c>
      <c r="M730" s="27">
        <v>2.0220867822195765</v>
      </c>
      <c r="N730" s="27">
        <v>8.9233837262550004</v>
      </c>
      <c r="O730" s="27">
        <v>0</v>
      </c>
      <c r="P730" s="27">
        <v>0</v>
      </c>
      <c r="Q730" s="27">
        <v>0</v>
      </c>
      <c r="R730" s="27">
        <v>0</v>
      </c>
      <c r="S730" s="27">
        <v>0</v>
      </c>
      <c r="T730" s="27">
        <v>0</v>
      </c>
      <c r="U730" s="27">
        <v>1.5554512534818943</v>
      </c>
      <c r="V730" s="27">
        <v>11.168140000000001</v>
      </c>
      <c r="W730" s="27">
        <v>1.5554512534818943</v>
      </c>
      <c r="X730" s="27">
        <f t="shared" ref="X730:X761" si="62">AG730+AI730+AK730</f>
        <v>11.168140000000001</v>
      </c>
      <c r="Y730" s="27">
        <v>0</v>
      </c>
      <c r="Z730" s="27">
        <f t="shared" si="60"/>
        <v>0</v>
      </c>
      <c r="AA730" s="27">
        <v>0</v>
      </c>
      <c r="AB730" s="28">
        <v>0</v>
      </c>
      <c r="AC730" s="27">
        <v>0</v>
      </c>
      <c r="AD730" s="28">
        <v>0</v>
      </c>
      <c r="AE730" s="27">
        <v>0</v>
      </c>
      <c r="AF730" s="28">
        <v>0</v>
      </c>
      <c r="AG730" s="27">
        <v>0</v>
      </c>
      <c r="AH730" s="28">
        <v>0</v>
      </c>
      <c r="AI730" s="27">
        <f>13.1784052/1.18</f>
        <v>11.168140000000001</v>
      </c>
      <c r="AJ730" s="27">
        <v>0</v>
      </c>
      <c r="AK730" s="27">
        <v>0</v>
      </c>
      <c r="AL730" s="27">
        <v>0</v>
      </c>
      <c r="AM730" s="27">
        <f t="shared" si="58"/>
        <v>11.168140000000001</v>
      </c>
      <c r="AN730" s="27">
        <f t="shared" si="61"/>
        <v>0</v>
      </c>
      <c r="AO730" s="35" t="s">
        <v>1435</v>
      </c>
    </row>
    <row r="731" spans="1:41" ht="31.5" customHeight="1" x14ac:dyDescent="0.25">
      <c r="A731" s="8" t="s">
        <v>130</v>
      </c>
      <c r="B731" s="39" t="s">
        <v>1304</v>
      </c>
      <c r="C731" s="29" t="s">
        <v>1305</v>
      </c>
      <c r="D731" s="38" t="s">
        <v>1483</v>
      </c>
      <c r="E731" s="30">
        <v>2018</v>
      </c>
      <c r="F731" s="30">
        <v>2018</v>
      </c>
      <c r="G731" s="30" t="s">
        <v>1435</v>
      </c>
      <c r="H731" s="27">
        <v>3.0040278551532036</v>
      </c>
      <c r="I731" s="27">
        <v>0</v>
      </c>
      <c r="J731" s="27">
        <v>0</v>
      </c>
      <c r="K731" s="27">
        <v>21.568920000000002</v>
      </c>
      <c r="L731" s="27">
        <v>0.24576271186440676</v>
      </c>
      <c r="M731" s="27">
        <v>12.156363875406866</v>
      </c>
      <c r="N731" s="27">
        <v>9.1667934127287296</v>
      </c>
      <c r="O731" s="27">
        <v>0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3.0040278551532036</v>
      </c>
      <c r="V731" s="27">
        <v>21.568920000000002</v>
      </c>
      <c r="W731" s="27">
        <v>3.0040278551532036</v>
      </c>
      <c r="X731" s="27">
        <f t="shared" si="62"/>
        <v>21.568920000000002</v>
      </c>
      <c r="Y731" s="27">
        <v>0</v>
      </c>
      <c r="Z731" s="27">
        <f t="shared" si="60"/>
        <v>0</v>
      </c>
      <c r="AA731" s="27">
        <v>0</v>
      </c>
      <c r="AB731" s="28">
        <v>0</v>
      </c>
      <c r="AC731" s="27">
        <v>0</v>
      </c>
      <c r="AD731" s="28">
        <v>0</v>
      </c>
      <c r="AE731" s="27">
        <v>0</v>
      </c>
      <c r="AF731" s="28">
        <v>0</v>
      </c>
      <c r="AG731" s="27">
        <v>0</v>
      </c>
      <c r="AH731" s="28">
        <v>0</v>
      </c>
      <c r="AI731" s="27">
        <f>25.4513256/1.18</f>
        <v>21.568920000000002</v>
      </c>
      <c r="AJ731" s="27">
        <v>0</v>
      </c>
      <c r="AK731" s="27">
        <v>0</v>
      </c>
      <c r="AL731" s="27">
        <v>0</v>
      </c>
      <c r="AM731" s="27">
        <f t="shared" ref="AM731:AM778" si="63">AD731+AF731+AG731+AI731+AK731</f>
        <v>21.568920000000002</v>
      </c>
      <c r="AN731" s="27">
        <f t="shared" si="61"/>
        <v>0</v>
      </c>
      <c r="AO731" s="35" t="s">
        <v>1435</v>
      </c>
    </row>
    <row r="732" spans="1:41" ht="31.5" customHeight="1" x14ac:dyDescent="0.25">
      <c r="A732" s="8" t="s">
        <v>130</v>
      </c>
      <c r="B732" s="39" t="s">
        <v>1306</v>
      </c>
      <c r="C732" s="29" t="s">
        <v>1307</v>
      </c>
      <c r="D732" s="38" t="s">
        <v>1483</v>
      </c>
      <c r="E732" s="30">
        <v>2018</v>
      </c>
      <c r="F732" s="30">
        <v>2018</v>
      </c>
      <c r="G732" s="30" t="s">
        <v>1435</v>
      </c>
      <c r="H732" s="27">
        <v>3.8705752089136491</v>
      </c>
      <c r="I732" s="27">
        <v>0</v>
      </c>
      <c r="J732" s="27">
        <v>0</v>
      </c>
      <c r="K732" s="27">
        <v>27.79073</v>
      </c>
      <c r="L732" s="27">
        <v>0.29661016949152541</v>
      </c>
      <c r="M732" s="27">
        <v>15.683059087184917</v>
      </c>
      <c r="N732" s="27">
        <v>11.81106074332356</v>
      </c>
      <c r="O732" s="27">
        <v>0</v>
      </c>
      <c r="P732" s="27">
        <v>0</v>
      </c>
      <c r="Q732" s="27">
        <v>0</v>
      </c>
      <c r="R732" s="27">
        <v>0</v>
      </c>
      <c r="S732" s="27">
        <v>0</v>
      </c>
      <c r="T732" s="27">
        <v>0</v>
      </c>
      <c r="U732" s="27">
        <v>3.8705752089136491</v>
      </c>
      <c r="V732" s="27">
        <v>27.79073</v>
      </c>
      <c r="W732" s="27">
        <v>3.8705752089136491</v>
      </c>
      <c r="X732" s="27">
        <f t="shared" si="62"/>
        <v>27.79073</v>
      </c>
      <c r="Y732" s="27">
        <v>0</v>
      </c>
      <c r="Z732" s="27">
        <f t="shared" si="60"/>
        <v>0</v>
      </c>
      <c r="AA732" s="27">
        <v>0</v>
      </c>
      <c r="AB732" s="28">
        <v>0</v>
      </c>
      <c r="AC732" s="27">
        <v>0</v>
      </c>
      <c r="AD732" s="28">
        <v>0</v>
      </c>
      <c r="AE732" s="27">
        <v>0</v>
      </c>
      <c r="AF732" s="28">
        <v>0</v>
      </c>
      <c r="AG732" s="27">
        <v>0</v>
      </c>
      <c r="AH732" s="28">
        <v>0</v>
      </c>
      <c r="AI732" s="27">
        <f>32.7930614/1.18</f>
        <v>27.79073</v>
      </c>
      <c r="AJ732" s="27">
        <v>0</v>
      </c>
      <c r="AK732" s="27">
        <v>0</v>
      </c>
      <c r="AL732" s="27">
        <v>0</v>
      </c>
      <c r="AM732" s="27">
        <f t="shared" si="63"/>
        <v>27.79073</v>
      </c>
      <c r="AN732" s="27">
        <f t="shared" si="61"/>
        <v>0</v>
      </c>
      <c r="AO732" s="35" t="s">
        <v>1435</v>
      </c>
    </row>
    <row r="733" spans="1:41" ht="31.5" customHeight="1" x14ac:dyDescent="0.25">
      <c r="A733" s="8" t="s">
        <v>130</v>
      </c>
      <c r="B733" s="39" t="s">
        <v>1308</v>
      </c>
      <c r="C733" s="29" t="s">
        <v>1309</v>
      </c>
      <c r="D733" s="38" t="s">
        <v>1483</v>
      </c>
      <c r="E733" s="30">
        <v>2018</v>
      </c>
      <c r="F733" s="30">
        <v>2018</v>
      </c>
      <c r="G733" s="30" t="s">
        <v>1435</v>
      </c>
      <c r="H733" s="27">
        <v>0.19410584958217272</v>
      </c>
      <c r="I733" s="27">
        <v>0</v>
      </c>
      <c r="J733" s="27">
        <v>0</v>
      </c>
      <c r="K733" s="27">
        <v>1.39368</v>
      </c>
      <c r="L733" s="27">
        <v>5.0847457627118647E-2</v>
      </c>
      <c r="M733" s="27">
        <v>0.26656135593220343</v>
      </c>
      <c r="N733" s="27">
        <v>1.076271186440678</v>
      </c>
      <c r="O733" s="27">
        <v>0</v>
      </c>
      <c r="P733" s="27">
        <v>0</v>
      </c>
      <c r="Q733" s="27">
        <v>0</v>
      </c>
      <c r="R733" s="27">
        <v>0</v>
      </c>
      <c r="S733" s="27">
        <v>0</v>
      </c>
      <c r="T733" s="27">
        <v>0</v>
      </c>
      <c r="U733" s="27">
        <v>0.19410584958217272</v>
      </c>
      <c r="V733" s="27">
        <v>1.39368</v>
      </c>
      <c r="W733" s="27">
        <v>0.19410584958217272</v>
      </c>
      <c r="X733" s="27">
        <f t="shared" si="62"/>
        <v>1.39368</v>
      </c>
      <c r="Y733" s="27">
        <v>0</v>
      </c>
      <c r="Z733" s="27">
        <f t="shared" si="60"/>
        <v>0</v>
      </c>
      <c r="AA733" s="27">
        <v>0</v>
      </c>
      <c r="AB733" s="28">
        <v>0</v>
      </c>
      <c r="AC733" s="27">
        <v>0</v>
      </c>
      <c r="AD733" s="28">
        <v>0</v>
      </c>
      <c r="AE733" s="27">
        <v>0</v>
      </c>
      <c r="AF733" s="28">
        <v>0</v>
      </c>
      <c r="AG733" s="27">
        <v>0</v>
      </c>
      <c r="AH733" s="28">
        <v>0</v>
      </c>
      <c r="AI733" s="27">
        <f>1.6445424/1.18</f>
        <v>1.39368</v>
      </c>
      <c r="AJ733" s="27">
        <v>0</v>
      </c>
      <c r="AK733" s="27">
        <v>0</v>
      </c>
      <c r="AL733" s="27">
        <v>0</v>
      </c>
      <c r="AM733" s="27">
        <f t="shared" si="63"/>
        <v>1.39368</v>
      </c>
      <c r="AN733" s="27">
        <f t="shared" si="61"/>
        <v>0</v>
      </c>
      <c r="AO733" s="35" t="s">
        <v>1435</v>
      </c>
    </row>
    <row r="734" spans="1:41" ht="31.5" customHeight="1" x14ac:dyDescent="0.25">
      <c r="A734" s="8" t="s">
        <v>130</v>
      </c>
      <c r="B734" s="39" t="s">
        <v>1310</v>
      </c>
      <c r="C734" s="29" t="s">
        <v>1311</v>
      </c>
      <c r="D734" s="38" t="s">
        <v>1483</v>
      </c>
      <c r="E734" s="30">
        <v>2018</v>
      </c>
      <c r="F734" s="30">
        <v>2018</v>
      </c>
      <c r="G734" s="30" t="s">
        <v>1435</v>
      </c>
      <c r="H734" s="27">
        <v>0.3697298050139276</v>
      </c>
      <c r="I734" s="27">
        <v>0</v>
      </c>
      <c r="J734" s="27">
        <v>0</v>
      </c>
      <c r="K734" s="27">
        <v>2.6546600000000002</v>
      </c>
      <c r="L734" s="27">
        <v>6.7796610169491525E-2</v>
      </c>
      <c r="M734" s="27">
        <v>0.43432101694915259</v>
      </c>
      <c r="N734" s="27">
        <v>2.152542372881356</v>
      </c>
      <c r="O734" s="27">
        <v>0</v>
      </c>
      <c r="P734" s="27">
        <v>0</v>
      </c>
      <c r="Q734" s="27">
        <v>0</v>
      </c>
      <c r="R734" s="27">
        <v>0</v>
      </c>
      <c r="S734" s="27">
        <v>0</v>
      </c>
      <c r="T734" s="27">
        <v>0</v>
      </c>
      <c r="U734" s="27">
        <v>0.3697298050139276</v>
      </c>
      <c r="V734" s="27">
        <v>2.6546600000000002</v>
      </c>
      <c r="W734" s="27">
        <v>0.3697298050139276</v>
      </c>
      <c r="X734" s="27">
        <f t="shared" si="62"/>
        <v>2.6546600000000002</v>
      </c>
      <c r="Y734" s="27">
        <v>0</v>
      </c>
      <c r="Z734" s="27">
        <f t="shared" si="60"/>
        <v>0</v>
      </c>
      <c r="AA734" s="27">
        <v>0</v>
      </c>
      <c r="AB734" s="28">
        <v>0</v>
      </c>
      <c r="AC734" s="27">
        <v>0</v>
      </c>
      <c r="AD734" s="28">
        <v>0</v>
      </c>
      <c r="AE734" s="27">
        <v>0</v>
      </c>
      <c r="AF734" s="28">
        <v>0</v>
      </c>
      <c r="AG734" s="27">
        <v>0</v>
      </c>
      <c r="AH734" s="28">
        <v>0</v>
      </c>
      <c r="AI734" s="27">
        <f>3.1324988/1.18</f>
        <v>2.6546600000000002</v>
      </c>
      <c r="AJ734" s="27">
        <v>0</v>
      </c>
      <c r="AK734" s="27">
        <v>0</v>
      </c>
      <c r="AL734" s="27">
        <v>0</v>
      </c>
      <c r="AM734" s="27">
        <f t="shared" si="63"/>
        <v>2.6546600000000002</v>
      </c>
      <c r="AN734" s="27">
        <f t="shared" si="61"/>
        <v>0</v>
      </c>
      <c r="AO734" s="35" t="s">
        <v>1435</v>
      </c>
    </row>
    <row r="735" spans="1:41" ht="31.5" customHeight="1" x14ac:dyDescent="0.25">
      <c r="A735" s="8" t="s">
        <v>130</v>
      </c>
      <c r="B735" s="39" t="s">
        <v>1312</v>
      </c>
      <c r="C735" s="29" t="s">
        <v>1313</v>
      </c>
      <c r="D735" s="38" t="s">
        <v>1483</v>
      </c>
      <c r="E735" s="30">
        <v>2018</v>
      </c>
      <c r="F735" s="30">
        <v>2018</v>
      </c>
      <c r="G735" s="30" t="s">
        <v>1435</v>
      </c>
      <c r="H735" s="27">
        <v>0.19410584958217272</v>
      </c>
      <c r="I735" s="27">
        <v>0</v>
      </c>
      <c r="J735" s="27">
        <v>0</v>
      </c>
      <c r="K735" s="27">
        <v>1.39368</v>
      </c>
      <c r="L735" s="27">
        <v>5.0847457627118647E-2</v>
      </c>
      <c r="M735" s="27">
        <v>0.26656135593220343</v>
      </c>
      <c r="N735" s="27">
        <v>1.076271186440678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0.19410584958217272</v>
      </c>
      <c r="V735" s="27">
        <v>1.39368</v>
      </c>
      <c r="W735" s="27">
        <v>0.19410584958217272</v>
      </c>
      <c r="X735" s="27">
        <f t="shared" si="62"/>
        <v>1.39368</v>
      </c>
      <c r="Y735" s="27">
        <v>0</v>
      </c>
      <c r="Z735" s="27">
        <f t="shared" si="60"/>
        <v>0</v>
      </c>
      <c r="AA735" s="27">
        <v>0</v>
      </c>
      <c r="AB735" s="28">
        <v>0</v>
      </c>
      <c r="AC735" s="27">
        <v>0</v>
      </c>
      <c r="AD735" s="28">
        <v>0</v>
      </c>
      <c r="AE735" s="27">
        <v>0</v>
      </c>
      <c r="AF735" s="28">
        <v>0</v>
      </c>
      <c r="AG735" s="27">
        <v>0</v>
      </c>
      <c r="AH735" s="28">
        <v>0</v>
      </c>
      <c r="AI735" s="27">
        <f>1.6445424/1.18</f>
        <v>1.39368</v>
      </c>
      <c r="AJ735" s="27">
        <v>0</v>
      </c>
      <c r="AK735" s="27">
        <v>0</v>
      </c>
      <c r="AL735" s="27">
        <v>0</v>
      </c>
      <c r="AM735" s="27">
        <f t="shared" si="63"/>
        <v>1.39368</v>
      </c>
      <c r="AN735" s="27">
        <f t="shared" si="61"/>
        <v>0</v>
      </c>
      <c r="AO735" s="35" t="s">
        <v>1435</v>
      </c>
    </row>
    <row r="736" spans="1:41" ht="31.5" customHeight="1" x14ac:dyDescent="0.25">
      <c r="A736" s="8" t="s">
        <v>130</v>
      </c>
      <c r="B736" s="39" t="s">
        <v>1314</v>
      </c>
      <c r="C736" s="29" t="s">
        <v>1315</v>
      </c>
      <c r="D736" s="38" t="s">
        <v>1483</v>
      </c>
      <c r="E736" s="30">
        <v>2018</v>
      </c>
      <c r="F736" s="30">
        <v>2018</v>
      </c>
      <c r="G736" s="30" t="s">
        <v>1435</v>
      </c>
      <c r="H736" s="27">
        <v>0.12699013927576602</v>
      </c>
      <c r="I736" s="27">
        <v>0</v>
      </c>
      <c r="J736" s="27">
        <v>0</v>
      </c>
      <c r="K736" s="27">
        <v>0.91178919999999997</v>
      </c>
      <c r="L736" s="27">
        <v>2.17763191931339E-2</v>
      </c>
      <c r="M736" s="27">
        <v>0.68676723500428305</v>
      </c>
      <c r="N736" s="27">
        <v>0.20324564580258306</v>
      </c>
      <c r="O736" s="27">
        <v>0</v>
      </c>
      <c r="P736" s="27">
        <v>0</v>
      </c>
      <c r="Q736" s="27">
        <v>0</v>
      </c>
      <c r="R736" s="27">
        <v>0</v>
      </c>
      <c r="S736" s="27">
        <v>0</v>
      </c>
      <c r="T736" s="27">
        <v>0</v>
      </c>
      <c r="U736" s="27">
        <v>0.12699013927576602</v>
      </c>
      <c r="V736" s="27">
        <v>0.91178919999999997</v>
      </c>
      <c r="W736" s="27">
        <v>0.12699013927576602</v>
      </c>
      <c r="X736" s="27">
        <f t="shared" si="62"/>
        <v>0.91178919999999997</v>
      </c>
      <c r="Y736" s="27">
        <v>0</v>
      </c>
      <c r="Z736" s="27">
        <f t="shared" si="60"/>
        <v>0</v>
      </c>
      <c r="AA736" s="27">
        <v>0</v>
      </c>
      <c r="AB736" s="28">
        <v>0</v>
      </c>
      <c r="AC736" s="27">
        <v>0</v>
      </c>
      <c r="AD736" s="28">
        <v>0</v>
      </c>
      <c r="AE736" s="27">
        <v>0</v>
      </c>
      <c r="AF736" s="28">
        <v>0</v>
      </c>
      <c r="AG736" s="27">
        <v>0</v>
      </c>
      <c r="AH736" s="28">
        <v>0</v>
      </c>
      <c r="AI736" s="27">
        <f>1.075911256/1.18</f>
        <v>0.91178919999999997</v>
      </c>
      <c r="AJ736" s="27">
        <v>0</v>
      </c>
      <c r="AK736" s="27">
        <v>0</v>
      </c>
      <c r="AL736" s="27">
        <v>0</v>
      </c>
      <c r="AM736" s="27">
        <f t="shared" si="63"/>
        <v>0.91178919999999997</v>
      </c>
      <c r="AN736" s="27">
        <f t="shared" si="61"/>
        <v>0</v>
      </c>
      <c r="AO736" s="35" t="s">
        <v>1435</v>
      </c>
    </row>
    <row r="737" spans="1:41" ht="31.5" customHeight="1" x14ac:dyDescent="0.25">
      <c r="A737" s="8" t="s">
        <v>130</v>
      </c>
      <c r="B737" s="39" t="s">
        <v>1316</v>
      </c>
      <c r="C737" s="29" t="s">
        <v>1317</v>
      </c>
      <c r="D737" s="38" t="s">
        <v>1483</v>
      </c>
      <c r="E737" s="30">
        <v>2018</v>
      </c>
      <c r="F737" s="30">
        <v>2018</v>
      </c>
      <c r="G737" s="30" t="s">
        <v>1435</v>
      </c>
      <c r="H737" s="27">
        <v>0.1224547771587744</v>
      </c>
      <c r="I737" s="27">
        <v>0</v>
      </c>
      <c r="J737" s="27">
        <v>0</v>
      </c>
      <c r="K737" s="27">
        <v>0.8792253000000001</v>
      </c>
      <c r="L737" s="27">
        <v>2.0998593507664833E-2</v>
      </c>
      <c r="M737" s="27">
        <v>0.66223983375413054</v>
      </c>
      <c r="N737" s="27">
        <v>0.19598687273820509</v>
      </c>
      <c r="O737" s="27">
        <v>0</v>
      </c>
      <c r="P737" s="27">
        <v>0</v>
      </c>
      <c r="Q737" s="27">
        <v>0</v>
      </c>
      <c r="R737" s="27">
        <v>0</v>
      </c>
      <c r="S737" s="27">
        <v>0</v>
      </c>
      <c r="T737" s="27">
        <v>0</v>
      </c>
      <c r="U737" s="27">
        <v>0.1224547771587744</v>
      </c>
      <c r="V737" s="27">
        <v>0.8792253000000001</v>
      </c>
      <c r="W737" s="27">
        <v>0.1224547771587744</v>
      </c>
      <c r="X737" s="27">
        <f t="shared" si="62"/>
        <v>0.8792253000000001</v>
      </c>
      <c r="Y737" s="27">
        <v>0</v>
      </c>
      <c r="Z737" s="27">
        <f t="shared" si="60"/>
        <v>0</v>
      </c>
      <c r="AA737" s="27">
        <v>0</v>
      </c>
      <c r="AB737" s="28">
        <v>0</v>
      </c>
      <c r="AC737" s="27">
        <v>0</v>
      </c>
      <c r="AD737" s="28">
        <v>0</v>
      </c>
      <c r="AE737" s="27">
        <v>0</v>
      </c>
      <c r="AF737" s="28">
        <v>0</v>
      </c>
      <c r="AG737" s="27">
        <v>0</v>
      </c>
      <c r="AH737" s="28">
        <v>0</v>
      </c>
      <c r="AI737" s="27">
        <f>1.037485854/1.18</f>
        <v>0.8792253000000001</v>
      </c>
      <c r="AJ737" s="27">
        <v>0</v>
      </c>
      <c r="AK737" s="27">
        <v>0</v>
      </c>
      <c r="AL737" s="27">
        <v>0</v>
      </c>
      <c r="AM737" s="27">
        <f t="shared" si="63"/>
        <v>0.8792253000000001</v>
      </c>
      <c r="AN737" s="27">
        <f t="shared" si="61"/>
        <v>0</v>
      </c>
      <c r="AO737" s="35" t="s">
        <v>1435</v>
      </c>
    </row>
    <row r="738" spans="1:41" ht="31.5" customHeight="1" x14ac:dyDescent="0.25">
      <c r="A738" s="8" t="s">
        <v>130</v>
      </c>
      <c r="B738" s="39" t="s">
        <v>1318</v>
      </c>
      <c r="C738" s="29" t="s">
        <v>1319</v>
      </c>
      <c r="D738" s="38" t="s">
        <v>1483</v>
      </c>
      <c r="E738" s="30">
        <v>2018</v>
      </c>
      <c r="F738" s="30">
        <v>2018</v>
      </c>
      <c r="G738" s="30" t="s">
        <v>1435</v>
      </c>
      <c r="H738" s="27">
        <v>0.11791941504178276</v>
      </c>
      <c r="I738" s="27">
        <v>0</v>
      </c>
      <c r="J738" s="27">
        <v>0</v>
      </c>
      <c r="K738" s="27">
        <v>0.84666140000000012</v>
      </c>
      <c r="L738" s="27">
        <v>2.0220867822195763E-2</v>
      </c>
      <c r="M738" s="27">
        <v>0.63771243250397713</v>
      </c>
      <c r="N738" s="27">
        <v>0.18872809967382712</v>
      </c>
      <c r="O738" s="27">
        <v>0</v>
      </c>
      <c r="P738" s="27">
        <v>0</v>
      </c>
      <c r="Q738" s="27">
        <v>0</v>
      </c>
      <c r="R738" s="27">
        <v>0</v>
      </c>
      <c r="S738" s="27">
        <v>0</v>
      </c>
      <c r="T738" s="27">
        <v>0</v>
      </c>
      <c r="U738" s="27">
        <v>0.11791941504178276</v>
      </c>
      <c r="V738" s="27">
        <v>0.84666140000000012</v>
      </c>
      <c r="W738" s="27">
        <v>0.11791941504178276</v>
      </c>
      <c r="X738" s="27">
        <f t="shared" si="62"/>
        <v>0.84666140000000012</v>
      </c>
      <c r="Y738" s="27">
        <v>0</v>
      </c>
      <c r="Z738" s="27">
        <f t="shared" si="60"/>
        <v>0</v>
      </c>
      <c r="AA738" s="27">
        <v>0</v>
      </c>
      <c r="AB738" s="28">
        <v>0</v>
      </c>
      <c r="AC738" s="27">
        <v>0</v>
      </c>
      <c r="AD738" s="28">
        <v>0</v>
      </c>
      <c r="AE738" s="27">
        <v>0</v>
      </c>
      <c r="AF738" s="28">
        <v>0</v>
      </c>
      <c r="AG738" s="27">
        <v>0</v>
      </c>
      <c r="AH738" s="28">
        <v>0</v>
      </c>
      <c r="AI738" s="27">
        <f>0.999060452/1.18</f>
        <v>0.84666140000000012</v>
      </c>
      <c r="AJ738" s="27">
        <v>0</v>
      </c>
      <c r="AK738" s="27">
        <v>0</v>
      </c>
      <c r="AL738" s="27">
        <v>0</v>
      </c>
      <c r="AM738" s="27">
        <f t="shared" si="63"/>
        <v>0.84666140000000012</v>
      </c>
      <c r="AN738" s="27">
        <f t="shared" si="61"/>
        <v>0</v>
      </c>
      <c r="AO738" s="35" t="s">
        <v>1435</v>
      </c>
    </row>
    <row r="739" spans="1:41" ht="31.5" customHeight="1" x14ac:dyDescent="0.25">
      <c r="A739" s="8" t="s">
        <v>130</v>
      </c>
      <c r="B739" s="39" t="s">
        <v>1320</v>
      </c>
      <c r="C739" s="29" t="s">
        <v>1321</v>
      </c>
      <c r="D739" s="38" t="s">
        <v>1483</v>
      </c>
      <c r="E739" s="30">
        <v>2018</v>
      </c>
      <c r="F739" s="30">
        <v>2018</v>
      </c>
      <c r="G739" s="30" t="s">
        <v>1435</v>
      </c>
      <c r="H739" s="27">
        <v>4.5353621169916439E-2</v>
      </c>
      <c r="I739" s="27">
        <v>0</v>
      </c>
      <c r="J739" s="27">
        <v>0</v>
      </c>
      <c r="K739" s="27">
        <v>0.32563900000000001</v>
      </c>
      <c r="L739" s="27">
        <v>7.7772568546906791E-3</v>
      </c>
      <c r="M739" s="27">
        <v>0.25564368830778395</v>
      </c>
      <c r="N739" s="27">
        <v>6.2218054837525433E-2</v>
      </c>
      <c r="O739" s="27">
        <v>0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4.5353621169916439E-2</v>
      </c>
      <c r="V739" s="27">
        <v>0.32563900000000001</v>
      </c>
      <c r="W739" s="27">
        <v>4.5353621169916439E-2</v>
      </c>
      <c r="X739" s="27">
        <f t="shared" si="62"/>
        <v>0.32563900000000001</v>
      </c>
      <c r="Y739" s="27">
        <v>0</v>
      </c>
      <c r="Z739" s="27">
        <f t="shared" si="60"/>
        <v>0</v>
      </c>
      <c r="AA739" s="27">
        <v>0</v>
      </c>
      <c r="AB739" s="28">
        <v>0</v>
      </c>
      <c r="AC739" s="27">
        <v>0</v>
      </c>
      <c r="AD739" s="28">
        <v>0</v>
      </c>
      <c r="AE739" s="27">
        <v>0</v>
      </c>
      <c r="AF739" s="28">
        <v>0</v>
      </c>
      <c r="AG739" s="27">
        <v>0</v>
      </c>
      <c r="AH739" s="28">
        <v>0</v>
      </c>
      <c r="AI739" s="27">
        <f>0.38425402/1.18</f>
        <v>0.32563900000000001</v>
      </c>
      <c r="AJ739" s="27">
        <v>0</v>
      </c>
      <c r="AK739" s="27">
        <v>0</v>
      </c>
      <c r="AL739" s="27">
        <v>0</v>
      </c>
      <c r="AM739" s="27">
        <f t="shared" si="63"/>
        <v>0.32563900000000001</v>
      </c>
      <c r="AN739" s="27">
        <f t="shared" si="61"/>
        <v>0</v>
      </c>
      <c r="AO739" s="35" t="s">
        <v>1435</v>
      </c>
    </row>
    <row r="740" spans="1:41" ht="31.5" customHeight="1" x14ac:dyDescent="0.25">
      <c r="A740" s="8" t="s">
        <v>130</v>
      </c>
      <c r="B740" s="39" t="s">
        <v>1322</v>
      </c>
      <c r="C740" s="29" t="s">
        <v>1323</v>
      </c>
      <c r="D740" s="38" t="s">
        <v>1483</v>
      </c>
      <c r="E740" s="30">
        <v>2018</v>
      </c>
      <c r="F740" s="30">
        <v>2018</v>
      </c>
      <c r="G740" s="30" t="s">
        <v>1435</v>
      </c>
      <c r="H740" s="27">
        <v>4.5353621169916439E-2</v>
      </c>
      <c r="I740" s="27">
        <v>0</v>
      </c>
      <c r="J740" s="27">
        <v>0</v>
      </c>
      <c r="K740" s="27">
        <v>0.32563900000000001</v>
      </c>
      <c r="L740" s="27">
        <v>7.7772568546906791E-3</v>
      </c>
      <c r="M740" s="27">
        <v>0.25564368830778395</v>
      </c>
      <c r="N740" s="27">
        <v>6.2218054837525433E-2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4.5353621169916439E-2</v>
      </c>
      <c r="V740" s="27">
        <v>0.32563900000000001</v>
      </c>
      <c r="W740" s="27">
        <v>4.5353621169916439E-2</v>
      </c>
      <c r="X740" s="27">
        <f t="shared" si="62"/>
        <v>0.32563900000000001</v>
      </c>
      <c r="Y740" s="27">
        <v>0</v>
      </c>
      <c r="Z740" s="27">
        <f t="shared" si="60"/>
        <v>0</v>
      </c>
      <c r="AA740" s="27">
        <v>0</v>
      </c>
      <c r="AB740" s="28">
        <v>0</v>
      </c>
      <c r="AC740" s="27">
        <v>0</v>
      </c>
      <c r="AD740" s="28">
        <v>0</v>
      </c>
      <c r="AE740" s="27">
        <v>0</v>
      </c>
      <c r="AF740" s="28">
        <v>0</v>
      </c>
      <c r="AG740" s="27">
        <v>0</v>
      </c>
      <c r="AH740" s="28">
        <v>0</v>
      </c>
      <c r="AI740" s="27">
        <f>0.38425402/1.18</f>
        <v>0.32563900000000001</v>
      </c>
      <c r="AJ740" s="27">
        <v>0</v>
      </c>
      <c r="AK740" s="27">
        <v>0</v>
      </c>
      <c r="AL740" s="27">
        <v>0</v>
      </c>
      <c r="AM740" s="27">
        <f t="shared" si="63"/>
        <v>0.32563900000000001</v>
      </c>
      <c r="AN740" s="27">
        <f t="shared" si="61"/>
        <v>0</v>
      </c>
      <c r="AO740" s="35" t="s">
        <v>1435</v>
      </c>
    </row>
    <row r="741" spans="1:41" ht="31.5" customHeight="1" x14ac:dyDescent="0.25">
      <c r="A741" s="8" t="s">
        <v>130</v>
      </c>
      <c r="B741" s="39" t="s">
        <v>1324</v>
      </c>
      <c r="C741" s="29" t="s">
        <v>1325</v>
      </c>
      <c r="D741" s="38" t="s">
        <v>1483</v>
      </c>
      <c r="E741" s="30">
        <v>2018</v>
      </c>
      <c r="F741" s="30">
        <v>2018</v>
      </c>
      <c r="G741" s="30" t="s">
        <v>1435</v>
      </c>
      <c r="H741" s="27">
        <v>4.5353621169916439E-2</v>
      </c>
      <c r="I741" s="27">
        <v>0</v>
      </c>
      <c r="J741" s="27">
        <v>0</v>
      </c>
      <c r="K741" s="27">
        <v>0.32563900000000001</v>
      </c>
      <c r="L741" s="27">
        <v>7.7772568546906791E-3</v>
      </c>
      <c r="M741" s="27">
        <v>0.25564368830778395</v>
      </c>
      <c r="N741" s="27">
        <v>6.2218054837525433E-2</v>
      </c>
      <c r="O741" s="27">
        <v>0</v>
      </c>
      <c r="P741" s="27">
        <v>0</v>
      </c>
      <c r="Q741" s="27">
        <v>0</v>
      </c>
      <c r="R741" s="27">
        <v>0</v>
      </c>
      <c r="S741" s="27">
        <v>0</v>
      </c>
      <c r="T741" s="27">
        <v>0</v>
      </c>
      <c r="U741" s="27">
        <v>4.5353621169916439E-2</v>
      </c>
      <c r="V741" s="27">
        <v>0.32563900000000001</v>
      </c>
      <c r="W741" s="27">
        <v>4.5353621169916439E-2</v>
      </c>
      <c r="X741" s="27">
        <f t="shared" si="62"/>
        <v>0.32563900000000001</v>
      </c>
      <c r="Y741" s="27">
        <v>0</v>
      </c>
      <c r="Z741" s="27">
        <f t="shared" si="60"/>
        <v>0</v>
      </c>
      <c r="AA741" s="27">
        <v>0</v>
      </c>
      <c r="AB741" s="28">
        <v>0</v>
      </c>
      <c r="AC741" s="27">
        <v>0</v>
      </c>
      <c r="AD741" s="28">
        <v>0</v>
      </c>
      <c r="AE741" s="27">
        <v>0</v>
      </c>
      <c r="AF741" s="28">
        <v>0</v>
      </c>
      <c r="AG741" s="27">
        <v>0</v>
      </c>
      <c r="AH741" s="28">
        <v>0</v>
      </c>
      <c r="AI741" s="27">
        <f>0.38425402/1.18</f>
        <v>0.32563900000000001</v>
      </c>
      <c r="AJ741" s="27">
        <v>0</v>
      </c>
      <c r="AK741" s="27">
        <v>0</v>
      </c>
      <c r="AL741" s="27">
        <v>0</v>
      </c>
      <c r="AM741" s="27">
        <f t="shared" si="63"/>
        <v>0.32563900000000001</v>
      </c>
      <c r="AN741" s="27">
        <f t="shared" si="61"/>
        <v>0</v>
      </c>
      <c r="AO741" s="35" t="s">
        <v>1435</v>
      </c>
    </row>
    <row r="742" spans="1:41" ht="31.5" customHeight="1" x14ac:dyDescent="0.25">
      <c r="A742" s="59" t="s">
        <v>130</v>
      </c>
      <c r="B742" s="41" t="s">
        <v>1326</v>
      </c>
      <c r="C742" s="29" t="s">
        <v>1327</v>
      </c>
      <c r="D742" s="38" t="s">
        <v>1482</v>
      </c>
      <c r="E742" s="30">
        <v>2019</v>
      </c>
      <c r="F742" s="30">
        <v>2019</v>
      </c>
      <c r="G742" s="30" t="s">
        <v>1435</v>
      </c>
      <c r="H742" s="27">
        <v>2.6214484679665744E-2</v>
      </c>
      <c r="I742" s="27">
        <v>0</v>
      </c>
      <c r="J742" s="27">
        <v>0</v>
      </c>
      <c r="K742" s="27">
        <v>0.18822000000000003</v>
      </c>
      <c r="L742" s="27">
        <v>0</v>
      </c>
      <c r="M742" s="27">
        <v>4.1649817316499492E-2</v>
      </c>
      <c r="N742" s="27">
        <v>0.14657018268350086</v>
      </c>
      <c r="O742" s="27">
        <v>0</v>
      </c>
      <c r="P742" s="27">
        <v>0</v>
      </c>
      <c r="Q742" s="27">
        <v>0</v>
      </c>
      <c r="R742" s="27">
        <v>0</v>
      </c>
      <c r="S742" s="27">
        <v>0</v>
      </c>
      <c r="T742" s="27">
        <v>0</v>
      </c>
      <c r="U742" s="27">
        <v>2.6214484679665744E-2</v>
      </c>
      <c r="V742" s="27">
        <v>0.18822000000000003</v>
      </c>
      <c r="W742" s="27">
        <v>2.6214484679665744E-2</v>
      </c>
      <c r="X742" s="27">
        <f t="shared" si="62"/>
        <v>0.18822000000000003</v>
      </c>
      <c r="Y742" s="27">
        <v>0</v>
      </c>
      <c r="Z742" s="27">
        <f t="shared" si="60"/>
        <v>0</v>
      </c>
      <c r="AA742" s="27">
        <v>0</v>
      </c>
      <c r="AB742" s="28">
        <v>0</v>
      </c>
      <c r="AC742" s="27">
        <v>0</v>
      </c>
      <c r="AD742" s="28">
        <v>0</v>
      </c>
      <c r="AE742" s="27">
        <v>0</v>
      </c>
      <c r="AF742" s="28">
        <v>0</v>
      </c>
      <c r="AG742" s="27">
        <v>0</v>
      </c>
      <c r="AH742" s="28">
        <v>0</v>
      </c>
      <c r="AI742" s="27">
        <v>0</v>
      </c>
      <c r="AJ742" s="27">
        <v>0</v>
      </c>
      <c r="AK742" s="27">
        <f>0.2220996/1.18</f>
        <v>0.18822000000000003</v>
      </c>
      <c r="AL742" s="27">
        <v>0</v>
      </c>
      <c r="AM742" s="27">
        <f t="shared" si="63"/>
        <v>0.18822000000000003</v>
      </c>
      <c r="AN742" s="27">
        <f t="shared" si="61"/>
        <v>0</v>
      </c>
      <c r="AO742" s="35" t="s">
        <v>1435</v>
      </c>
    </row>
    <row r="743" spans="1:41" ht="31.5" customHeight="1" x14ac:dyDescent="0.25">
      <c r="A743" s="59" t="s">
        <v>130</v>
      </c>
      <c r="B743" s="41" t="s">
        <v>1328</v>
      </c>
      <c r="C743" s="29" t="s">
        <v>1329</v>
      </c>
      <c r="D743" s="38" t="s">
        <v>1482</v>
      </c>
      <c r="E743" s="30">
        <v>2019</v>
      </c>
      <c r="F743" s="30">
        <v>2019</v>
      </c>
      <c r="G743" s="30" t="s">
        <v>1435</v>
      </c>
      <c r="H743" s="27">
        <v>2.8729805013927582E-2</v>
      </c>
      <c r="I743" s="27">
        <v>0</v>
      </c>
      <c r="J743" s="27">
        <v>0</v>
      </c>
      <c r="K743" s="27">
        <v>0.20628000000000002</v>
      </c>
      <c r="L743" s="27">
        <v>0</v>
      </c>
      <c r="M743" s="27">
        <v>5.4281292031925339E-2</v>
      </c>
      <c r="N743" s="27">
        <v>0.15199870796807458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2.8729805013927582E-2</v>
      </c>
      <c r="V743" s="27">
        <v>0.20628000000000002</v>
      </c>
      <c r="W743" s="27">
        <v>2.8729805013927582E-2</v>
      </c>
      <c r="X743" s="27">
        <f t="shared" si="62"/>
        <v>0.20628000000000002</v>
      </c>
      <c r="Y743" s="27">
        <v>0</v>
      </c>
      <c r="Z743" s="27">
        <f t="shared" si="60"/>
        <v>0</v>
      </c>
      <c r="AA743" s="27">
        <v>0</v>
      </c>
      <c r="AB743" s="28">
        <v>0</v>
      </c>
      <c r="AC743" s="27">
        <v>0</v>
      </c>
      <c r="AD743" s="28">
        <v>0</v>
      </c>
      <c r="AE743" s="27">
        <v>0</v>
      </c>
      <c r="AF743" s="28">
        <v>0</v>
      </c>
      <c r="AG743" s="27">
        <v>0</v>
      </c>
      <c r="AH743" s="28">
        <v>0</v>
      </c>
      <c r="AI743" s="27">
        <v>0</v>
      </c>
      <c r="AJ743" s="27">
        <v>0</v>
      </c>
      <c r="AK743" s="27">
        <f>0.2434104/1.18</f>
        <v>0.20628000000000002</v>
      </c>
      <c r="AL743" s="27">
        <v>0</v>
      </c>
      <c r="AM743" s="27">
        <f t="shared" si="63"/>
        <v>0.20628000000000002</v>
      </c>
      <c r="AN743" s="27">
        <f t="shared" si="61"/>
        <v>0</v>
      </c>
      <c r="AO743" s="35" t="s">
        <v>1435</v>
      </c>
    </row>
    <row r="744" spans="1:41" ht="31.5" customHeight="1" x14ac:dyDescent="0.25">
      <c r="A744" s="59" t="s">
        <v>130</v>
      </c>
      <c r="B744" s="41" t="s">
        <v>1330</v>
      </c>
      <c r="C744" s="29" t="s">
        <v>1331</v>
      </c>
      <c r="D744" s="38" t="s">
        <v>1482</v>
      </c>
      <c r="E744" s="30">
        <v>2019</v>
      </c>
      <c r="F744" s="30">
        <v>2019</v>
      </c>
      <c r="G744" s="30" t="s">
        <v>1435</v>
      </c>
      <c r="H744" s="27">
        <v>1.4364902506963791E-2</v>
      </c>
      <c r="I744" s="27">
        <v>0</v>
      </c>
      <c r="J744" s="27">
        <v>0</v>
      </c>
      <c r="K744" s="27">
        <v>0.10314000000000001</v>
      </c>
      <c r="L744" s="27">
        <v>0</v>
      </c>
      <c r="M744" s="27">
        <v>2.7140646015962715E-2</v>
      </c>
      <c r="N744" s="27">
        <v>7.5999353984037288E-2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1.4364902506963791E-2</v>
      </c>
      <c r="V744" s="27">
        <v>0.10314000000000001</v>
      </c>
      <c r="W744" s="27">
        <v>1.4364902506963791E-2</v>
      </c>
      <c r="X744" s="27">
        <f t="shared" si="62"/>
        <v>0.10314000000000001</v>
      </c>
      <c r="Y744" s="27">
        <v>0</v>
      </c>
      <c r="Z744" s="27">
        <f t="shared" si="60"/>
        <v>0</v>
      </c>
      <c r="AA744" s="27">
        <v>0</v>
      </c>
      <c r="AB744" s="28">
        <v>0</v>
      </c>
      <c r="AC744" s="27">
        <v>0</v>
      </c>
      <c r="AD744" s="28">
        <v>0</v>
      </c>
      <c r="AE744" s="27">
        <v>0</v>
      </c>
      <c r="AF744" s="28">
        <v>0</v>
      </c>
      <c r="AG744" s="27">
        <v>0</v>
      </c>
      <c r="AH744" s="28">
        <v>0</v>
      </c>
      <c r="AI744" s="27">
        <v>0</v>
      </c>
      <c r="AJ744" s="27">
        <v>0</v>
      </c>
      <c r="AK744" s="27">
        <f>0.1217052/1.18</f>
        <v>0.10314000000000001</v>
      </c>
      <c r="AL744" s="27">
        <v>0</v>
      </c>
      <c r="AM744" s="27">
        <f t="shared" si="63"/>
        <v>0.10314000000000001</v>
      </c>
      <c r="AN744" s="27">
        <f t="shared" si="61"/>
        <v>0</v>
      </c>
      <c r="AO744" s="35" t="s">
        <v>1435</v>
      </c>
    </row>
    <row r="745" spans="1:41" ht="31.5" customHeight="1" x14ac:dyDescent="0.25">
      <c r="A745" s="59" t="s">
        <v>130</v>
      </c>
      <c r="B745" s="41" t="s">
        <v>1332</v>
      </c>
      <c r="C745" s="29" t="s">
        <v>1333</v>
      </c>
      <c r="D745" s="38" t="s">
        <v>1482</v>
      </c>
      <c r="E745" s="30">
        <v>2019</v>
      </c>
      <c r="F745" s="30">
        <v>2019</v>
      </c>
      <c r="G745" s="30" t="s">
        <v>1435</v>
      </c>
      <c r="H745" s="27">
        <v>0.40720473537604462</v>
      </c>
      <c r="I745" s="27">
        <v>0</v>
      </c>
      <c r="J745" s="27">
        <v>0</v>
      </c>
      <c r="K745" s="27">
        <v>2.9237300000000004</v>
      </c>
      <c r="L745" s="27">
        <v>0</v>
      </c>
      <c r="M745" s="27">
        <v>1.1773621430000001</v>
      </c>
      <c r="N745" s="27">
        <v>1.7463678570000001</v>
      </c>
      <c r="O745" s="27">
        <v>0</v>
      </c>
      <c r="P745" s="27">
        <v>0</v>
      </c>
      <c r="Q745" s="27">
        <v>0</v>
      </c>
      <c r="R745" s="27">
        <v>0</v>
      </c>
      <c r="S745" s="27">
        <v>0</v>
      </c>
      <c r="T745" s="27">
        <v>0</v>
      </c>
      <c r="U745" s="27">
        <v>0.40720473537604462</v>
      </c>
      <c r="V745" s="27">
        <v>2.9237300000000004</v>
      </c>
      <c r="W745" s="27">
        <v>0.40720473537604462</v>
      </c>
      <c r="X745" s="27">
        <f t="shared" si="62"/>
        <v>2.9237300000000004</v>
      </c>
      <c r="Y745" s="27">
        <v>0</v>
      </c>
      <c r="Z745" s="27">
        <f t="shared" si="60"/>
        <v>0</v>
      </c>
      <c r="AA745" s="27">
        <v>0</v>
      </c>
      <c r="AB745" s="28">
        <v>0</v>
      </c>
      <c r="AC745" s="27">
        <v>0</v>
      </c>
      <c r="AD745" s="28">
        <v>0</v>
      </c>
      <c r="AE745" s="27">
        <v>0</v>
      </c>
      <c r="AF745" s="28">
        <v>0</v>
      </c>
      <c r="AG745" s="27">
        <v>0</v>
      </c>
      <c r="AH745" s="28">
        <v>0</v>
      </c>
      <c r="AI745" s="27">
        <v>0</v>
      </c>
      <c r="AJ745" s="27">
        <v>0</v>
      </c>
      <c r="AK745" s="27">
        <f>3.4500014/1.18</f>
        <v>2.9237300000000004</v>
      </c>
      <c r="AL745" s="27">
        <v>0</v>
      </c>
      <c r="AM745" s="27">
        <f t="shared" si="63"/>
        <v>2.9237300000000004</v>
      </c>
      <c r="AN745" s="27">
        <f t="shared" si="61"/>
        <v>0</v>
      </c>
      <c r="AO745" s="35" t="s">
        <v>1435</v>
      </c>
    </row>
    <row r="746" spans="1:41" ht="31.5" customHeight="1" x14ac:dyDescent="0.25">
      <c r="A746" s="59" t="s">
        <v>130</v>
      </c>
      <c r="B746" s="41" t="s">
        <v>1334</v>
      </c>
      <c r="C746" s="29" t="s">
        <v>1335</v>
      </c>
      <c r="D746" s="38" t="s">
        <v>1483</v>
      </c>
      <c r="E746" s="30">
        <v>2019</v>
      </c>
      <c r="F746" s="30">
        <v>2019</v>
      </c>
      <c r="G746" s="30" t="s">
        <v>1435</v>
      </c>
      <c r="H746" s="27">
        <v>0.3520454038997215</v>
      </c>
      <c r="I746" s="27">
        <v>0</v>
      </c>
      <c r="J746" s="27">
        <v>0</v>
      </c>
      <c r="K746" s="27">
        <v>2.5276860000000001</v>
      </c>
      <c r="L746" s="27">
        <v>0.11399903097605595</v>
      </c>
      <c r="M746" s="27">
        <v>1.8816914911356866</v>
      </c>
      <c r="N746" s="27">
        <v>0.53199547788826107</v>
      </c>
      <c r="O746" s="27">
        <v>0</v>
      </c>
      <c r="P746" s="27">
        <v>0</v>
      </c>
      <c r="Q746" s="27">
        <v>0</v>
      </c>
      <c r="R746" s="27">
        <v>0</v>
      </c>
      <c r="S746" s="27">
        <v>0</v>
      </c>
      <c r="T746" s="27">
        <v>0</v>
      </c>
      <c r="U746" s="27">
        <v>0.3520454038997215</v>
      </c>
      <c r="V746" s="27">
        <v>2.5276860000000001</v>
      </c>
      <c r="W746" s="27">
        <v>0.3520454038997215</v>
      </c>
      <c r="X746" s="27">
        <f t="shared" si="62"/>
        <v>2.5276860000000001</v>
      </c>
      <c r="Y746" s="27">
        <v>0</v>
      </c>
      <c r="Z746" s="27">
        <f t="shared" si="60"/>
        <v>0</v>
      </c>
      <c r="AA746" s="27">
        <v>0</v>
      </c>
      <c r="AB746" s="28">
        <v>0</v>
      </c>
      <c r="AC746" s="27">
        <v>0</v>
      </c>
      <c r="AD746" s="28">
        <v>0</v>
      </c>
      <c r="AE746" s="27">
        <v>0</v>
      </c>
      <c r="AF746" s="28">
        <v>0</v>
      </c>
      <c r="AG746" s="27">
        <v>0</v>
      </c>
      <c r="AH746" s="28">
        <v>0</v>
      </c>
      <c r="AI746" s="27">
        <v>0</v>
      </c>
      <c r="AJ746" s="27">
        <v>0</v>
      </c>
      <c r="AK746" s="27">
        <f>2.98266948/1.18</f>
        <v>2.5276860000000001</v>
      </c>
      <c r="AL746" s="27">
        <v>0</v>
      </c>
      <c r="AM746" s="27">
        <f t="shared" si="63"/>
        <v>2.5276860000000001</v>
      </c>
      <c r="AN746" s="27">
        <f t="shared" si="61"/>
        <v>0</v>
      </c>
      <c r="AO746" s="35" t="s">
        <v>1435</v>
      </c>
    </row>
    <row r="747" spans="1:41" ht="31.5" customHeight="1" x14ac:dyDescent="0.25">
      <c r="A747" s="59" t="s">
        <v>130</v>
      </c>
      <c r="B747" s="41" t="s">
        <v>1336</v>
      </c>
      <c r="C747" s="29" t="s">
        <v>1337</v>
      </c>
      <c r="D747" s="38" t="s">
        <v>1483</v>
      </c>
      <c r="E747" s="30">
        <v>2019</v>
      </c>
      <c r="F747" s="30">
        <v>2019</v>
      </c>
      <c r="G747" s="30" t="s">
        <v>1435</v>
      </c>
      <c r="H747" s="27">
        <v>3.4198696378830085</v>
      </c>
      <c r="I747" s="27">
        <v>0</v>
      </c>
      <c r="J747" s="27">
        <v>0</v>
      </c>
      <c r="K747" s="27">
        <v>24.554663999999999</v>
      </c>
      <c r="L747" s="27">
        <v>1.1074191580531187</v>
      </c>
      <c r="M747" s="27">
        <v>18.275472228659492</v>
      </c>
      <c r="N747" s="27">
        <v>5.167956070914534</v>
      </c>
      <c r="O747" s="27">
        <v>0</v>
      </c>
      <c r="P747" s="27">
        <v>0</v>
      </c>
      <c r="Q747" s="27">
        <v>0</v>
      </c>
      <c r="R747" s="27">
        <v>0</v>
      </c>
      <c r="S747" s="27">
        <v>0</v>
      </c>
      <c r="T747" s="27">
        <v>0</v>
      </c>
      <c r="U747" s="27">
        <v>3.4198696378830085</v>
      </c>
      <c r="V747" s="27">
        <v>24.554663999999999</v>
      </c>
      <c r="W747" s="27">
        <v>3.4198696378830085</v>
      </c>
      <c r="X747" s="27">
        <f t="shared" si="62"/>
        <v>24.554663999999999</v>
      </c>
      <c r="Y747" s="27">
        <v>0</v>
      </c>
      <c r="Z747" s="27">
        <f t="shared" si="60"/>
        <v>0</v>
      </c>
      <c r="AA747" s="27">
        <v>0</v>
      </c>
      <c r="AB747" s="28">
        <v>0</v>
      </c>
      <c r="AC747" s="27">
        <v>0</v>
      </c>
      <c r="AD747" s="28">
        <v>0</v>
      </c>
      <c r="AE747" s="27">
        <v>0</v>
      </c>
      <c r="AF747" s="28">
        <v>0</v>
      </c>
      <c r="AG747" s="27">
        <v>0</v>
      </c>
      <c r="AH747" s="28">
        <v>0</v>
      </c>
      <c r="AI747" s="27">
        <v>0</v>
      </c>
      <c r="AJ747" s="27">
        <v>0</v>
      </c>
      <c r="AK747" s="27">
        <f>28.97450352/1.18</f>
        <v>24.554663999999999</v>
      </c>
      <c r="AL747" s="27">
        <v>0</v>
      </c>
      <c r="AM747" s="27">
        <f t="shared" si="63"/>
        <v>24.554663999999999</v>
      </c>
      <c r="AN747" s="27">
        <f t="shared" si="61"/>
        <v>0</v>
      </c>
      <c r="AO747" s="35" t="s">
        <v>1435</v>
      </c>
    </row>
    <row r="748" spans="1:41" ht="31.5" customHeight="1" x14ac:dyDescent="0.25">
      <c r="A748" s="59" t="s">
        <v>130</v>
      </c>
      <c r="B748" s="41" t="s">
        <v>1338</v>
      </c>
      <c r="C748" s="29" t="s">
        <v>1339</v>
      </c>
      <c r="D748" s="38" t="s">
        <v>1483</v>
      </c>
      <c r="E748" s="30">
        <v>2019</v>
      </c>
      <c r="F748" s="30">
        <v>2019</v>
      </c>
      <c r="G748" s="30" t="s">
        <v>1435</v>
      </c>
      <c r="H748" s="27">
        <v>1.6093504178272982</v>
      </c>
      <c r="I748" s="27">
        <v>0</v>
      </c>
      <c r="J748" s="27">
        <v>0</v>
      </c>
      <c r="K748" s="27">
        <v>11.555136000000001</v>
      </c>
      <c r="L748" s="27">
        <v>0.52113842731911264</v>
      </c>
      <c r="M748" s="27">
        <v>8.6020182451916956</v>
      </c>
      <c r="N748" s="27">
        <v>2.431979327489195</v>
      </c>
      <c r="O748" s="27">
        <v>0</v>
      </c>
      <c r="P748" s="27">
        <v>0</v>
      </c>
      <c r="Q748" s="27">
        <v>0</v>
      </c>
      <c r="R748" s="27">
        <v>0</v>
      </c>
      <c r="S748" s="27">
        <v>0</v>
      </c>
      <c r="T748" s="27">
        <v>0</v>
      </c>
      <c r="U748" s="27">
        <v>1.6093504178272982</v>
      </c>
      <c r="V748" s="27">
        <v>11.555136000000001</v>
      </c>
      <c r="W748" s="27">
        <v>1.6093504178272982</v>
      </c>
      <c r="X748" s="27">
        <f t="shared" si="62"/>
        <v>11.555136000000001</v>
      </c>
      <c r="Y748" s="27">
        <v>0</v>
      </c>
      <c r="Z748" s="27">
        <f t="shared" si="60"/>
        <v>0</v>
      </c>
      <c r="AA748" s="27">
        <v>0</v>
      </c>
      <c r="AB748" s="28">
        <v>0</v>
      </c>
      <c r="AC748" s="27">
        <v>0</v>
      </c>
      <c r="AD748" s="28">
        <v>0</v>
      </c>
      <c r="AE748" s="27">
        <v>0</v>
      </c>
      <c r="AF748" s="28">
        <v>0</v>
      </c>
      <c r="AG748" s="27">
        <v>0</v>
      </c>
      <c r="AH748" s="28">
        <v>0</v>
      </c>
      <c r="AI748" s="27">
        <v>0</v>
      </c>
      <c r="AJ748" s="27">
        <v>0</v>
      </c>
      <c r="AK748" s="27">
        <f>13.63506048/1.18</f>
        <v>11.555136000000001</v>
      </c>
      <c r="AL748" s="27">
        <v>0</v>
      </c>
      <c r="AM748" s="27">
        <f t="shared" si="63"/>
        <v>11.555136000000001</v>
      </c>
      <c r="AN748" s="27">
        <f t="shared" si="61"/>
        <v>0</v>
      </c>
      <c r="AO748" s="35" t="s">
        <v>1435</v>
      </c>
    </row>
    <row r="749" spans="1:41" ht="31.5" customHeight="1" x14ac:dyDescent="0.25">
      <c r="A749" s="59" t="s">
        <v>130</v>
      </c>
      <c r="B749" s="41" t="s">
        <v>1340</v>
      </c>
      <c r="C749" s="29" t="s">
        <v>1341</v>
      </c>
      <c r="D749" s="38" t="s">
        <v>1483</v>
      </c>
      <c r="E749" s="30">
        <v>2019</v>
      </c>
      <c r="F749" s="30">
        <v>2019</v>
      </c>
      <c r="G749" s="30" t="s">
        <v>1435</v>
      </c>
      <c r="H749" s="27">
        <v>1.0610557103064069</v>
      </c>
      <c r="I749" s="27">
        <v>0</v>
      </c>
      <c r="J749" s="27">
        <v>0</v>
      </c>
      <c r="K749" s="27">
        <v>7.618380000000001</v>
      </c>
      <c r="L749" s="27">
        <v>0.35828266878188986</v>
      </c>
      <c r="M749" s="27">
        <v>5.5881115435692887</v>
      </c>
      <c r="N749" s="27">
        <v>1.671985787648822</v>
      </c>
      <c r="O749" s="27">
        <v>0</v>
      </c>
      <c r="P749" s="27">
        <v>0</v>
      </c>
      <c r="Q749" s="27">
        <v>0</v>
      </c>
      <c r="R749" s="27">
        <v>0</v>
      </c>
      <c r="S749" s="27">
        <v>0</v>
      </c>
      <c r="T749" s="27">
        <v>0</v>
      </c>
      <c r="U749" s="27">
        <v>1.0610557103064069</v>
      </c>
      <c r="V749" s="27">
        <v>7.618380000000001</v>
      </c>
      <c r="W749" s="27">
        <v>1.0610557103064069</v>
      </c>
      <c r="X749" s="27">
        <f t="shared" si="62"/>
        <v>7.618380000000001</v>
      </c>
      <c r="Y749" s="27">
        <v>0</v>
      </c>
      <c r="Z749" s="27">
        <f t="shared" si="60"/>
        <v>0</v>
      </c>
      <c r="AA749" s="27">
        <v>0</v>
      </c>
      <c r="AB749" s="28">
        <v>0</v>
      </c>
      <c r="AC749" s="27">
        <v>0</v>
      </c>
      <c r="AD749" s="28">
        <v>0</v>
      </c>
      <c r="AE749" s="27">
        <v>0</v>
      </c>
      <c r="AF749" s="28">
        <v>0</v>
      </c>
      <c r="AG749" s="27">
        <v>0</v>
      </c>
      <c r="AH749" s="28">
        <v>0</v>
      </c>
      <c r="AI749" s="27">
        <v>0</v>
      </c>
      <c r="AJ749" s="27">
        <v>0</v>
      </c>
      <c r="AK749" s="27">
        <f>8.9896884/1.18</f>
        <v>7.618380000000001</v>
      </c>
      <c r="AL749" s="27">
        <v>0</v>
      </c>
      <c r="AM749" s="27">
        <f t="shared" si="63"/>
        <v>7.618380000000001</v>
      </c>
      <c r="AN749" s="27">
        <f t="shared" si="61"/>
        <v>0</v>
      </c>
      <c r="AO749" s="35" t="s">
        <v>1435</v>
      </c>
    </row>
    <row r="750" spans="1:41" ht="31.5" customHeight="1" x14ac:dyDescent="0.25">
      <c r="A750" s="59" t="s">
        <v>130</v>
      </c>
      <c r="B750" s="41" t="s">
        <v>1342</v>
      </c>
      <c r="C750" s="29" t="s">
        <v>1343</v>
      </c>
      <c r="D750" s="38" t="s">
        <v>1483</v>
      </c>
      <c r="E750" s="30">
        <v>2019</v>
      </c>
      <c r="F750" s="30">
        <v>2019</v>
      </c>
      <c r="G750" s="30" t="s">
        <v>1435</v>
      </c>
      <c r="H750" s="27">
        <v>1.6058760445682452</v>
      </c>
      <c r="I750" s="27">
        <v>0</v>
      </c>
      <c r="J750" s="27">
        <v>0</v>
      </c>
      <c r="K750" s="27">
        <v>11.530189999999999</v>
      </c>
      <c r="L750" s="27">
        <v>0.23305084745762714</v>
      </c>
      <c r="M750" s="27">
        <v>2.0194114058615593</v>
      </c>
      <c r="N750" s="27">
        <v>9.2777277466808474</v>
      </c>
      <c r="O750" s="27">
        <v>0</v>
      </c>
      <c r="P750" s="27">
        <v>0</v>
      </c>
      <c r="Q750" s="27">
        <v>0</v>
      </c>
      <c r="R750" s="27">
        <v>0</v>
      </c>
      <c r="S750" s="27">
        <v>0</v>
      </c>
      <c r="T750" s="27">
        <v>0</v>
      </c>
      <c r="U750" s="27">
        <v>1.6058760445682452</v>
      </c>
      <c r="V750" s="27">
        <v>11.530189999999999</v>
      </c>
      <c r="W750" s="27">
        <v>1.6058760445682452</v>
      </c>
      <c r="X750" s="27">
        <f t="shared" si="62"/>
        <v>11.530189999999999</v>
      </c>
      <c r="Y750" s="27">
        <v>0</v>
      </c>
      <c r="Z750" s="27">
        <f t="shared" si="60"/>
        <v>0</v>
      </c>
      <c r="AA750" s="27">
        <v>0</v>
      </c>
      <c r="AB750" s="28">
        <v>0</v>
      </c>
      <c r="AC750" s="27">
        <v>0</v>
      </c>
      <c r="AD750" s="28">
        <v>0</v>
      </c>
      <c r="AE750" s="27">
        <v>0</v>
      </c>
      <c r="AF750" s="28">
        <v>0</v>
      </c>
      <c r="AG750" s="27">
        <v>0</v>
      </c>
      <c r="AH750" s="28">
        <v>0</v>
      </c>
      <c r="AI750" s="27">
        <v>0</v>
      </c>
      <c r="AJ750" s="27">
        <v>0</v>
      </c>
      <c r="AK750" s="27">
        <f>13.6056242/1.18</f>
        <v>11.530189999999999</v>
      </c>
      <c r="AL750" s="27">
        <v>0</v>
      </c>
      <c r="AM750" s="27">
        <f t="shared" si="63"/>
        <v>11.530189999999999</v>
      </c>
      <c r="AN750" s="27">
        <f t="shared" si="61"/>
        <v>0</v>
      </c>
      <c r="AO750" s="35" t="s">
        <v>1435</v>
      </c>
    </row>
    <row r="751" spans="1:41" ht="31.5" customHeight="1" x14ac:dyDescent="0.25">
      <c r="A751" s="59" t="s">
        <v>130</v>
      </c>
      <c r="B751" s="41" t="s">
        <v>1344</v>
      </c>
      <c r="C751" s="29" t="s">
        <v>1345</v>
      </c>
      <c r="D751" s="38" t="s">
        <v>1483</v>
      </c>
      <c r="E751" s="30">
        <v>2019</v>
      </c>
      <c r="F751" s="30">
        <v>2019</v>
      </c>
      <c r="G751" s="30" t="s">
        <v>1435</v>
      </c>
      <c r="H751" s="27">
        <v>1.6966030640668524</v>
      </c>
      <c r="I751" s="27">
        <v>0</v>
      </c>
      <c r="J751" s="27">
        <v>0</v>
      </c>
      <c r="K751" s="27">
        <v>12.181609999999999</v>
      </c>
      <c r="L751" s="27">
        <v>0.23305084745762714</v>
      </c>
      <c r="M751" s="27">
        <v>2.4102652263508983</v>
      </c>
      <c r="N751" s="27">
        <v>9.5382939261914412</v>
      </c>
      <c r="O751" s="27">
        <v>0</v>
      </c>
      <c r="P751" s="27">
        <v>0</v>
      </c>
      <c r="Q751" s="27">
        <v>0</v>
      </c>
      <c r="R751" s="27">
        <v>0</v>
      </c>
      <c r="S751" s="27">
        <v>0</v>
      </c>
      <c r="T751" s="27">
        <v>0</v>
      </c>
      <c r="U751" s="27">
        <v>1.6966030640668524</v>
      </c>
      <c r="V751" s="27">
        <v>12.181609999999999</v>
      </c>
      <c r="W751" s="27">
        <v>1.6966030640668524</v>
      </c>
      <c r="X751" s="27">
        <f t="shared" si="62"/>
        <v>12.181609999999999</v>
      </c>
      <c r="Y751" s="27">
        <v>0</v>
      </c>
      <c r="Z751" s="27">
        <f t="shared" si="60"/>
        <v>0</v>
      </c>
      <c r="AA751" s="27">
        <v>0</v>
      </c>
      <c r="AB751" s="28">
        <v>0</v>
      </c>
      <c r="AC751" s="27">
        <v>0</v>
      </c>
      <c r="AD751" s="28">
        <v>0</v>
      </c>
      <c r="AE751" s="27">
        <v>0</v>
      </c>
      <c r="AF751" s="28">
        <v>0</v>
      </c>
      <c r="AG751" s="27">
        <v>0</v>
      </c>
      <c r="AH751" s="28">
        <v>0</v>
      </c>
      <c r="AI751" s="27">
        <v>0</v>
      </c>
      <c r="AJ751" s="27">
        <v>0</v>
      </c>
      <c r="AK751" s="27">
        <f>14.3742998/1.18</f>
        <v>12.181609999999999</v>
      </c>
      <c r="AL751" s="27">
        <v>0</v>
      </c>
      <c r="AM751" s="27">
        <f t="shared" si="63"/>
        <v>12.181609999999999</v>
      </c>
      <c r="AN751" s="27">
        <f t="shared" si="61"/>
        <v>0</v>
      </c>
      <c r="AO751" s="35" t="s">
        <v>1435</v>
      </c>
    </row>
    <row r="752" spans="1:41" ht="31.5" customHeight="1" x14ac:dyDescent="0.25">
      <c r="A752" s="59" t="s">
        <v>130</v>
      </c>
      <c r="B752" s="41" t="s">
        <v>1346</v>
      </c>
      <c r="C752" s="29" t="s">
        <v>1347</v>
      </c>
      <c r="D752" s="38" t="s">
        <v>1483</v>
      </c>
      <c r="E752" s="30">
        <v>2019</v>
      </c>
      <c r="F752" s="30">
        <v>2019</v>
      </c>
      <c r="G752" s="30" t="s">
        <v>1435</v>
      </c>
      <c r="H752" s="27">
        <v>4.2339470752089143</v>
      </c>
      <c r="I752" s="27">
        <v>0</v>
      </c>
      <c r="J752" s="27">
        <v>0</v>
      </c>
      <c r="K752" s="27">
        <v>30.399740000000005</v>
      </c>
      <c r="L752" s="27">
        <v>0.32203389830508478</v>
      </c>
      <c r="M752" s="27">
        <v>17.15781592440856</v>
      </c>
      <c r="N752" s="27">
        <v>12.919890177286357</v>
      </c>
      <c r="O752" s="27">
        <v>0</v>
      </c>
      <c r="P752" s="27">
        <v>0</v>
      </c>
      <c r="Q752" s="27">
        <v>0</v>
      </c>
      <c r="R752" s="27">
        <v>0</v>
      </c>
      <c r="S752" s="27">
        <v>0</v>
      </c>
      <c r="T752" s="27">
        <v>0</v>
      </c>
      <c r="U752" s="27">
        <v>4.2339470752089143</v>
      </c>
      <c r="V752" s="27">
        <v>30.399740000000005</v>
      </c>
      <c r="W752" s="27">
        <v>4.2339470752089143</v>
      </c>
      <c r="X752" s="27">
        <f t="shared" si="62"/>
        <v>30.399740000000005</v>
      </c>
      <c r="Y752" s="27">
        <v>0</v>
      </c>
      <c r="Z752" s="27">
        <f t="shared" si="60"/>
        <v>0</v>
      </c>
      <c r="AA752" s="27">
        <v>0</v>
      </c>
      <c r="AB752" s="28">
        <v>0</v>
      </c>
      <c r="AC752" s="27">
        <v>0</v>
      </c>
      <c r="AD752" s="28">
        <v>0</v>
      </c>
      <c r="AE752" s="27">
        <v>0</v>
      </c>
      <c r="AF752" s="28">
        <v>0</v>
      </c>
      <c r="AG752" s="27">
        <v>0</v>
      </c>
      <c r="AH752" s="28">
        <v>0</v>
      </c>
      <c r="AI752" s="27">
        <v>0</v>
      </c>
      <c r="AJ752" s="27">
        <v>0</v>
      </c>
      <c r="AK752" s="27">
        <f>35.8716932/1.18</f>
        <v>30.399740000000005</v>
      </c>
      <c r="AL752" s="27">
        <v>0</v>
      </c>
      <c r="AM752" s="27">
        <f t="shared" si="63"/>
        <v>30.399740000000005</v>
      </c>
      <c r="AN752" s="27">
        <f t="shared" si="61"/>
        <v>0</v>
      </c>
      <c r="AO752" s="35" t="s">
        <v>1435</v>
      </c>
    </row>
    <row r="753" spans="1:41" ht="31.5" customHeight="1" x14ac:dyDescent="0.25">
      <c r="A753" s="59" t="s">
        <v>130</v>
      </c>
      <c r="B753" s="41" t="s">
        <v>1348</v>
      </c>
      <c r="C753" s="29" t="s">
        <v>1349</v>
      </c>
      <c r="D753" s="38" t="s">
        <v>1483</v>
      </c>
      <c r="E753" s="30">
        <v>2019</v>
      </c>
      <c r="F753" s="30">
        <v>2019</v>
      </c>
      <c r="G753" s="30" t="s">
        <v>1435</v>
      </c>
      <c r="H753" s="27">
        <v>5.2017061281337051</v>
      </c>
      <c r="I753" s="27">
        <v>0</v>
      </c>
      <c r="J753" s="27">
        <v>0</v>
      </c>
      <c r="K753" s="27">
        <v>37.34825</v>
      </c>
      <c r="L753" s="27">
        <v>0.38135593220338987</v>
      </c>
      <c r="M753" s="27">
        <v>21.09388613570195</v>
      </c>
      <c r="N753" s="27">
        <v>15.873007932094662</v>
      </c>
      <c r="O753" s="27">
        <v>0</v>
      </c>
      <c r="P753" s="27">
        <v>0</v>
      </c>
      <c r="Q753" s="27">
        <v>0</v>
      </c>
      <c r="R753" s="27">
        <v>0</v>
      </c>
      <c r="S753" s="27">
        <v>0</v>
      </c>
      <c r="T753" s="27">
        <v>0</v>
      </c>
      <c r="U753" s="27">
        <v>5.2017061281337051</v>
      </c>
      <c r="V753" s="27">
        <v>37.34825</v>
      </c>
      <c r="W753" s="27">
        <v>5.2017061281337051</v>
      </c>
      <c r="X753" s="27">
        <f t="shared" si="62"/>
        <v>37.34825</v>
      </c>
      <c r="Y753" s="27">
        <v>0</v>
      </c>
      <c r="Z753" s="27">
        <f t="shared" si="60"/>
        <v>0</v>
      </c>
      <c r="AA753" s="27">
        <v>0</v>
      </c>
      <c r="AB753" s="28">
        <v>0</v>
      </c>
      <c r="AC753" s="27">
        <v>0</v>
      </c>
      <c r="AD753" s="28">
        <v>0</v>
      </c>
      <c r="AE753" s="27">
        <v>0</v>
      </c>
      <c r="AF753" s="28">
        <v>0</v>
      </c>
      <c r="AG753" s="27">
        <v>0</v>
      </c>
      <c r="AH753" s="28">
        <v>0</v>
      </c>
      <c r="AI753" s="27">
        <v>0</v>
      </c>
      <c r="AJ753" s="27">
        <v>0</v>
      </c>
      <c r="AK753" s="27">
        <f>44.070935/1.18</f>
        <v>37.34825</v>
      </c>
      <c r="AL753" s="27">
        <v>0</v>
      </c>
      <c r="AM753" s="27">
        <f t="shared" si="63"/>
        <v>37.34825</v>
      </c>
      <c r="AN753" s="27">
        <f t="shared" si="61"/>
        <v>0</v>
      </c>
      <c r="AO753" s="35" t="s">
        <v>1435</v>
      </c>
    </row>
    <row r="754" spans="1:41" ht="31.5" customHeight="1" x14ac:dyDescent="0.25">
      <c r="A754" s="59" t="s">
        <v>130</v>
      </c>
      <c r="B754" s="41" t="s">
        <v>1350</v>
      </c>
      <c r="C754" s="29" t="s">
        <v>1351</v>
      </c>
      <c r="D754" s="38" t="s">
        <v>1483</v>
      </c>
      <c r="E754" s="30">
        <v>2019</v>
      </c>
      <c r="F754" s="30">
        <v>2019</v>
      </c>
      <c r="G754" s="30" t="s">
        <v>1435</v>
      </c>
      <c r="H754" s="27">
        <v>0.20322980501392762</v>
      </c>
      <c r="I754" s="27">
        <v>0</v>
      </c>
      <c r="J754" s="27">
        <v>0</v>
      </c>
      <c r="K754" s="27">
        <v>1.4591900000000002</v>
      </c>
      <c r="L754" s="27">
        <v>5.3389830508474581E-2</v>
      </c>
      <c r="M754" s="27">
        <v>0.2711864406779661</v>
      </c>
      <c r="N754" s="27">
        <v>1.1346137288135594</v>
      </c>
      <c r="O754" s="27">
        <v>0</v>
      </c>
      <c r="P754" s="27">
        <v>0</v>
      </c>
      <c r="Q754" s="27">
        <v>0</v>
      </c>
      <c r="R754" s="27">
        <v>0</v>
      </c>
      <c r="S754" s="27">
        <v>0</v>
      </c>
      <c r="T754" s="27">
        <v>0</v>
      </c>
      <c r="U754" s="27">
        <v>0.20322980501392762</v>
      </c>
      <c r="V754" s="27">
        <v>1.4591900000000002</v>
      </c>
      <c r="W754" s="27">
        <v>0.20322980501392762</v>
      </c>
      <c r="X754" s="27">
        <f t="shared" si="62"/>
        <v>1.4591900000000002</v>
      </c>
      <c r="Y754" s="27">
        <v>0</v>
      </c>
      <c r="Z754" s="27">
        <f t="shared" si="60"/>
        <v>0</v>
      </c>
      <c r="AA754" s="27">
        <v>0</v>
      </c>
      <c r="AB754" s="28">
        <v>0</v>
      </c>
      <c r="AC754" s="27">
        <v>0</v>
      </c>
      <c r="AD754" s="28">
        <v>0</v>
      </c>
      <c r="AE754" s="27">
        <v>0</v>
      </c>
      <c r="AF754" s="28">
        <v>0</v>
      </c>
      <c r="AG754" s="27">
        <v>0</v>
      </c>
      <c r="AH754" s="28">
        <v>0</v>
      </c>
      <c r="AI754" s="27">
        <v>0</v>
      </c>
      <c r="AJ754" s="27">
        <v>0</v>
      </c>
      <c r="AK754" s="27">
        <f>1.7218442/1.18</f>
        <v>1.4591900000000002</v>
      </c>
      <c r="AL754" s="27">
        <v>0</v>
      </c>
      <c r="AM754" s="27">
        <f t="shared" si="63"/>
        <v>1.4591900000000002</v>
      </c>
      <c r="AN754" s="27">
        <f t="shared" si="61"/>
        <v>0</v>
      </c>
      <c r="AO754" s="35" t="s">
        <v>1435</v>
      </c>
    </row>
    <row r="755" spans="1:41" ht="31.5" customHeight="1" x14ac:dyDescent="0.25">
      <c r="A755" s="59" t="s">
        <v>130</v>
      </c>
      <c r="B755" s="41" t="s">
        <v>1352</v>
      </c>
      <c r="C755" s="29" t="s">
        <v>1353</v>
      </c>
      <c r="D755" s="38" t="s">
        <v>1483</v>
      </c>
      <c r="E755" s="30">
        <v>2019</v>
      </c>
      <c r="F755" s="30">
        <v>2019</v>
      </c>
      <c r="G755" s="30" t="s">
        <v>1435</v>
      </c>
      <c r="H755" s="27">
        <v>0.22863370473537606</v>
      </c>
      <c r="I755" s="27">
        <v>0</v>
      </c>
      <c r="J755" s="27">
        <v>0</v>
      </c>
      <c r="K755" s="27">
        <v>1.6415900000000001</v>
      </c>
      <c r="L755" s="27">
        <v>5.3389830508474581E-2</v>
      </c>
      <c r="M755" s="27">
        <v>0.2711864406779661</v>
      </c>
      <c r="N755" s="27">
        <v>1.3170137288135593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0.22863370473537606</v>
      </c>
      <c r="V755" s="27">
        <v>1.6415900000000001</v>
      </c>
      <c r="W755" s="27">
        <v>0.22863370473537606</v>
      </c>
      <c r="X755" s="27">
        <f t="shared" si="62"/>
        <v>1.6415900000000001</v>
      </c>
      <c r="Y755" s="27">
        <v>0</v>
      </c>
      <c r="Z755" s="27">
        <f t="shared" si="60"/>
        <v>0</v>
      </c>
      <c r="AA755" s="27">
        <v>0</v>
      </c>
      <c r="AB755" s="28">
        <v>0</v>
      </c>
      <c r="AC755" s="27">
        <v>0</v>
      </c>
      <c r="AD755" s="28">
        <v>0</v>
      </c>
      <c r="AE755" s="27">
        <v>0</v>
      </c>
      <c r="AF755" s="28">
        <v>0</v>
      </c>
      <c r="AG755" s="27">
        <v>0</v>
      </c>
      <c r="AH755" s="28">
        <v>0</v>
      </c>
      <c r="AI755" s="27">
        <v>0</v>
      </c>
      <c r="AJ755" s="27">
        <v>0</v>
      </c>
      <c r="AK755" s="27">
        <f>1.9370762/1.18</f>
        <v>1.6415900000000001</v>
      </c>
      <c r="AL755" s="27">
        <v>0</v>
      </c>
      <c r="AM755" s="27">
        <f t="shared" si="63"/>
        <v>1.6415900000000001</v>
      </c>
      <c r="AN755" s="27">
        <f t="shared" si="61"/>
        <v>0</v>
      </c>
      <c r="AO755" s="35" t="s">
        <v>1435</v>
      </c>
    </row>
    <row r="756" spans="1:41" ht="31.5" customHeight="1" x14ac:dyDescent="0.25">
      <c r="A756" s="59" t="s">
        <v>130</v>
      </c>
      <c r="B756" s="41" t="s">
        <v>1354</v>
      </c>
      <c r="C756" s="29" t="s">
        <v>1355</v>
      </c>
      <c r="D756" s="38" t="s">
        <v>1483</v>
      </c>
      <c r="E756" s="30">
        <v>2019</v>
      </c>
      <c r="F756" s="30">
        <v>2019</v>
      </c>
      <c r="G756" s="30" t="s">
        <v>1435</v>
      </c>
      <c r="H756" s="27">
        <v>0.20322980501392762</v>
      </c>
      <c r="I756" s="27">
        <v>0</v>
      </c>
      <c r="J756" s="27">
        <v>0</v>
      </c>
      <c r="K756" s="27">
        <v>1.4591900000000002</v>
      </c>
      <c r="L756" s="27">
        <v>5.3389830508474581E-2</v>
      </c>
      <c r="M756" s="27">
        <v>0.2711864406779661</v>
      </c>
      <c r="N756" s="27">
        <v>1.1346137288135594</v>
      </c>
      <c r="O756" s="27">
        <v>0</v>
      </c>
      <c r="P756" s="27">
        <v>0</v>
      </c>
      <c r="Q756" s="27">
        <v>0</v>
      </c>
      <c r="R756" s="27">
        <v>0</v>
      </c>
      <c r="S756" s="27">
        <v>0</v>
      </c>
      <c r="T756" s="27">
        <v>0</v>
      </c>
      <c r="U756" s="27">
        <v>0.20322980501392762</v>
      </c>
      <c r="V756" s="27">
        <v>1.4591900000000002</v>
      </c>
      <c r="W756" s="27">
        <v>0.20322980501392762</v>
      </c>
      <c r="X756" s="27">
        <f t="shared" si="62"/>
        <v>1.4591900000000002</v>
      </c>
      <c r="Y756" s="27">
        <v>0</v>
      </c>
      <c r="Z756" s="27">
        <f t="shared" si="60"/>
        <v>0</v>
      </c>
      <c r="AA756" s="27">
        <v>0</v>
      </c>
      <c r="AB756" s="28">
        <v>0</v>
      </c>
      <c r="AC756" s="27">
        <v>0</v>
      </c>
      <c r="AD756" s="28">
        <v>0</v>
      </c>
      <c r="AE756" s="27">
        <v>0</v>
      </c>
      <c r="AF756" s="28">
        <v>0</v>
      </c>
      <c r="AG756" s="27">
        <v>0</v>
      </c>
      <c r="AH756" s="28">
        <v>0</v>
      </c>
      <c r="AI756" s="27">
        <v>0</v>
      </c>
      <c r="AJ756" s="27">
        <v>0</v>
      </c>
      <c r="AK756" s="27">
        <f>1.7218442/1.18</f>
        <v>1.4591900000000002</v>
      </c>
      <c r="AL756" s="27">
        <v>0</v>
      </c>
      <c r="AM756" s="27">
        <f t="shared" si="63"/>
        <v>1.4591900000000002</v>
      </c>
      <c r="AN756" s="27">
        <f t="shared" si="61"/>
        <v>0</v>
      </c>
      <c r="AO756" s="35" t="s">
        <v>1435</v>
      </c>
    </row>
    <row r="757" spans="1:41" ht="31.5" customHeight="1" x14ac:dyDescent="0.25">
      <c r="A757" s="59" t="s">
        <v>130</v>
      </c>
      <c r="B757" s="41" t="s">
        <v>1356</v>
      </c>
      <c r="C757" s="29" t="s">
        <v>1357</v>
      </c>
      <c r="D757" s="38" t="s">
        <v>1483</v>
      </c>
      <c r="E757" s="30">
        <v>2019</v>
      </c>
      <c r="F757" s="30">
        <v>2019</v>
      </c>
      <c r="G757" s="30" t="s">
        <v>1435</v>
      </c>
      <c r="H757" s="27">
        <v>0.4575153203342619</v>
      </c>
      <c r="I757" s="27">
        <v>0</v>
      </c>
      <c r="J757" s="27">
        <v>0</v>
      </c>
      <c r="K757" s="27">
        <v>3.2849600000000003</v>
      </c>
      <c r="L757" s="27">
        <v>7.1186440677966104E-2</v>
      </c>
      <c r="M757" s="27">
        <v>0.44915254237288138</v>
      </c>
      <c r="N757" s="27">
        <v>2.7646210169491527</v>
      </c>
      <c r="O757" s="27">
        <v>0</v>
      </c>
      <c r="P757" s="27">
        <v>0</v>
      </c>
      <c r="Q757" s="27">
        <v>0</v>
      </c>
      <c r="R757" s="27">
        <v>0</v>
      </c>
      <c r="S757" s="27">
        <v>0</v>
      </c>
      <c r="T757" s="27">
        <v>0</v>
      </c>
      <c r="U757" s="27">
        <v>0.4575153203342619</v>
      </c>
      <c r="V757" s="27">
        <v>3.2849600000000003</v>
      </c>
      <c r="W757" s="27">
        <v>0.4575153203342619</v>
      </c>
      <c r="X757" s="27">
        <f t="shared" si="62"/>
        <v>3.2849600000000003</v>
      </c>
      <c r="Y757" s="27">
        <v>0</v>
      </c>
      <c r="Z757" s="27">
        <f t="shared" si="60"/>
        <v>0</v>
      </c>
      <c r="AA757" s="27">
        <v>0</v>
      </c>
      <c r="AB757" s="28">
        <v>0</v>
      </c>
      <c r="AC757" s="27">
        <v>0</v>
      </c>
      <c r="AD757" s="28">
        <v>0</v>
      </c>
      <c r="AE757" s="27">
        <v>0</v>
      </c>
      <c r="AF757" s="28">
        <v>0</v>
      </c>
      <c r="AG757" s="27">
        <v>0</v>
      </c>
      <c r="AH757" s="28">
        <v>0</v>
      </c>
      <c r="AI757" s="27">
        <v>0</v>
      </c>
      <c r="AJ757" s="27">
        <v>0</v>
      </c>
      <c r="AK757" s="27">
        <f>3.8762528/1.18</f>
        <v>3.2849600000000003</v>
      </c>
      <c r="AL757" s="27">
        <v>0</v>
      </c>
      <c r="AM757" s="27">
        <f t="shared" si="63"/>
        <v>3.2849600000000003</v>
      </c>
      <c r="AN757" s="27">
        <f t="shared" si="61"/>
        <v>0</v>
      </c>
      <c r="AO757" s="35" t="s">
        <v>1435</v>
      </c>
    </row>
    <row r="758" spans="1:41" ht="31.5" customHeight="1" x14ac:dyDescent="0.25">
      <c r="A758" s="59" t="s">
        <v>130</v>
      </c>
      <c r="B758" s="41" t="s">
        <v>1358</v>
      </c>
      <c r="C758" s="29" t="s">
        <v>1359</v>
      </c>
      <c r="D758" s="38" t="s">
        <v>1483</v>
      </c>
      <c r="E758" s="30">
        <v>2019</v>
      </c>
      <c r="F758" s="30">
        <v>2019</v>
      </c>
      <c r="G758" s="30" t="s">
        <v>1435</v>
      </c>
      <c r="H758" s="27">
        <v>0.14245571030640672</v>
      </c>
      <c r="I758" s="27">
        <v>0</v>
      </c>
      <c r="J758" s="27">
        <v>0</v>
      </c>
      <c r="K758" s="27">
        <v>1.0228320000000002</v>
      </c>
      <c r="L758" s="27">
        <v>2.4428363780583391E-2</v>
      </c>
      <c r="M758" s="27">
        <v>0.77040557426730427</v>
      </c>
      <c r="N758" s="27">
        <v>0.22799806195211189</v>
      </c>
      <c r="O758" s="27">
        <v>0</v>
      </c>
      <c r="P758" s="27">
        <v>0</v>
      </c>
      <c r="Q758" s="27">
        <v>0</v>
      </c>
      <c r="R758" s="27">
        <v>0</v>
      </c>
      <c r="S758" s="27">
        <v>0</v>
      </c>
      <c r="T758" s="27">
        <v>0</v>
      </c>
      <c r="U758" s="27">
        <v>0.14245571030640672</v>
      </c>
      <c r="V758" s="27">
        <v>1.0228320000000002</v>
      </c>
      <c r="W758" s="27">
        <v>0.14245571030640672</v>
      </c>
      <c r="X758" s="27">
        <f t="shared" si="62"/>
        <v>1.0228320000000002</v>
      </c>
      <c r="Y758" s="27">
        <v>0</v>
      </c>
      <c r="Z758" s="27">
        <f t="shared" si="60"/>
        <v>0</v>
      </c>
      <c r="AA758" s="27">
        <v>0</v>
      </c>
      <c r="AB758" s="28">
        <v>0</v>
      </c>
      <c r="AC758" s="27">
        <v>0</v>
      </c>
      <c r="AD758" s="28">
        <v>0</v>
      </c>
      <c r="AE758" s="27">
        <v>0</v>
      </c>
      <c r="AF758" s="28">
        <v>0</v>
      </c>
      <c r="AG758" s="27">
        <v>0</v>
      </c>
      <c r="AH758" s="28">
        <v>0</v>
      </c>
      <c r="AI758" s="27">
        <v>0</v>
      </c>
      <c r="AJ758" s="27">
        <v>0</v>
      </c>
      <c r="AK758" s="27">
        <f>1.20694176/1.18</f>
        <v>1.0228320000000002</v>
      </c>
      <c r="AL758" s="27">
        <v>0</v>
      </c>
      <c r="AM758" s="27">
        <f t="shared" si="63"/>
        <v>1.0228320000000002</v>
      </c>
      <c r="AN758" s="27">
        <f t="shared" si="61"/>
        <v>0</v>
      </c>
      <c r="AO758" s="35" t="s">
        <v>1435</v>
      </c>
    </row>
    <row r="759" spans="1:41" ht="31.5" customHeight="1" x14ac:dyDescent="0.25">
      <c r="A759" s="59" t="s">
        <v>130</v>
      </c>
      <c r="B759" s="41" t="s">
        <v>1360</v>
      </c>
      <c r="C759" s="29" t="s">
        <v>1361</v>
      </c>
      <c r="D759" s="38" t="s">
        <v>1483</v>
      </c>
      <c r="E759" s="30">
        <v>2019</v>
      </c>
      <c r="F759" s="30">
        <v>2019</v>
      </c>
      <c r="G759" s="30" t="s">
        <v>1435</v>
      </c>
      <c r="H759" s="27">
        <v>0.28918509192200564</v>
      </c>
      <c r="I759" s="27">
        <v>0</v>
      </c>
      <c r="J759" s="27">
        <v>0</v>
      </c>
      <c r="K759" s="27">
        <v>2.0763489600000002</v>
      </c>
      <c r="L759" s="27">
        <v>9.9179156949168651E-2</v>
      </c>
      <c r="M759" s="27">
        <v>1.5143337372880425</v>
      </c>
      <c r="N759" s="27">
        <v>0.4628360657627873</v>
      </c>
      <c r="O759" s="27">
        <v>0</v>
      </c>
      <c r="P759" s="27">
        <v>0</v>
      </c>
      <c r="Q759" s="27">
        <v>0</v>
      </c>
      <c r="R759" s="27">
        <v>0</v>
      </c>
      <c r="S759" s="27">
        <v>0</v>
      </c>
      <c r="T759" s="27">
        <v>0</v>
      </c>
      <c r="U759" s="27">
        <v>0.28918509192200564</v>
      </c>
      <c r="V759" s="27">
        <v>2.0763489600000002</v>
      </c>
      <c r="W759" s="27">
        <v>0.28918509192200564</v>
      </c>
      <c r="X759" s="27">
        <f t="shared" si="62"/>
        <v>2.0763489600000002</v>
      </c>
      <c r="Y759" s="27">
        <v>0</v>
      </c>
      <c r="Z759" s="27">
        <f t="shared" si="60"/>
        <v>0</v>
      </c>
      <c r="AA759" s="27">
        <v>0</v>
      </c>
      <c r="AB759" s="28">
        <v>0</v>
      </c>
      <c r="AC759" s="27">
        <v>0</v>
      </c>
      <c r="AD759" s="28">
        <v>0</v>
      </c>
      <c r="AE759" s="27">
        <v>0</v>
      </c>
      <c r="AF759" s="28">
        <v>0</v>
      </c>
      <c r="AG759" s="27">
        <v>0</v>
      </c>
      <c r="AH759" s="28">
        <v>0</v>
      </c>
      <c r="AI759" s="27">
        <v>0</v>
      </c>
      <c r="AJ759" s="27">
        <v>0</v>
      </c>
      <c r="AK759" s="27">
        <f>2.4500917728/1.18</f>
        <v>2.0763489600000002</v>
      </c>
      <c r="AL759" s="27">
        <v>0</v>
      </c>
      <c r="AM759" s="27">
        <f t="shared" si="63"/>
        <v>2.0763489600000002</v>
      </c>
      <c r="AN759" s="27">
        <f t="shared" si="61"/>
        <v>0</v>
      </c>
      <c r="AO759" s="35" t="s">
        <v>1435</v>
      </c>
    </row>
    <row r="760" spans="1:41" ht="31.5" customHeight="1" x14ac:dyDescent="0.25">
      <c r="A760" s="59" t="s">
        <v>130</v>
      </c>
      <c r="B760" s="41" t="s">
        <v>1362</v>
      </c>
      <c r="C760" s="29" t="s">
        <v>1363</v>
      </c>
      <c r="D760" s="38" t="s">
        <v>1483</v>
      </c>
      <c r="E760" s="30">
        <v>2019</v>
      </c>
      <c r="F760" s="30">
        <v>2019</v>
      </c>
      <c r="G760" s="30" t="s">
        <v>1435</v>
      </c>
      <c r="H760" s="27">
        <v>4.748523676880223E-2</v>
      </c>
      <c r="I760" s="27">
        <v>0</v>
      </c>
      <c r="J760" s="27">
        <v>0</v>
      </c>
      <c r="K760" s="27">
        <v>0.34094400000000002</v>
      </c>
      <c r="L760" s="27">
        <v>1.6285575853722291E-2</v>
      </c>
      <c r="M760" s="27">
        <v>0.2486590701622407</v>
      </c>
      <c r="N760" s="27">
        <v>7.5999353984037288E-2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4.748523676880223E-2</v>
      </c>
      <c r="V760" s="27">
        <v>0.34094400000000002</v>
      </c>
      <c r="W760" s="27">
        <v>4.748523676880223E-2</v>
      </c>
      <c r="X760" s="27">
        <f t="shared" si="62"/>
        <v>0.34094400000000002</v>
      </c>
      <c r="Y760" s="27">
        <v>0</v>
      </c>
      <c r="Z760" s="27">
        <f t="shared" si="60"/>
        <v>0</v>
      </c>
      <c r="AA760" s="27">
        <v>0</v>
      </c>
      <c r="AB760" s="28">
        <v>0</v>
      </c>
      <c r="AC760" s="27">
        <v>0</v>
      </c>
      <c r="AD760" s="28">
        <v>0</v>
      </c>
      <c r="AE760" s="27">
        <v>0</v>
      </c>
      <c r="AF760" s="28">
        <v>0</v>
      </c>
      <c r="AG760" s="27">
        <v>0</v>
      </c>
      <c r="AH760" s="28">
        <v>0</v>
      </c>
      <c r="AI760" s="27">
        <v>0</v>
      </c>
      <c r="AJ760" s="27">
        <v>0</v>
      </c>
      <c r="AK760" s="27">
        <f>0.40231392/1.18</f>
        <v>0.34094400000000002</v>
      </c>
      <c r="AL760" s="27">
        <v>0</v>
      </c>
      <c r="AM760" s="27">
        <f t="shared" si="63"/>
        <v>0.34094400000000002</v>
      </c>
      <c r="AN760" s="27">
        <f t="shared" si="61"/>
        <v>0</v>
      </c>
      <c r="AO760" s="35" t="s">
        <v>1435</v>
      </c>
    </row>
    <row r="761" spans="1:41" ht="31.5" customHeight="1" x14ac:dyDescent="0.25">
      <c r="A761" s="59" t="s">
        <v>130</v>
      </c>
      <c r="B761" s="41" t="s">
        <v>1364</v>
      </c>
      <c r="C761" s="29" t="s">
        <v>1365</v>
      </c>
      <c r="D761" s="38" t="s">
        <v>1483</v>
      </c>
      <c r="E761" s="30">
        <v>2019</v>
      </c>
      <c r="F761" s="30">
        <v>2019</v>
      </c>
      <c r="G761" s="30" t="s">
        <v>1435</v>
      </c>
      <c r="H761" s="27">
        <v>4.748523676880223E-2</v>
      </c>
      <c r="I761" s="27">
        <v>0</v>
      </c>
      <c r="J761" s="27">
        <v>0</v>
      </c>
      <c r="K761" s="27">
        <v>0.34094400000000002</v>
      </c>
      <c r="L761" s="27">
        <v>1.6285575853722291E-2</v>
      </c>
      <c r="M761" s="27">
        <v>0.25951612073138902</v>
      </c>
      <c r="N761" s="27">
        <v>6.514230341488908E-2</v>
      </c>
      <c r="O761" s="27">
        <v>0</v>
      </c>
      <c r="P761" s="27">
        <v>0</v>
      </c>
      <c r="Q761" s="27">
        <v>0</v>
      </c>
      <c r="R761" s="27">
        <v>0</v>
      </c>
      <c r="S761" s="27">
        <v>0</v>
      </c>
      <c r="T761" s="27">
        <v>0</v>
      </c>
      <c r="U761" s="27">
        <v>4.748523676880223E-2</v>
      </c>
      <c r="V761" s="27">
        <v>0.34094400000000002</v>
      </c>
      <c r="W761" s="27">
        <v>4.748523676880223E-2</v>
      </c>
      <c r="X761" s="27">
        <f t="shared" si="62"/>
        <v>0.34094400000000002</v>
      </c>
      <c r="Y761" s="27">
        <v>0</v>
      </c>
      <c r="Z761" s="27">
        <f t="shared" si="60"/>
        <v>0</v>
      </c>
      <c r="AA761" s="27">
        <v>0</v>
      </c>
      <c r="AB761" s="28">
        <v>0</v>
      </c>
      <c r="AC761" s="27">
        <v>0</v>
      </c>
      <c r="AD761" s="28">
        <v>0</v>
      </c>
      <c r="AE761" s="27">
        <v>0</v>
      </c>
      <c r="AF761" s="28">
        <v>0</v>
      </c>
      <c r="AG761" s="27">
        <v>0</v>
      </c>
      <c r="AH761" s="28">
        <v>0</v>
      </c>
      <c r="AI761" s="27">
        <v>0</v>
      </c>
      <c r="AJ761" s="27">
        <v>0</v>
      </c>
      <c r="AK761" s="27">
        <f>0.40231392/1.18</f>
        <v>0.34094400000000002</v>
      </c>
      <c r="AL761" s="27">
        <v>0</v>
      </c>
      <c r="AM761" s="27">
        <f t="shared" si="63"/>
        <v>0.34094400000000002</v>
      </c>
      <c r="AN761" s="27">
        <f t="shared" si="61"/>
        <v>0</v>
      </c>
      <c r="AO761" s="35" t="s">
        <v>1435</v>
      </c>
    </row>
    <row r="762" spans="1:41" ht="31.5" customHeight="1" x14ac:dyDescent="0.25">
      <c r="A762" s="59" t="s">
        <v>130</v>
      </c>
      <c r="B762" s="41" t="s">
        <v>1366</v>
      </c>
      <c r="C762" s="29" t="s">
        <v>1367</v>
      </c>
      <c r="D762" s="38" t="s">
        <v>1483</v>
      </c>
      <c r="E762" s="30">
        <v>2019</v>
      </c>
      <c r="F762" s="30">
        <v>2019</v>
      </c>
      <c r="G762" s="30" t="s">
        <v>1435</v>
      </c>
      <c r="H762" s="27">
        <v>4.748523676880223E-2</v>
      </c>
      <c r="I762" s="27">
        <v>0</v>
      </c>
      <c r="J762" s="27">
        <v>0</v>
      </c>
      <c r="K762" s="27">
        <v>0.34094400000000002</v>
      </c>
      <c r="L762" s="27">
        <v>1.6285575853722291E-2</v>
      </c>
      <c r="M762" s="27">
        <v>0.25951612073138902</v>
      </c>
      <c r="N762" s="27">
        <v>6.514230341488908E-2</v>
      </c>
      <c r="O762" s="27">
        <v>0</v>
      </c>
      <c r="P762" s="27">
        <v>0</v>
      </c>
      <c r="Q762" s="27">
        <v>0</v>
      </c>
      <c r="R762" s="27">
        <v>0</v>
      </c>
      <c r="S762" s="27">
        <v>0</v>
      </c>
      <c r="T762" s="27">
        <v>0</v>
      </c>
      <c r="U762" s="27">
        <v>4.748523676880223E-2</v>
      </c>
      <c r="V762" s="27">
        <v>0.34094400000000002</v>
      </c>
      <c r="W762" s="27">
        <v>4.748523676880223E-2</v>
      </c>
      <c r="X762" s="27">
        <f t="shared" ref="X762:X778" si="64">AG762+AI762+AK762</f>
        <v>0.34094400000000002</v>
      </c>
      <c r="Y762" s="27">
        <v>0</v>
      </c>
      <c r="Z762" s="27">
        <f t="shared" si="60"/>
        <v>0</v>
      </c>
      <c r="AA762" s="27">
        <v>0</v>
      </c>
      <c r="AB762" s="28">
        <v>0</v>
      </c>
      <c r="AC762" s="27">
        <v>0</v>
      </c>
      <c r="AD762" s="28">
        <v>0</v>
      </c>
      <c r="AE762" s="27">
        <v>0</v>
      </c>
      <c r="AF762" s="28">
        <v>0</v>
      </c>
      <c r="AG762" s="27">
        <v>0</v>
      </c>
      <c r="AH762" s="28">
        <v>0</v>
      </c>
      <c r="AI762" s="27">
        <v>0</v>
      </c>
      <c r="AJ762" s="27">
        <v>0</v>
      </c>
      <c r="AK762" s="27">
        <f>0.40231392/1.18</f>
        <v>0.34094400000000002</v>
      </c>
      <c r="AL762" s="27">
        <v>0</v>
      </c>
      <c r="AM762" s="27">
        <f t="shared" si="63"/>
        <v>0.34094400000000002</v>
      </c>
      <c r="AN762" s="27">
        <f t="shared" si="61"/>
        <v>0</v>
      </c>
      <c r="AO762" s="35" t="s">
        <v>1435</v>
      </c>
    </row>
    <row r="763" spans="1:41" ht="31.5" customHeight="1" x14ac:dyDescent="0.25">
      <c r="A763" s="59" t="s">
        <v>130</v>
      </c>
      <c r="B763" s="41" t="s">
        <v>1368</v>
      </c>
      <c r="C763" s="29" t="s">
        <v>1369</v>
      </c>
      <c r="D763" s="38" t="s">
        <v>1483</v>
      </c>
      <c r="E763" s="30">
        <v>2019</v>
      </c>
      <c r="F763" s="30">
        <v>2019</v>
      </c>
      <c r="G763" s="30" t="s">
        <v>1435</v>
      </c>
      <c r="H763" s="27">
        <v>4.748523676880223E-2</v>
      </c>
      <c r="I763" s="27">
        <v>0</v>
      </c>
      <c r="J763" s="27">
        <v>0</v>
      </c>
      <c r="K763" s="27">
        <v>0.34094400000000002</v>
      </c>
      <c r="L763" s="27">
        <v>1.6285575853722291E-2</v>
      </c>
      <c r="M763" s="27">
        <v>0.25951612073138902</v>
      </c>
      <c r="N763" s="27">
        <v>6.514230341488908E-2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4.748523676880223E-2</v>
      </c>
      <c r="V763" s="27">
        <v>0.34094400000000002</v>
      </c>
      <c r="W763" s="27">
        <v>4.748523676880223E-2</v>
      </c>
      <c r="X763" s="27">
        <f t="shared" si="64"/>
        <v>0.34094400000000002</v>
      </c>
      <c r="Y763" s="27">
        <v>0</v>
      </c>
      <c r="Z763" s="27">
        <f t="shared" si="60"/>
        <v>0</v>
      </c>
      <c r="AA763" s="27">
        <v>0</v>
      </c>
      <c r="AB763" s="28">
        <v>0</v>
      </c>
      <c r="AC763" s="27">
        <v>0</v>
      </c>
      <c r="AD763" s="28">
        <v>0</v>
      </c>
      <c r="AE763" s="27">
        <v>0</v>
      </c>
      <c r="AF763" s="28">
        <v>0</v>
      </c>
      <c r="AG763" s="27">
        <v>0</v>
      </c>
      <c r="AH763" s="28">
        <v>0</v>
      </c>
      <c r="AI763" s="27">
        <v>0</v>
      </c>
      <c r="AJ763" s="27">
        <v>0</v>
      </c>
      <c r="AK763" s="27">
        <f>0.40231392/1.18</f>
        <v>0.34094400000000002</v>
      </c>
      <c r="AL763" s="27">
        <v>0</v>
      </c>
      <c r="AM763" s="27">
        <f t="shared" si="63"/>
        <v>0.34094400000000002</v>
      </c>
      <c r="AN763" s="27">
        <f t="shared" si="61"/>
        <v>0</v>
      </c>
      <c r="AO763" s="35" t="s">
        <v>1435</v>
      </c>
    </row>
    <row r="764" spans="1:41" ht="31.5" customHeight="1" x14ac:dyDescent="0.25">
      <c r="A764" s="59" t="s">
        <v>130</v>
      </c>
      <c r="B764" s="41" t="s">
        <v>1370</v>
      </c>
      <c r="C764" s="29" t="s">
        <v>1371</v>
      </c>
      <c r="D764" s="38" t="s">
        <v>1483</v>
      </c>
      <c r="E764" s="30">
        <v>2019</v>
      </c>
      <c r="F764" s="30">
        <v>2019</v>
      </c>
      <c r="G764" s="30" t="s">
        <v>1435</v>
      </c>
      <c r="H764" s="27">
        <v>0.18994094707520892</v>
      </c>
      <c r="I764" s="27">
        <v>0</v>
      </c>
      <c r="J764" s="27">
        <v>0</v>
      </c>
      <c r="K764" s="27">
        <v>1.3637760000000001</v>
      </c>
      <c r="L764" s="27">
        <v>6.514230341488908E-2</v>
      </c>
      <c r="M764" s="27">
        <v>0.99463628064895782</v>
      </c>
      <c r="N764" s="27">
        <v>0.30399741593614915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0.18994094707520892</v>
      </c>
      <c r="V764" s="27">
        <v>1.3637760000000001</v>
      </c>
      <c r="W764" s="27">
        <v>0.18994094707520892</v>
      </c>
      <c r="X764" s="27">
        <f t="shared" si="64"/>
        <v>1.3637760000000001</v>
      </c>
      <c r="Y764" s="27">
        <v>0</v>
      </c>
      <c r="Z764" s="27">
        <f t="shared" si="60"/>
        <v>0</v>
      </c>
      <c r="AA764" s="27">
        <v>0</v>
      </c>
      <c r="AB764" s="28">
        <v>0</v>
      </c>
      <c r="AC764" s="27">
        <v>0</v>
      </c>
      <c r="AD764" s="28">
        <v>0</v>
      </c>
      <c r="AE764" s="27">
        <v>0</v>
      </c>
      <c r="AF764" s="28">
        <v>0</v>
      </c>
      <c r="AG764" s="27">
        <v>0</v>
      </c>
      <c r="AH764" s="28">
        <v>0</v>
      </c>
      <c r="AI764" s="27">
        <v>0</v>
      </c>
      <c r="AJ764" s="27">
        <v>0</v>
      </c>
      <c r="AK764" s="27">
        <f>1.60925568/1.18</f>
        <v>1.3637760000000001</v>
      </c>
      <c r="AL764" s="27">
        <v>0</v>
      </c>
      <c r="AM764" s="27">
        <f t="shared" si="63"/>
        <v>1.3637760000000001</v>
      </c>
      <c r="AN764" s="27">
        <f t="shared" si="61"/>
        <v>0</v>
      </c>
      <c r="AO764" s="35" t="s">
        <v>1435</v>
      </c>
    </row>
    <row r="765" spans="1:41" ht="31.5" customHeight="1" x14ac:dyDescent="0.25">
      <c r="A765" s="59" t="s">
        <v>130</v>
      </c>
      <c r="B765" s="41" t="s">
        <v>1372</v>
      </c>
      <c r="C765" s="29" t="s">
        <v>1373</v>
      </c>
      <c r="D765" s="38" t="s">
        <v>1483</v>
      </c>
      <c r="E765" s="30">
        <v>2019</v>
      </c>
      <c r="F765" s="30">
        <v>2019</v>
      </c>
      <c r="G765" s="30" t="s">
        <v>1435</v>
      </c>
      <c r="H765" s="27">
        <v>4.748523676880223E-2</v>
      </c>
      <c r="I765" s="27">
        <v>0</v>
      </c>
      <c r="J765" s="27">
        <v>0</v>
      </c>
      <c r="K765" s="27">
        <v>0.34094400000000002</v>
      </c>
      <c r="L765" s="27">
        <v>1.6285575853722291E-2</v>
      </c>
      <c r="M765" s="27">
        <v>0.25951612073138902</v>
      </c>
      <c r="N765" s="27">
        <v>6.514230341488908E-2</v>
      </c>
      <c r="O765" s="27">
        <v>0</v>
      </c>
      <c r="P765" s="27">
        <v>0</v>
      </c>
      <c r="Q765" s="27">
        <v>0</v>
      </c>
      <c r="R765" s="27">
        <v>0</v>
      </c>
      <c r="S765" s="27">
        <v>0</v>
      </c>
      <c r="T765" s="27">
        <v>0</v>
      </c>
      <c r="U765" s="27">
        <v>4.748523676880223E-2</v>
      </c>
      <c r="V765" s="27">
        <v>0.34094400000000002</v>
      </c>
      <c r="W765" s="27">
        <v>4.748523676880223E-2</v>
      </c>
      <c r="X765" s="27">
        <f t="shared" si="64"/>
        <v>0.34094400000000002</v>
      </c>
      <c r="Y765" s="27">
        <v>0</v>
      </c>
      <c r="Z765" s="27">
        <f t="shared" si="60"/>
        <v>0</v>
      </c>
      <c r="AA765" s="27">
        <v>0</v>
      </c>
      <c r="AB765" s="28">
        <v>0</v>
      </c>
      <c r="AC765" s="27">
        <v>0</v>
      </c>
      <c r="AD765" s="28">
        <v>0</v>
      </c>
      <c r="AE765" s="27">
        <v>0</v>
      </c>
      <c r="AF765" s="28">
        <v>0</v>
      </c>
      <c r="AG765" s="27">
        <v>0</v>
      </c>
      <c r="AH765" s="28">
        <v>0</v>
      </c>
      <c r="AI765" s="27">
        <v>0</v>
      </c>
      <c r="AJ765" s="27">
        <v>0</v>
      </c>
      <c r="AK765" s="27">
        <f>0.40231392/1.18</f>
        <v>0.34094400000000002</v>
      </c>
      <c r="AL765" s="27">
        <v>0</v>
      </c>
      <c r="AM765" s="27">
        <f t="shared" si="63"/>
        <v>0.34094400000000002</v>
      </c>
      <c r="AN765" s="27">
        <f t="shared" si="61"/>
        <v>0</v>
      </c>
      <c r="AO765" s="35" t="s">
        <v>1435</v>
      </c>
    </row>
    <row r="766" spans="1:41" ht="31.5" customHeight="1" x14ac:dyDescent="0.25">
      <c r="A766" s="9" t="s">
        <v>132</v>
      </c>
      <c r="B766" s="10" t="s">
        <v>133</v>
      </c>
      <c r="C766" s="23" t="s">
        <v>48</v>
      </c>
      <c r="D766" s="36" t="s">
        <v>1435</v>
      </c>
      <c r="E766" s="24" t="s">
        <v>1435</v>
      </c>
      <c r="F766" s="24" t="s">
        <v>1435</v>
      </c>
      <c r="G766" s="24" t="s">
        <v>1435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f t="shared" si="64"/>
        <v>0</v>
      </c>
      <c r="Y766" s="25">
        <v>0</v>
      </c>
      <c r="Z766" s="25">
        <f t="shared" si="60"/>
        <v>0</v>
      </c>
      <c r="AA766" s="25">
        <v>0</v>
      </c>
      <c r="AB766" s="26">
        <v>0</v>
      </c>
      <c r="AC766" s="25">
        <v>0</v>
      </c>
      <c r="AD766" s="26">
        <v>0</v>
      </c>
      <c r="AE766" s="25">
        <v>0</v>
      </c>
      <c r="AF766" s="26">
        <v>0</v>
      </c>
      <c r="AG766" s="25">
        <v>0</v>
      </c>
      <c r="AH766" s="26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f t="shared" si="63"/>
        <v>0</v>
      </c>
      <c r="AN766" s="25">
        <f t="shared" si="61"/>
        <v>0</v>
      </c>
      <c r="AO766" s="26" t="s">
        <v>1435</v>
      </c>
    </row>
    <row r="767" spans="1:41" ht="31.5" customHeight="1" x14ac:dyDescent="0.25">
      <c r="A767" s="9" t="s">
        <v>134</v>
      </c>
      <c r="B767" s="10" t="s">
        <v>135</v>
      </c>
      <c r="C767" s="23" t="s">
        <v>48</v>
      </c>
      <c r="D767" s="36" t="s">
        <v>1435</v>
      </c>
      <c r="E767" s="24" t="s">
        <v>1435</v>
      </c>
      <c r="F767" s="24" t="s">
        <v>1435</v>
      </c>
      <c r="G767" s="24" t="s">
        <v>1435</v>
      </c>
      <c r="H767" s="25">
        <f>SUM(H768:H778)</f>
        <v>16.128901742127383</v>
      </c>
      <c r="I767" s="25">
        <f>SUM(I768:I778)</f>
        <v>8.9525531197771606</v>
      </c>
      <c r="J767" s="25">
        <v>0</v>
      </c>
      <c r="K767" s="25">
        <v>115.80551450847456</v>
      </c>
      <c r="L767" s="25">
        <v>0</v>
      </c>
      <c r="M767" s="25">
        <v>0</v>
      </c>
      <c r="N767" s="25">
        <v>115.80551450847456</v>
      </c>
      <c r="O767" s="25">
        <v>0</v>
      </c>
      <c r="P767" s="25">
        <v>64.279331400000004</v>
      </c>
      <c r="Q767" s="25">
        <v>0</v>
      </c>
      <c r="R767" s="25">
        <v>0</v>
      </c>
      <c r="S767" s="25">
        <v>64.279331400000004</v>
      </c>
      <c r="T767" s="25">
        <v>0</v>
      </c>
      <c r="U767" s="25">
        <f>SUM(U768:U778)</f>
        <v>16.128901742127383</v>
      </c>
      <c r="V767" s="25">
        <v>115.80551450847456</v>
      </c>
      <c r="W767" s="25">
        <f>SUM(W768:W778)</f>
        <v>8.1126504886454853</v>
      </c>
      <c r="X767" s="25">
        <f t="shared" si="64"/>
        <v>58.248830508474583</v>
      </c>
      <c r="Y767" s="25">
        <f>SUM(Y768:Y778)</f>
        <v>2.6224233983286904</v>
      </c>
      <c r="Z767" s="25">
        <f t="shared" si="60"/>
        <v>18.828999999999997</v>
      </c>
      <c r="AA767" s="25">
        <f>SUM(AA768:AA772)</f>
        <v>0</v>
      </c>
      <c r="AB767" s="26">
        <v>0</v>
      </c>
      <c r="AC767" s="25">
        <f>SUM(AC768:AC772)</f>
        <v>17.223811999999999</v>
      </c>
      <c r="AD767" s="26">
        <f>SUM(AD768:AD772)</f>
        <v>24.080446640000002</v>
      </c>
      <c r="AE767" s="25">
        <f>SUM(AE768:AE772)</f>
        <v>21.503872000000001</v>
      </c>
      <c r="AF767" s="26">
        <f>SUM(AF768:AF772)</f>
        <v>21.369884760000005</v>
      </c>
      <c r="AG767" s="25">
        <f>SUM(AG768:AG778)</f>
        <v>19.959000000000003</v>
      </c>
      <c r="AH767" s="26">
        <f>SUM(AH768:AH774)</f>
        <v>18.828999999999997</v>
      </c>
      <c r="AI767" s="25">
        <f>SUM(AI768:AI776)</f>
        <v>20.795762711864406</v>
      </c>
      <c r="AJ767" s="25">
        <v>0</v>
      </c>
      <c r="AK767" s="25">
        <f>SUM(AK768:AK778)</f>
        <v>17.494067796610171</v>
      </c>
      <c r="AL767" s="25">
        <v>0</v>
      </c>
      <c r="AM767" s="25">
        <f t="shared" si="63"/>
        <v>103.69916190847458</v>
      </c>
      <c r="AN767" s="25">
        <f t="shared" si="61"/>
        <v>64.279331400000004</v>
      </c>
      <c r="AO767" s="26" t="s">
        <v>1435</v>
      </c>
    </row>
    <row r="768" spans="1:41" ht="31.5" customHeight="1" x14ac:dyDescent="0.25">
      <c r="A768" s="8" t="s">
        <v>134</v>
      </c>
      <c r="B768" s="37" t="s">
        <v>1374</v>
      </c>
      <c r="C768" s="29" t="s">
        <v>1375</v>
      </c>
      <c r="D768" s="38" t="s">
        <v>1481</v>
      </c>
      <c r="E768" s="30">
        <v>2015</v>
      </c>
      <c r="F768" s="30">
        <v>2015</v>
      </c>
      <c r="G768" s="30" t="s">
        <v>1435</v>
      </c>
      <c r="H768" s="27">
        <v>0.29507562674094712</v>
      </c>
      <c r="I768" s="27">
        <v>0.29247910863509752</v>
      </c>
      <c r="J768" s="27">
        <v>0</v>
      </c>
      <c r="K768" s="27">
        <v>2.1186430000000001</v>
      </c>
      <c r="L768" s="27">
        <v>0</v>
      </c>
      <c r="M768" s="27">
        <v>0</v>
      </c>
      <c r="N768" s="27">
        <v>2.1186430000000001</v>
      </c>
      <c r="O768" s="27">
        <v>0</v>
      </c>
      <c r="P768" s="27">
        <v>2.1</v>
      </c>
      <c r="Q768" s="27">
        <v>0</v>
      </c>
      <c r="R768" s="27">
        <v>0</v>
      </c>
      <c r="S768" s="27">
        <v>2.1</v>
      </c>
      <c r="T768" s="27">
        <v>0</v>
      </c>
      <c r="U768" s="27">
        <v>0.29507562674094712</v>
      </c>
      <c r="V768" s="27">
        <v>2.1186430000000001</v>
      </c>
      <c r="W768" s="27">
        <v>0</v>
      </c>
      <c r="X768" s="27">
        <f t="shared" si="64"/>
        <v>0</v>
      </c>
      <c r="Y768" s="27">
        <v>0</v>
      </c>
      <c r="Z768" s="27">
        <f t="shared" si="60"/>
        <v>0</v>
      </c>
      <c r="AA768" s="27">
        <v>0</v>
      </c>
      <c r="AB768" s="28">
        <v>0</v>
      </c>
      <c r="AC768" s="27">
        <f>2.49999874/1.18</f>
        <v>2.1186430000000001</v>
      </c>
      <c r="AD768" s="28">
        <f>2.478/1.18</f>
        <v>2.1</v>
      </c>
      <c r="AE768" s="27">
        <v>0</v>
      </c>
      <c r="AF768" s="28">
        <v>0</v>
      </c>
      <c r="AG768" s="27">
        <v>0</v>
      </c>
      <c r="AH768" s="28">
        <v>0</v>
      </c>
      <c r="AI768" s="27">
        <v>0</v>
      </c>
      <c r="AJ768" s="27">
        <v>0</v>
      </c>
      <c r="AK768" s="27">
        <v>0</v>
      </c>
      <c r="AL768" s="27">
        <v>0</v>
      </c>
      <c r="AM768" s="27">
        <f t="shared" si="63"/>
        <v>2.1</v>
      </c>
      <c r="AN768" s="27">
        <f t="shared" si="61"/>
        <v>2.1</v>
      </c>
      <c r="AO768" s="35" t="s">
        <v>1435</v>
      </c>
    </row>
    <row r="769" spans="1:41" ht="114.75" customHeight="1" x14ac:dyDescent="0.25">
      <c r="A769" s="8" t="s">
        <v>134</v>
      </c>
      <c r="B769" s="39" t="s">
        <v>1376</v>
      </c>
      <c r="C769" s="29" t="s">
        <v>1377</v>
      </c>
      <c r="D769" s="38" t="s">
        <v>1481</v>
      </c>
      <c r="E769" s="30">
        <v>2015</v>
      </c>
      <c r="F769" s="30">
        <v>2015</v>
      </c>
      <c r="G769" s="30" t="s">
        <v>1435</v>
      </c>
      <c r="H769" s="27">
        <v>6.5445125348189415E-2</v>
      </c>
      <c r="I769" s="27">
        <v>0.52915077576601677</v>
      </c>
      <c r="J769" s="27">
        <v>0</v>
      </c>
      <c r="K769" s="27">
        <v>0.46989599999999998</v>
      </c>
      <c r="L769" s="27">
        <v>0</v>
      </c>
      <c r="M769" s="27">
        <v>0</v>
      </c>
      <c r="N769" s="27">
        <v>0.46989599999999998</v>
      </c>
      <c r="O769" s="27">
        <v>0</v>
      </c>
      <c r="P769" s="27">
        <v>3.79930257</v>
      </c>
      <c r="Q769" s="27">
        <v>0</v>
      </c>
      <c r="R769" s="27">
        <v>0</v>
      </c>
      <c r="S769" s="27">
        <v>3.79930257</v>
      </c>
      <c r="T769" s="27">
        <v>0</v>
      </c>
      <c r="U769" s="27">
        <v>6.5445125348189415E-2</v>
      </c>
      <c r="V769" s="27">
        <v>0.46989599999999998</v>
      </c>
      <c r="W769" s="27">
        <v>0</v>
      </c>
      <c r="X769" s="27">
        <f t="shared" si="64"/>
        <v>0</v>
      </c>
      <c r="Y769" s="27">
        <v>0</v>
      </c>
      <c r="Z769" s="27">
        <f t="shared" ref="Z769:Z778" si="65">AH769</f>
        <v>0</v>
      </c>
      <c r="AA769" s="27">
        <v>0</v>
      </c>
      <c r="AB769" s="28">
        <v>0</v>
      </c>
      <c r="AC769" s="27">
        <f>0.55447728/1.18</f>
        <v>0.46989599999999998</v>
      </c>
      <c r="AD769" s="28">
        <f>4.4831770326/1.18</f>
        <v>3.79930257</v>
      </c>
      <c r="AE769" s="27">
        <v>0</v>
      </c>
      <c r="AF769" s="28">
        <v>0</v>
      </c>
      <c r="AG769" s="27">
        <v>0</v>
      </c>
      <c r="AH769" s="28">
        <v>0</v>
      </c>
      <c r="AI769" s="27">
        <v>0</v>
      </c>
      <c r="AJ769" s="27">
        <v>0</v>
      </c>
      <c r="AK769" s="27">
        <v>0</v>
      </c>
      <c r="AL769" s="27">
        <v>0</v>
      </c>
      <c r="AM769" s="27">
        <f t="shared" si="63"/>
        <v>3.79930257</v>
      </c>
      <c r="AN769" s="27">
        <f t="shared" si="61"/>
        <v>3.79930257</v>
      </c>
      <c r="AO769" s="34" t="s">
        <v>1492</v>
      </c>
    </row>
    <row r="770" spans="1:41" ht="96" customHeight="1" x14ac:dyDescent="0.25">
      <c r="A770" s="8" t="s">
        <v>134</v>
      </c>
      <c r="B770" s="39" t="s">
        <v>1378</v>
      </c>
      <c r="C770" s="29" t="s">
        <v>1379</v>
      </c>
      <c r="D770" s="38" t="s">
        <v>1481</v>
      </c>
      <c r="E770" s="30">
        <v>2015</v>
      </c>
      <c r="F770" s="30">
        <v>2015</v>
      </c>
      <c r="G770" s="30" t="s">
        <v>1435</v>
      </c>
      <c r="H770" s="27">
        <v>2.0383388579387187</v>
      </c>
      <c r="I770" s="27">
        <v>2.5321927674094713</v>
      </c>
      <c r="J770" s="27">
        <v>0</v>
      </c>
      <c r="K770" s="27">
        <v>14.635273</v>
      </c>
      <c r="L770" s="27">
        <v>0</v>
      </c>
      <c r="M770" s="27">
        <v>0</v>
      </c>
      <c r="N770" s="27">
        <v>14.635273</v>
      </c>
      <c r="O770" s="27">
        <v>0</v>
      </c>
      <c r="P770" s="27">
        <v>18.181144070000002</v>
      </c>
      <c r="Q770" s="27">
        <v>0</v>
      </c>
      <c r="R770" s="27">
        <v>0</v>
      </c>
      <c r="S770" s="27">
        <v>18.181144070000002</v>
      </c>
      <c r="T770" s="27">
        <v>0</v>
      </c>
      <c r="U770" s="27">
        <v>2.0383388579387187</v>
      </c>
      <c r="V770" s="27">
        <v>14.635273</v>
      </c>
      <c r="W770" s="27">
        <v>0</v>
      </c>
      <c r="X770" s="27">
        <f t="shared" si="64"/>
        <v>0</v>
      </c>
      <c r="Y770" s="27">
        <v>0</v>
      </c>
      <c r="Z770" s="27">
        <f t="shared" si="65"/>
        <v>0</v>
      </c>
      <c r="AA770" s="27">
        <v>0</v>
      </c>
      <c r="AB770" s="28">
        <v>0</v>
      </c>
      <c r="AC770" s="27">
        <f>17.26962214/1.18</f>
        <v>14.635273</v>
      </c>
      <c r="AD770" s="28">
        <f>21.4537500026/1.18</f>
        <v>18.181144070000002</v>
      </c>
      <c r="AE770" s="27">
        <v>0</v>
      </c>
      <c r="AF770" s="28">
        <v>0</v>
      </c>
      <c r="AG770" s="27">
        <v>0</v>
      </c>
      <c r="AH770" s="28">
        <v>0</v>
      </c>
      <c r="AI770" s="27">
        <v>0</v>
      </c>
      <c r="AJ770" s="27">
        <v>0</v>
      </c>
      <c r="AK770" s="27">
        <v>0</v>
      </c>
      <c r="AL770" s="27">
        <v>0</v>
      </c>
      <c r="AM770" s="27">
        <f t="shared" si="63"/>
        <v>18.181144070000002</v>
      </c>
      <c r="AN770" s="27">
        <f t="shared" si="61"/>
        <v>18.181144070000002</v>
      </c>
      <c r="AO770" s="34" t="s">
        <v>1492</v>
      </c>
    </row>
    <row r="771" spans="1:41" ht="147.75" customHeight="1" x14ac:dyDescent="0.25">
      <c r="A771" s="8" t="s">
        <v>134</v>
      </c>
      <c r="B771" s="37" t="s">
        <v>1380</v>
      </c>
      <c r="C771" s="29" t="s">
        <v>1381</v>
      </c>
      <c r="D771" s="38" t="s">
        <v>1481</v>
      </c>
      <c r="E771" s="30">
        <v>2016</v>
      </c>
      <c r="F771" s="30">
        <v>2016</v>
      </c>
      <c r="G771" s="30" t="s">
        <v>1435</v>
      </c>
      <c r="H771" s="27">
        <v>0.44377437325905295</v>
      </c>
      <c r="I771" s="27">
        <v>0.43108635097493042</v>
      </c>
      <c r="J771" s="27">
        <v>0</v>
      </c>
      <c r="K771" s="27">
        <v>3.1863000000000001</v>
      </c>
      <c r="L771" s="27">
        <v>0</v>
      </c>
      <c r="M771" s="27">
        <v>0</v>
      </c>
      <c r="N771" s="27">
        <v>3.1863000000000001</v>
      </c>
      <c r="O771" s="27">
        <v>0</v>
      </c>
      <c r="P771" s="27">
        <v>3.0952000000000002</v>
      </c>
      <c r="Q771" s="27">
        <v>0</v>
      </c>
      <c r="R771" s="27">
        <v>0</v>
      </c>
      <c r="S771" s="27">
        <v>3.0952000000000002</v>
      </c>
      <c r="T771" s="27">
        <v>0</v>
      </c>
      <c r="U771" s="27">
        <v>0.44377437325905295</v>
      </c>
      <c r="V771" s="27">
        <v>3.1863000000000001</v>
      </c>
      <c r="W771" s="27">
        <v>0</v>
      </c>
      <c r="X771" s="27">
        <f t="shared" si="64"/>
        <v>0</v>
      </c>
      <c r="Y771" s="27">
        <v>0</v>
      </c>
      <c r="Z771" s="27">
        <f t="shared" si="65"/>
        <v>0</v>
      </c>
      <c r="AA771" s="27">
        <v>0</v>
      </c>
      <c r="AB771" s="28">
        <v>0</v>
      </c>
      <c r="AC771" s="27">
        <v>0</v>
      </c>
      <c r="AD771" s="28">
        <v>0</v>
      </c>
      <c r="AE771" s="27">
        <f>3.759834/1.18</f>
        <v>3.1863000000000001</v>
      </c>
      <c r="AF771" s="28">
        <f>3.652336/1.18</f>
        <v>3.0952000000000002</v>
      </c>
      <c r="AG771" s="27">
        <v>0</v>
      </c>
      <c r="AH771" s="28">
        <v>0</v>
      </c>
      <c r="AI771" s="27">
        <v>0</v>
      </c>
      <c r="AJ771" s="27">
        <v>0</v>
      </c>
      <c r="AK771" s="27">
        <v>0</v>
      </c>
      <c r="AL771" s="27">
        <v>0</v>
      </c>
      <c r="AM771" s="27">
        <f t="shared" si="63"/>
        <v>3.0952000000000002</v>
      </c>
      <c r="AN771" s="27">
        <f t="shared" si="61"/>
        <v>3.0952000000000002</v>
      </c>
      <c r="AO771" s="34" t="s">
        <v>1492</v>
      </c>
    </row>
    <row r="772" spans="1:41" ht="68.25" customHeight="1" x14ac:dyDescent="0.25">
      <c r="A772" s="8" t="s">
        <v>134</v>
      </c>
      <c r="B772" s="37" t="s">
        <v>1382</v>
      </c>
      <c r="C772" s="29" t="s">
        <v>1383</v>
      </c>
      <c r="D772" s="38" t="s">
        <v>1481</v>
      </c>
      <c r="E772" s="30">
        <v>2016</v>
      </c>
      <c r="F772" s="30">
        <v>2016</v>
      </c>
      <c r="G772" s="30" t="s">
        <v>1435</v>
      </c>
      <c r="H772" s="27">
        <v>2.5511938718662956</v>
      </c>
      <c r="I772" s="27">
        <v>2.5452207186629532</v>
      </c>
      <c r="J772" s="27">
        <v>0</v>
      </c>
      <c r="K772" s="27">
        <v>18.317572000000002</v>
      </c>
      <c r="L772" s="27">
        <v>0</v>
      </c>
      <c r="M772" s="27">
        <v>0</v>
      </c>
      <c r="N772" s="27">
        <v>18.317571999999998</v>
      </c>
      <c r="O772" s="27">
        <v>0</v>
      </c>
      <c r="P772" s="27">
        <v>18.274684760000003</v>
      </c>
      <c r="Q772" s="27">
        <v>0</v>
      </c>
      <c r="R772" s="27">
        <v>0</v>
      </c>
      <c r="S772" s="27">
        <v>18.274684760000003</v>
      </c>
      <c r="T772" s="27">
        <v>0</v>
      </c>
      <c r="U772" s="27">
        <v>2.5511938718662956</v>
      </c>
      <c r="V772" s="27">
        <v>18.317572000000002</v>
      </c>
      <c r="W772" s="27">
        <v>0</v>
      </c>
      <c r="X772" s="27">
        <f t="shared" si="64"/>
        <v>0</v>
      </c>
      <c r="Y772" s="27">
        <v>0</v>
      </c>
      <c r="Z772" s="27">
        <f t="shared" si="65"/>
        <v>0</v>
      </c>
      <c r="AA772" s="27">
        <v>0</v>
      </c>
      <c r="AB772" s="28">
        <v>0</v>
      </c>
      <c r="AC772" s="27">
        <v>0</v>
      </c>
      <c r="AD772" s="28">
        <v>0</v>
      </c>
      <c r="AE772" s="27">
        <f>21.61473496/1.18</f>
        <v>18.317572000000002</v>
      </c>
      <c r="AF772" s="28">
        <f>21.5641280168/1.18</f>
        <v>18.274684760000003</v>
      </c>
      <c r="AG772" s="27">
        <v>0</v>
      </c>
      <c r="AH772" s="28">
        <v>0</v>
      </c>
      <c r="AI772" s="27">
        <v>0</v>
      </c>
      <c r="AJ772" s="27">
        <v>0</v>
      </c>
      <c r="AK772" s="27">
        <v>0</v>
      </c>
      <c r="AL772" s="27">
        <v>0</v>
      </c>
      <c r="AM772" s="27">
        <f t="shared" si="63"/>
        <v>18.274684760000003</v>
      </c>
      <c r="AN772" s="27">
        <f t="shared" si="61"/>
        <v>18.274684760000003</v>
      </c>
      <c r="AO772" s="34" t="s">
        <v>1492</v>
      </c>
    </row>
    <row r="773" spans="1:41" ht="147.75" customHeight="1" x14ac:dyDescent="0.25">
      <c r="A773" s="8" t="s">
        <v>134</v>
      </c>
      <c r="B773" s="37" t="s">
        <v>1384</v>
      </c>
      <c r="C773" s="29" t="s">
        <v>1385</v>
      </c>
      <c r="D773" s="38" t="s">
        <v>1482</v>
      </c>
      <c r="E773" s="30">
        <v>2017</v>
      </c>
      <c r="F773" s="30">
        <v>2017</v>
      </c>
      <c r="G773" s="30">
        <v>2017</v>
      </c>
      <c r="H773" s="27">
        <v>0.66963788300835658</v>
      </c>
      <c r="I773" s="27">
        <v>0.25612813370473536</v>
      </c>
      <c r="J773" s="27">
        <v>0</v>
      </c>
      <c r="K773" s="27">
        <v>4.8079999999999998</v>
      </c>
      <c r="L773" s="27">
        <v>0</v>
      </c>
      <c r="M773" s="27">
        <v>0</v>
      </c>
      <c r="N773" s="27">
        <v>4.8079999999999998</v>
      </c>
      <c r="O773" s="27">
        <v>0</v>
      </c>
      <c r="P773" s="27">
        <v>1.839</v>
      </c>
      <c r="Q773" s="27">
        <v>0</v>
      </c>
      <c r="R773" s="27">
        <v>0</v>
      </c>
      <c r="S773" s="27">
        <v>1.839</v>
      </c>
      <c r="T773" s="27">
        <v>0</v>
      </c>
      <c r="U773" s="27">
        <v>0.66963788300835658</v>
      </c>
      <c r="V773" s="27">
        <v>4.8079999999999998</v>
      </c>
      <c r="W773" s="27">
        <v>0.41350974930362122</v>
      </c>
      <c r="X773" s="27">
        <f t="shared" si="64"/>
        <v>2.9690000000000003</v>
      </c>
      <c r="Y773" s="27">
        <v>0.25612813370473536</v>
      </c>
      <c r="Z773" s="27">
        <f t="shared" si="65"/>
        <v>1.839</v>
      </c>
      <c r="AA773" s="27">
        <v>0</v>
      </c>
      <c r="AB773" s="28">
        <v>0</v>
      </c>
      <c r="AC773" s="27">
        <v>0</v>
      </c>
      <c r="AD773" s="28">
        <v>0</v>
      </c>
      <c r="AE773" s="27">
        <v>0</v>
      </c>
      <c r="AF773" s="28">
        <v>0</v>
      </c>
      <c r="AG773" s="27">
        <f>3.50342/1.18</f>
        <v>2.9690000000000003</v>
      </c>
      <c r="AH773" s="28">
        <f>1839/1000</f>
        <v>1.839</v>
      </c>
      <c r="AI773" s="27">
        <v>0</v>
      </c>
      <c r="AJ773" s="27">
        <v>0</v>
      </c>
      <c r="AK773" s="27">
        <v>0</v>
      </c>
      <c r="AL773" s="27">
        <v>0</v>
      </c>
      <c r="AM773" s="27">
        <f t="shared" si="63"/>
        <v>2.9690000000000003</v>
      </c>
      <c r="AN773" s="27">
        <f t="shared" si="61"/>
        <v>1.839</v>
      </c>
      <c r="AO773" s="34" t="s">
        <v>1492</v>
      </c>
    </row>
    <row r="774" spans="1:41" ht="111.75" customHeight="1" x14ac:dyDescent="0.25">
      <c r="A774" s="8" t="s">
        <v>134</v>
      </c>
      <c r="B774" s="37" t="s">
        <v>1386</v>
      </c>
      <c r="C774" s="29" t="s">
        <v>1387</v>
      </c>
      <c r="D774" s="38" t="s">
        <v>1482</v>
      </c>
      <c r="E774" s="30">
        <v>2017</v>
      </c>
      <c r="F774" s="30">
        <v>2017</v>
      </c>
      <c r="G774" s="30">
        <v>2017</v>
      </c>
      <c r="H774" s="27">
        <v>4.7325905292479113</v>
      </c>
      <c r="I774" s="27">
        <v>2.3662952646239552</v>
      </c>
      <c r="J774" s="27">
        <v>0</v>
      </c>
      <c r="K774" s="27">
        <v>33.980000000000004</v>
      </c>
      <c r="L774" s="27">
        <v>0</v>
      </c>
      <c r="M774" s="27">
        <v>0</v>
      </c>
      <c r="N774" s="27">
        <v>33.980000000000004</v>
      </c>
      <c r="O774" s="27">
        <v>0</v>
      </c>
      <c r="P774" s="27">
        <v>16.989999999999998</v>
      </c>
      <c r="Q774" s="27">
        <v>0</v>
      </c>
      <c r="R774" s="27">
        <v>0</v>
      </c>
      <c r="S774" s="27">
        <v>16.989999999999998</v>
      </c>
      <c r="T774" s="27">
        <v>0</v>
      </c>
      <c r="U774" s="27">
        <v>4.7325905292479113</v>
      </c>
      <c r="V774" s="27">
        <v>33.980000000000004</v>
      </c>
      <c r="W774" s="27">
        <v>2.3662952646239557</v>
      </c>
      <c r="X774" s="27">
        <f t="shared" si="64"/>
        <v>16.990000000000002</v>
      </c>
      <c r="Y774" s="27">
        <v>2.3662952646239552</v>
      </c>
      <c r="Z774" s="27">
        <f t="shared" si="65"/>
        <v>16.989999999999998</v>
      </c>
      <c r="AA774" s="27">
        <v>0</v>
      </c>
      <c r="AB774" s="28">
        <v>0</v>
      </c>
      <c r="AC774" s="27">
        <v>0</v>
      </c>
      <c r="AD774" s="28">
        <v>0</v>
      </c>
      <c r="AE774" s="27">
        <v>0</v>
      </c>
      <c r="AF774" s="28">
        <v>0</v>
      </c>
      <c r="AG774" s="27">
        <f>20.0482/1.18</f>
        <v>16.990000000000002</v>
      </c>
      <c r="AH774" s="28">
        <f>16990/1000</f>
        <v>16.989999999999998</v>
      </c>
      <c r="AI774" s="27">
        <v>0</v>
      </c>
      <c r="AJ774" s="27">
        <v>0</v>
      </c>
      <c r="AK774" s="27">
        <v>0</v>
      </c>
      <c r="AL774" s="27">
        <v>0</v>
      </c>
      <c r="AM774" s="27">
        <f t="shared" si="63"/>
        <v>16.990000000000002</v>
      </c>
      <c r="AN774" s="27">
        <f t="shared" si="61"/>
        <v>16.989999999999998</v>
      </c>
      <c r="AO774" s="34" t="s">
        <v>1492</v>
      </c>
    </row>
    <row r="775" spans="1:41" ht="113.25" customHeight="1" x14ac:dyDescent="0.25">
      <c r="A775" s="59" t="s">
        <v>134</v>
      </c>
      <c r="B775" s="41" t="s">
        <v>1388</v>
      </c>
      <c r="C775" s="29" t="s">
        <v>1389</v>
      </c>
      <c r="D775" s="38" t="s">
        <v>1482</v>
      </c>
      <c r="E775" s="30">
        <v>2018</v>
      </c>
      <c r="F775" s="30">
        <v>2018</v>
      </c>
      <c r="G775" s="30" t="s">
        <v>1435</v>
      </c>
      <c r="H775" s="27">
        <v>0.33544214154194801</v>
      </c>
      <c r="I775" s="27">
        <v>0</v>
      </c>
      <c r="J775" s="27">
        <v>0</v>
      </c>
      <c r="K775" s="27">
        <v>2.4084745762711868</v>
      </c>
      <c r="L775" s="27">
        <v>0</v>
      </c>
      <c r="M775" s="27">
        <v>0</v>
      </c>
      <c r="N775" s="27">
        <v>2.4084745762711868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0.33544214154194801</v>
      </c>
      <c r="V775" s="27">
        <v>2.4084745762711868</v>
      </c>
      <c r="W775" s="27">
        <v>0.33544214154194801</v>
      </c>
      <c r="X775" s="27">
        <f t="shared" si="64"/>
        <v>2.4084745762711868</v>
      </c>
      <c r="Y775" s="27">
        <v>0</v>
      </c>
      <c r="Z775" s="27">
        <f t="shared" si="65"/>
        <v>0</v>
      </c>
      <c r="AA775" s="27">
        <v>0</v>
      </c>
      <c r="AB775" s="28">
        <v>0</v>
      </c>
      <c r="AC775" s="27">
        <v>0</v>
      </c>
      <c r="AD775" s="28">
        <v>0</v>
      </c>
      <c r="AE775" s="27">
        <v>0</v>
      </c>
      <c r="AF775" s="28">
        <v>0</v>
      </c>
      <c r="AG775" s="27">
        <v>0</v>
      </c>
      <c r="AH775" s="28">
        <v>0</v>
      </c>
      <c r="AI775" s="27">
        <f>2.842/1.18</f>
        <v>2.4084745762711868</v>
      </c>
      <c r="AJ775" s="27">
        <v>0</v>
      </c>
      <c r="AK775" s="27">
        <v>0</v>
      </c>
      <c r="AL775" s="27">
        <v>0</v>
      </c>
      <c r="AM775" s="27">
        <f t="shared" si="63"/>
        <v>2.4084745762711868</v>
      </c>
      <c r="AN775" s="27">
        <f t="shared" si="61"/>
        <v>0</v>
      </c>
      <c r="AO775" s="34" t="s">
        <v>1435</v>
      </c>
    </row>
    <row r="776" spans="1:41" ht="128.25" customHeight="1" x14ac:dyDescent="0.25">
      <c r="A776" s="59" t="s">
        <v>134</v>
      </c>
      <c r="B776" s="41" t="s">
        <v>1390</v>
      </c>
      <c r="C776" s="29" t="s">
        <v>1391</v>
      </c>
      <c r="D776" s="38" t="s">
        <v>1482</v>
      </c>
      <c r="E776" s="30">
        <v>2018</v>
      </c>
      <c r="F776" s="30">
        <v>2018</v>
      </c>
      <c r="G776" s="30" t="s">
        <v>1435</v>
      </c>
      <c r="H776" s="27">
        <v>2.5609036400547662</v>
      </c>
      <c r="I776" s="27">
        <v>0</v>
      </c>
      <c r="J776" s="27">
        <v>0</v>
      </c>
      <c r="K776" s="27">
        <v>18.38728813559322</v>
      </c>
      <c r="L776" s="27">
        <v>0</v>
      </c>
      <c r="M776" s="27">
        <v>0</v>
      </c>
      <c r="N776" s="27">
        <v>18.38728813559322</v>
      </c>
      <c r="O776" s="27">
        <v>0</v>
      </c>
      <c r="P776" s="27">
        <v>0</v>
      </c>
      <c r="Q776" s="27">
        <v>0</v>
      </c>
      <c r="R776" s="27">
        <v>0</v>
      </c>
      <c r="S776" s="27">
        <v>0</v>
      </c>
      <c r="T776" s="27">
        <v>0</v>
      </c>
      <c r="U776" s="27">
        <v>2.5609036400547662</v>
      </c>
      <c r="V776" s="27">
        <v>18.38728813559322</v>
      </c>
      <c r="W776" s="27">
        <v>2.5609036400547662</v>
      </c>
      <c r="X776" s="27">
        <f t="shared" si="64"/>
        <v>18.38728813559322</v>
      </c>
      <c r="Y776" s="27">
        <v>0</v>
      </c>
      <c r="Z776" s="27">
        <f t="shared" si="65"/>
        <v>0</v>
      </c>
      <c r="AA776" s="27">
        <v>0</v>
      </c>
      <c r="AB776" s="28">
        <v>0</v>
      </c>
      <c r="AC776" s="27">
        <v>0</v>
      </c>
      <c r="AD776" s="28">
        <v>0</v>
      </c>
      <c r="AE776" s="27">
        <v>0</v>
      </c>
      <c r="AF776" s="52">
        <v>0</v>
      </c>
      <c r="AG776" s="27">
        <v>0</v>
      </c>
      <c r="AH776" s="28">
        <v>0</v>
      </c>
      <c r="AI776" s="27">
        <f>21.697/1.18</f>
        <v>18.38728813559322</v>
      </c>
      <c r="AJ776" s="27">
        <v>0</v>
      </c>
      <c r="AK776" s="27">
        <v>0</v>
      </c>
      <c r="AL776" s="27">
        <v>0</v>
      </c>
      <c r="AM776" s="27">
        <f t="shared" si="63"/>
        <v>18.38728813559322</v>
      </c>
      <c r="AN776" s="27">
        <f t="shared" si="61"/>
        <v>0</v>
      </c>
      <c r="AO776" s="34" t="s">
        <v>1435</v>
      </c>
    </row>
    <row r="777" spans="1:41" ht="126" customHeight="1" x14ac:dyDescent="0.25">
      <c r="A777" s="59" t="s">
        <v>134</v>
      </c>
      <c r="B777" s="41" t="s">
        <v>1392</v>
      </c>
      <c r="C777" s="29" t="s">
        <v>1393</v>
      </c>
      <c r="D777" s="38" t="s">
        <v>1482</v>
      </c>
      <c r="E777" s="30">
        <v>2019</v>
      </c>
      <c r="F777" s="30">
        <v>2019</v>
      </c>
      <c r="G777" s="30" t="s">
        <v>1435</v>
      </c>
      <c r="H777" s="27">
        <v>0.19675652707615318</v>
      </c>
      <c r="I777" s="27">
        <v>0</v>
      </c>
      <c r="J777" s="27">
        <v>0</v>
      </c>
      <c r="K777" s="27">
        <v>1.4127118644067798</v>
      </c>
      <c r="L777" s="27">
        <v>0</v>
      </c>
      <c r="M777" s="27">
        <v>0</v>
      </c>
      <c r="N777" s="27">
        <v>1.4127118644067798</v>
      </c>
      <c r="O777" s="27">
        <v>0</v>
      </c>
      <c r="P777" s="27">
        <v>0</v>
      </c>
      <c r="Q777" s="27">
        <v>0</v>
      </c>
      <c r="R777" s="27">
        <v>0</v>
      </c>
      <c r="S777" s="27">
        <v>0</v>
      </c>
      <c r="T777" s="27">
        <v>0</v>
      </c>
      <c r="U777" s="27">
        <v>0.19675652707615318</v>
      </c>
      <c r="V777" s="27">
        <v>1.4127118644067798</v>
      </c>
      <c r="W777" s="27">
        <v>0.19675652707615318</v>
      </c>
      <c r="X777" s="27">
        <f t="shared" si="64"/>
        <v>1.4127118644067798</v>
      </c>
      <c r="Y777" s="27">
        <v>0</v>
      </c>
      <c r="Z777" s="27">
        <f t="shared" si="65"/>
        <v>0</v>
      </c>
      <c r="AA777" s="27">
        <v>0</v>
      </c>
      <c r="AB777" s="28">
        <v>0</v>
      </c>
      <c r="AC777" s="27">
        <v>0</v>
      </c>
      <c r="AD777" s="28">
        <v>0</v>
      </c>
      <c r="AE777" s="27">
        <v>0</v>
      </c>
      <c r="AF777" s="52">
        <v>0</v>
      </c>
      <c r="AG777" s="27">
        <v>0</v>
      </c>
      <c r="AH777" s="28">
        <v>0</v>
      </c>
      <c r="AI777" s="27">
        <v>0</v>
      </c>
      <c r="AJ777" s="27">
        <v>0</v>
      </c>
      <c r="AK777" s="27">
        <f>1.667/1.18</f>
        <v>1.4127118644067798</v>
      </c>
      <c r="AL777" s="27">
        <v>0</v>
      </c>
      <c r="AM777" s="27">
        <f t="shared" si="63"/>
        <v>1.4127118644067798</v>
      </c>
      <c r="AN777" s="27">
        <f t="shared" si="61"/>
        <v>0</v>
      </c>
      <c r="AO777" s="34" t="s">
        <v>1435</v>
      </c>
    </row>
    <row r="778" spans="1:41" ht="109.5" customHeight="1" x14ac:dyDescent="0.25">
      <c r="A778" s="59" t="s">
        <v>134</v>
      </c>
      <c r="B778" s="41" t="s">
        <v>1394</v>
      </c>
      <c r="C778" s="29" t="s">
        <v>1395</v>
      </c>
      <c r="D778" s="38" t="s">
        <v>1482</v>
      </c>
      <c r="E778" s="30">
        <v>2019</v>
      </c>
      <c r="F778" s="30">
        <v>2019</v>
      </c>
      <c r="G778" s="30" t="s">
        <v>1435</v>
      </c>
      <c r="H778" s="27">
        <v>2.2397431660450406</v>
      </c>
      <c r="I778" s="27">
        <v>0</v>
      </c>
      <c r="J778" s="27">
        <v>0</v>
      </c>
      <c r="K778" s="27">
        <v>16.08135593220339</v>
      </c>
      <c r="L778" s="27">
        <v>0</v>
      </c>
      <c r="M778" s="27">
        <v>0</v>
      </c>
      <c r="N778" s="27">
        <v>16.08135593220339</v>
      </c>
      <c r="O778" s="27">
        <v>0</v>
      </c>
      <c r="P778" s="27">
        <v>0</v>
      </c>
      <c r="Q778" s="27">
        <v>0</v>
      </c>
      <c r="R778" s="27">
        <v>0</v>
      </c>
      <c r="S778" s="27">
        <v>0</v>
      </c>
      <c r="T778" s="27">
        <v>0</v>
      </c>
      <c r="U778" s="27">
        <v>2.2397431660450406</v>
      </c>
      <c r="V778" s="27">
        <v>16.08135593220339</v>
      </c>
      <c r="W778" s="27">
        <v>2.2397431660450406</v>
      </c>
      <c r="X778" s="27">
        <f t="shared" si="64"/>
        <v>16.08135593220339</v>
      </c>
      <c r="Y778" s="27">
        <v>0</v>
      </c>
      <c r="Z778" s="27">
        <f t="shared" si="65"/>
        <v>0</v>
      </c>
      <c r="AA778" s="27">
        <v>0</v>
      </c>
      <c r="AB778" s="28">
        <v>0</v>
      </c>
      <c r="AC778" s="27">
        <v>0</v>
      </c>
      <c r="AD778" s="28">
        <v>0</v>
      </c>
      <c r="AE778" s="27">
        <v>0</v>
      </c>
      <c r="AF778" s="52">
        <v>0</v>
      </c>
      <c r="AG778" s="27">
        <v>0</v>
      </c>
      <c r="AH778" s="28">
        <v>0</v>
      </c>
      <c r="AI778" s="27">
        <v>0</v>
      </c>
      <c r="AJ778" s="27">
        <v>0</v>
      </c>
      <c r="AK778" s="27">
        <f>18.976/1.18</f>
        <v>16.08135593220339</v>
      </c>
      <c r="AL778" s="27">
        <v>0</v>
      </c>
      <c r="AM778" s="27">
        <f t="shared" si="63"/>
        <v>16.08135593220339</v>
      </c>
      <c r="AN778" s="27">
        <f t="shared" si="61"/>
        <v>0</v>
      </c>
      <c r="AO778" s="34" t="s">
        <v>1435</v>
      </c>
    </row>
    <row r="779" spans="1:41" x14ac:dyDescent="0.25">
      <c r="J779" s="5"/>
      <c r="V779" s="21"/>
    </row>
  </sheetData>
  <autoFilter ref="A17:AU17"/>
  <mergeCells count="32">
    <mergeCell ref="AO14:AO16"/>
    <mergeCell ref="K15:O15"/>
    <mergeCell ref="P15:T15"/>
    <mergeCell ref="U15:V15"/>
    <mergeCell ref="W15:X15"/>
    <mergeCell ref="Y15:Z15"/>
    <mergeCell ref="AE15:AF15"/>
    <mergeCell ref="AM15:AM16"/>
    <mergeCell ref="AN15:AN16"/>
    <mergeCell ref="AG15:AH15"/>
    <mergeCell ref="AI15:AJ15"/>
    <mergeCell ref="AK15:AL15"/>
    <mergeCell ref="A13:AN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U14:Z14"/>
    <mergeCell ref="AA14:AB15"/>
    <mergeCell ref="AE14:AN14"/>
    <mergeCell ref="AC15:AD15"/>
    <mergeCell ref="A12:AO12"/>
    <mergeCell ref="A4:AO4"/>
    <mergeCell ref="A6:AO6"/>
    <mergeCell ref="A7:AO7"/>
    <mergeCell ref="A9:AO9"/>
    <mergeCell ref="A11:AO11"/>
  </mergeCells>
  <conditionalFormatting sqref="A1">
    <cfRule type="notContainsBlanks" dxfId="0" priority="1">
      <formula>LEN(TRIM(A1))&gt;0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10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f3</vt:lpstr>
      <vt:lpstr>f3_start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2017-03-20T12:51:00Z</cp:lastPrinted>
  <dcterms:created xsi:type="dcterms:W3CDTF">2017-02-18T11:54:55Z</dcterms:created>
  <dcterms:modified xsi:type="dcterms:W3CDTF">2017-04-10T05:50:49Z</dcterms:modified>
</cp:coreProperties>
</file>